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app.xml" ContentType="application/vnd.openxmlformats-officedocument.extended-properties+xml"/>
  <Override PartName="/docProps/core.xml" ContentType="application/vnd.openxmlformats-package.core-properties+xml"/>
  <Override PartName="/xl/_rels/workbook.xml.rels" ContentType="application/vnd.openxmlformats-package.relationships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_rels/sheet1.xml.rels" ContentType="application/vnd.openxmlformats-package.relationship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media/image2.jpeg" ContentType="image/jpeg"/>
  <Override PartName="/xl/workbook.xml" ContentType="application/vnd.openxmlformats-officedocument.spreadsheetml.sheet.main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true"/>
  <workbookProtection lockWindows="false"/>
  <bookViews>
    <workbookView showHorizontalScroll="true" showVerticalScroll="true" showSheetTabs="true" xWindow="0" yWindow="0" windowWidth="16384" windowHeight="8192" tabRatio="242" firstSheet="0" activeTab="0"/>
  </bookViews>
  <sheets>
    <sheet name="BERGHEAT" sheetId="1" state="visible" r:id="rId2"/>
    <sheet name="Rakennukset" sheetId="2" state="visible" r:id="rId3"/>
    <sheet name="Data" sheetId="3" state="visible" r:id="rId4"/>
  </sheets>
  <definedNames>
    <definedName function="false" hidden="false" localSheetId="0" name="_xlnm.Print_Area" vbProcedure="false">BERGHEAT!$J$3:$S$77</definedName>
    <definedName function="false" hidden="false" localSheetId="2" name="_xlnm.Print_Area" vbProcedure="false">Data!$AU$3:$BA$127</definedName>
    <definedName function="false" hidden="false" localSheetId="1" name="_xlnm.Print_Area" vbProcedure="false">Rakennukset!$E$165:$L$244</definedName>
    <definedName function="false" hidden="false" name="Excel_BuiltIn_Print_Area" vbProcedure="false">BERGHEAT!$J$3:$S$71</definedName>
    <definedName function="false" hidden="false" name="Excel_BuiltIn_Print_Area_1" vbProcedure="false">Data!$W$1:$AA$38</definedName>
    <definedName function="false" hidden="false" name="Excel_BuiltIn_Print_Area_1_1" vbProcedure="false">BERGHEAT!$J$3:$S$69</definedName>
    <definedName function="false" hidden="false" name="Excel_BuiltIn_Print_Area_1_1_1" vbProcedure="false">BERGHEAT!$J$3:$S$68</definedName>
    <definedName function="false" hidden="false" name="Excel_BuiltIn_Print_Area_1_1_1_1" vbProcedure="false">BERGHEAT!$J$3:$S$66</definedName>
    <definedName function="false" hidden="false" name="Excel_BuiltIn_Print_Area_1_1_1_1_1" vbProcedure="false">BERGHEAT!$J$3:$S$61</definedName>
    <definedName function="false" hidden="false" name="Excel_BuiltIn_Print_Area_1_1_1_1_1_1" vbProcedure="false">BERGHEAT!$J$3:$S$60</definedName>
    <definedName function="false" hidden="false" name="Excel_BuiltIn_Print_Area_1_1_1_1_1_1_1" vbProcedure="false">BERGHEAT!$O$2:$R$49</definedName>
    <definedName function="false" hidden="false" name="Excel_BuiltIn_Print_Area_1_1_1_1_1_1_1_1" vbProcedure="false">"$#REF!.$F$3:$I$47"</definedName>
    <definedName function="false" hidden="false" name="Excel_BuiltIn_Print_Area_1_1_1_1_1_1_1_1_1" vbProcedure="false">"$#REF!.$F$3:$I$45"</definedName>
    <definedName function="false" hidden="false" name="Excel_BuiltIn_Print_Area_1_1_1_1_1_1_1_1_1_1" vbProcedure="false">"$#REF!.$C$66:$F$99"</definedName>
    <definedName function="false" hidden="false" name="Excel_BuiltIn_Print_Area_1_1_1_1_1_1_1_1_1_1_1" vbProcedure="false">"$#REF!.$A$30:$P$65"</definedName>
    <definedName function="false" hidden="false" name="Excel_BuiltIn_Print_Area_2" vbProcedure="false">Rakennukset!$E$166:$J$210</definedName>
    <definedName function="false" hidden="false" localSheetId="0" name="Excel_BuiltIn_Print_Area" vbProcedure="false">BERGHEAT!$J$3:$S$72</definedName>
    <definedName function="false" hidden="false" localSheetId="1" name="Excel_BuiltIn_Print_Area" vbProcedure="false">Rakennukset!$E$166:$J$231</definedName>
    <definedName function="false" hidden="false" localSheetId="2" name="Excel_BuiltIn_Print_Area" vbProcedure="false">#REF!</definedName>
  </definedNames>
  <calcPr iterateCount="100" refMode="A1" iterate="false" iterateDelta="0.001"/>
</workbook>
</file>

<file path=xl/sharedStrings.xml><?xml version="1.0" encoding="utf-8"?>
<sst xmlns="http://schemas.openxmlformats.org/spreadsheetml/2006/main" count="21951" uniqueCount="4005">
  <si>
    <t>46.680</t>
  </si>
  <si>
    <t>Rakennukset</t>
  </si>
  <si>
    <t>Lämmitystarve</t>
  </si>
  <si>
    <t>Lämmin ala</t>
  </si>
  <si>
    <t>Kerros ala</t>
  </si>
  <si>
    <t>Sisätilan ilmakuutiot</t>
  </si>
  <si>
    <t>Teho</t>
  </si>
  <si>
    <t>Nämä lasketaan alasivulla ”Rakennukset”  </t>
  </si>
  <si>
    <t>TULOSTA  ALLA  OLEVA  LOPUKSI  PRINTTERILLE  TAI  PDF -TIEDOSTOKSI!</t>
  </si>
  <si>
    <t>MAALÄMMITYSLASKELMA  ( keskiarvovuodelle täystehoisella pumpulla)</t>
  </si>
  <si>
    <t>Lataa laskentaohjelma täältä!</t>
  </si>
  <si>
    <t>Laskelma on viitteellinen</t>
  </si>
  <si>
    <t>Tarkistuta mitoitus laitetoimittajallasi!</t>
  </si>
  <si>
    <t>Mitä nämä arvot kertovat?</t>
  </si>
  <si>
    <t>Tulostuspäivä</t>
  </si>
  <si>
    <t>Näistä lukemista voit arvioida, onko lämmitystarvetieto kohdallaan:</t>
  </si>
  <si>
    <t>Laskennassa nettoala ja nettovolyymi →</t>
  </si>
  <si>
    <t>&lt;= Keskimääräinen huonekorkeus</t>
  </si>
  <si>
    <t>Muu</t>
  </si>
  <si>
    <t>- Rakennusten lämmitystarve vuodessa</t>
  </si>
  <si>
    <t>Yhteenveto</t>
  </si>
  <si>
    <t>Ilman käyttövettä</t>
  </si>
  <si>
    <t>- Vähennetään taloussähkön tuottama lämpö</t>
  </si>
  <si>
    <t>Josta ilmanvaihdot</t>
  </si>
  <si>
    <t>Käytetäänkö näitä laskennassa, Kyllä / Ei  </t>
  </si>
  <si>
    <t>Ei</t>
  </si>
  <si>
    <t>- Lisätään käyttöveden tuottamisen osuus</t>
  </si>
  <si>
    <t>Josta vuotoilmat</t>
  </si>
  <si>
    <t>- Lämmitys + käyttövesi yhteensä vuodessa</t>
  </si>
  <si>
    <t>Lämpöpumpun pitäisi pystyä tuottamaan tämä lämpöenergiamäärä vuodessa.</t>
  </si>
  <si>
    <t>YLLÄ OLEVAT  TIEDOT  LASKETAAN  ALASIVULLA ”Rakennukset”</t>
  </si>
  <si>
    <t>Rakennusten lämmitystarve Wh/m2/astepäivä/vuosi</t>
  </si>
  <si>
    <r>
      <t xml:space="preserve">Wh/m</t>
    </r>
    <r>
      <rPr>
        <vertAlign val="superscript"/>
        <sz val="10"/>
        <rFont val="Arial"/>
        <family val="2"/>
      </rPr>
      <t xml:space="preserve">2</t>
    </r>
    <r>
      <rPr>
        <sz val="10"/>
        <rFont val="Arial"/>
        <family val="2"/>
      </rPr>
      <t xml:space="preserve">/Ap/v</t>
    </r>
  </si>
  <si>
    <t>Talo 1950-70=30-40, 1970-80=25-30, 1980-2005=20-25, 2000-&gt; =20 ja alle</t>
  </si>
  <si>
    <t>Ohje</t>
  </si>
  <si>
    <t> Lataa tästä uusi versio! </t>
  </si>
  <si>
    <t>Rakennusten lämmitystarve Wh/m3/astepäivä/vuosi</t>
  </si>
  <si>
    <r>
      <t xml:space="preserve">Wh/m</t>
    </r>
    <r>
      <rPr>
        <vertAlign val="superscript"/>
        <sz val="10"/>
        <rFont val="Arial"/>
        <family val="2"/>
      </rPr>
      <t xml:space="preserve">3</t>
    </r>
    <r>
      <rPr>
        <sz val="10"/>
        <rFont val="Arial"/>
        <family val="2"/>
      </rPr>
      <t xml:space="preserve">/Ap/v</t>
    </r>
  </si>
  <si>
    <t>Talo 1950-70=12-15, 1970-80=n.12, 1980-2005=10-12, 2000-&gt; =n.10, 2012-&gt;=n.7</t>
  </si>
  <si>
    <t>Numeron haku →</t>
  </si>
  <si>
    <t>Muurame</t>
  </si>
  <si>
    <t>TÄYTÄ TALOSI TIEDOT VIHREISIIN RUUTUIHIN</t>
  </si>
  <si>
    <t>Rakennusten vuotuinen lämmitystarve kWh/m2</t>
  </si>
  <si>
    <r>
      <t xml:space="preserve">kWh/m</t>
    </r>
    <r>
      <rPr>
        <vertAlign val="superscript"/>
        <sz val="12"/>
        <rFont val="Arial"/>
        <family val="2"/>
      </rPr>
      <t xml:space="preserve">2</t>
    </r>
    <r>
      <rPr>
        <sz val="12"/>
        <rFont val="Arial"/>
        <family val="2"/>
      </rPr>
      <t xml:space="preserve">/v</t>
    </r>
  </si>
  <si>
    <t>Talo 1950-70=160-190, 1970-80=120-160, 1980-2005=100-130, 2000-&gt; =100 ja alle</t>
  </si>
  <si>
    <t>YLEISTIEDOT</t>
  </si>
  <si>
    <t>Rakennusten vuotuinen lämmitystarve kWh/m3</t>
  </si>
  <si>
    <r>
      <t xml:space="preserve">kWh/m</t>
    </r>
    <r>
      <rPr>
        <vertAlign val="superscript"/>
        <sz val="10"/>
        <rFont val="Arial"/>
        <family val="2"/>
      </rPr>
      <t xml:space="preserve">3</t>
    </r>
    <r>
      <rPr>
        <sz val="10"/>
        <rFont val="Arial"/>
        <family val="2"/>
      </rPr>
      <t xml:space="preserve">/v</t>
    </r>
  </si>
  <si>
    <t>Talo 1950-70=55-70, 1970-80=45-55, 1980-2005=35-45, 2000-&gt; =35 ja alle</t>
  </si>
  <si>
    <t>Rakennuksen nimi</t>
  </si>
  <si>
    <t>Asuinrakennus  Matti Maalämmittäjä</t>
  </si>
  <si>
    <t>Lämmitys + käyttövesi, ei taloussähköä, vuosi yhteensä</t>
  </si>
  <si>
    <r>
      <t xml:space="preserve">kWh/m</t>
    </r>
    <r>
      <rPr>
        <b val="true"/>
        <vertAlign val="superscript"/>
        <sz val="10"/>
        <rFont val="Arial"/>
        <family val="2"/>
      </rPr>
      <t xml:space="preserve">2</t>
    </r>
    <r>
      <rPr>
        <b val="true"/>
        <sz val="10"/>
        <rFont val="Arial"/>
        <family val="2"/>
      </rPr>
      <t xml:space="preserve">/v</t>
    </r>
  </si>
  <si>
    <t>Tässä rakennusten ja käyttöveden energiantarve, ilman käyttösähköä.</t>
  </si>
  <si>
    <t>Lähiosoite</t>
  </si>
  <si>
    <t>Kotikatu 21</t>
  </si>
  <si>
    <t>ET luokittamiseksi: Lämmitystarve+Lämminvesi+Taloussähkö</t>
  </si>
  <si>
    <t>ET -luokkaa määritetään. Ei ole sama, kuin E -luokka!</t>
  </si>
  <si>
    <t>ANNA talosi POSTINUMERO LÄMMITYSTARVELUKUJA varten</t>
  </si>
  <si>
    <t>ET -luokan määritys  ( Kilowattituntia vuodessa per bruttoneliömetri )</t>
  </si>
  <si>
    <t> A &lt; 150</t>
  </si>
  <si>
    <t>vapaa teksti</t>
  </si>
  <si>
    <t>Talo 1974, Keski-Suomessa.
3 kerrosta, puoliksi maan alainen kellari, alakerta ja ullakko.
Yläpohjassa 40 cm puhallusvillaa, seinissä 15 cm villat.
Lämmitysöljyn kulutus ollut keskimäärin 3200 litraa/vuosi.</t>
  </si>
  <si>
    <t>Kaikkien tilojen keskimääräiseksi huonelämpötilaksi valittu</t>
  </si>
  <si>
    <t>B 151-170</t>
  </si>
  <si>
    <t>TALOUSLASKELMA, keskiarvovuodelle</t>
  </si>
  <si>
    <t>tehoisella pumpulla</t>
  </si>
  <si>
    <t>C 171-190</t>
  </si>
  <si>
    <t> </t>
  </si>
  <si>
    <t>Kokonaisteho saadaan öljylämmityksellä</t>
  </si>
  <si>
    <t>D 191-230</t>
  </si>
  <si>
    <r>
      <t xml:space="preserve">VALITSE  alasvetovalikosta LATTIA  tai PATTERI -lämmitys      </t>
    </r>
    <r>
      <rPr>
        <b val="true"/>
        <sz val="12"/>
        <rFont val="Arial"/>
        <family val="2"/>
      </rPr>
      <t xml:space="preserve">→    →    →    →</t>
    </r>
  </si>
  <si>
    <t>PATTERI</t>
  </si>
  <si>
    <t>Kokonaisteho saadaan puulämmityksellä</t>
  </si>
  <si>
    <t>E 231-270</t>
  </si>
  <si>
    <t>Lämmitettävä rakennus ala neliömetrit, NETTO, jos tiedossa?</t>
  </si>
  <si>
    <t>Kokonaisteho saadaan sähkölämmityksellä</t>
  </si>
  <si>
    <t>F 271-320</t>
  </si>
  <si>
    <t>Kerrosala neliöt, BRUTTO  (olettaa seinän paksuudeksi 30 cm)</t>
  </si>
  <si>
    <t>Pumpun osuus lämmön tuottamisesta</t>
  </si>
  <si>
    <t>G &gt;321</t>
  </si>
  <si>
    <t>Anna huonekorkeus metreinä tai kuutiot, isompi tulos valitaan.</t>
  </si>
  <si>
    <t>Sähkövastuksella tuotetaan</t>
  </si>
  <si>
    <t>Sähkön kWh hinta, Euroa</t>
  </si>
  <si>
    <t>- Maalämmityslaitteen vuotuinen:  teho, sähkön kulutus ja COP</t>
  </si>
  <si>
    <t>Öljyn litrahinta, Euroa</t>
  </si>
  <si>
    <t>- Pumpun osuus sähkön kulutuksesta</t>
  </si>
  <si>
    <t>Polttopuun kuutiometrihinta, Euroa/m3</t>
  </si>
  <si>
    <t>- Lisälämpövastuksen osuus sähkön kulutuksesta</t>
  </si>
  <si>
    <t>A) Lämmitysöljyn kulutus vuodessa keskimäärin. (Sisältyy lämmin käyttövesi)</t>
  </si>
  <si>
    <t>- Lämmityssähkön kulutus yhteensä vuodessa</t>
  </si>
  <si>
    <t>A) Puupellettejä poltettu vuodessa keskimäärin. (Sisältyy lämmin käyttövesi)</t>
  </si>
  <si>
    <t>- Säästöä tulisi vuodessa öljylämpöön verrattuna</t>
  </si>
  <si>
    <t>A) Halkoja poltettu vuodessa keskimäärin. (Sisältyy lämmin käyttövesi)</t>
  </si>
  <si>
    <t>- Säästöä tulisi vuodessa suorasähköön verrattuna</t>
  </si>
  <si>
    <t>A) Lämmityssähköä vuodessa keskimäärin. (Sisältyy lämmin käyttövesi)</t>
  </si>
  <si>
    <t>Energiaa</t>
  </si>
  <si>
    <t>COP</t>
  </si>
  <si>
    <t>Pumpun sähkö</t>
  </si>
  <si>
    <t>Vastussähköä</t>
  </si>
  <si>
    <t>Sähköä yht.</t>
  </si>
  <si>
    <t>Sähkölasku</t>
  </si>
  <si>
    <t>A) kohta  yhteensä. (Sisältää lämpimän käyttöveden)</t>
  </si>
  <si>
    <t>- Lämmitys kuluttaa</t>
  </si>
  <si>
    <t>B) Suunnittelijan laskema vuosikulutusarvio (Ei sisälly lämmin käyttövesi)</t>
  </si>
  <si>
    <t>- Käyttövesi kuluttaa</t>
  </si>
  <si>
    <t>Rakennusten vuodessa tarvitsema lämmitysenergia</t>
  </si>
  <si>
    <t>- Vastuskäyttö</t>
  </si>
  <si>
    <t>ALLA LÄMPIMÄN KÄYTTÖVEDEN VALINNAT</t>
  </si>
  <si>
    <t>- Lämpö ja vesi yhteensä</t>
  </si>
  <si>
    <t>Lämmitysveden tuoton hyötysuhde, COP ( lattia- / patterilämmitys )</t>
  </si>
  <si>
    <t>LÄMMÖN KERUU</t>
  </si>
  <si>
    <t>Rakennuksessa asuvien henkilöiden lukumäärä</t>
  </si>
  <si>
    <t>KOSTEUS</t>
  </si>
  <si>
    <t>MAALAJI</t>
  </si>
  <si>
    <t>Tuotto/metri</t>
  </si>
  <si>
    <t>PITUUS</t>
  </si>
  <si>
    <t>SYVYYS</t>
  </si>
  <si>
    <t>Käyttöveden tuottamiseen /hlö / vuosi (normi =1000-1200 kWh/hlö/v)</t>
  </si>
  <si>
    <t>Jos keruupiiri PELLOSSA</t>
  </si>
  <si>
    <t>Käyttöveden tuottamiseen kuluu lämpöenergiaa vuodessa energiaa</t>
  </si>
  <si>
    <t>Jos keruu PORAKAIVOSTA, aktiivisyvyys yhtenä kaivona</t>
  </si>
  <si>
    <t>Tämä on tarvittava lämpökaivon aktiivisyvyys, eli syvyys, jossa on aina vettä.</t>
  </si>
  <si>
    <t>Valitse käyttöveden tuoton COP</t>
  </si>
  <si>
    <t> - Kaivon yläosan lämpötila, lämpötilagradientti ja  enimmäistehot</t>
  </si>
  <si>
    <t>Vuotuinen taloussähkön kulutus</t>
  </si>
  <si>
    <t> - Häiriintymättömän kallioperän  keskilämpötila, vuosituotto kalliosta ja kokotuotto</t>
  </si>
  <si>
    <t>Porakaivon lämpötilan kohoaminen  / metri.</t>
  </si>
  <si>
    <t>Lämpöenergiantarve  (lämmitys + käyttövesi- laitesähkö)</t>
  </si>
  <si>
    <t>Kaivo # 1</t>
  </si>
  <si>
    <t>MAAKERUUPIIRI – MITOITTAMINEN</t>
  </si>
  <si>
    <t> - Vuotuinen pumpun tuotto, COP ja lämpökaivosta otettu lämpöenergia</t>
  </si>
  <si>
    <t>Kaivo # 2</t>
  </si>
  <si>
    <t>VALITSE valikosta maalaji, EI TEDOSSA,  HIEKKA,  SAVI,  MOREENI,  SILTTI</t>
  </si>
  <si>
    <t>SAVI</t>
  </si>
  <si>
    <t>Kaivo # 3</t>
  </si>
  <si>
    <t>VALITSE valikosta maan kosteus, EI TIEDOSSA,  KUIVA,  KOSTEA ,   MÄRKÄ </t>
  </si>
  <si>
    <t>KOSTEA</t>
  </si>
  <si>
    <t>PUMPUN TEHOLUOKAN VALINTA,  mitoitus keskiarvovuodelle.  </t>
  </si>
  <si>
    <t>Mitoittava</t>
  </si>
  <si>
    <t>ulkolämpötilat</t>
  </si>
  <si>
    <t>Kaivo # 4</t>
  </si>
  <si>
    <t>Maan keskilämpötila</t>
  </si>
  <si>
    <t>Kun ulkolämpötila on</t>
  </si>
  <si>
    <t>On tarvittava lämmitysteho</t>
  </si>
  <si>
    <t>Maapiirin pituus ja upotussyvyys</t>
  </si>
  <si>
    <t>MÄÄRITETÄÄN MAASTA KERÄTTÄVÄ LÄMPÖENERGIAN OSUUS</t>
  </si>
  <si>
    <t>Paikka</t>
  </si>
  <si>
    <t>Nro</t>
  </si>
  <si>
    <t>Vuosi</t>
  </si>
  <si>
    <t>Tammikuu</t>
  </si>
  <si>
    <t>Lasketaanko lämmönkeruupiiri talon LÄMMITYSTARPEEN  vai PUMPPUTEHON mukaan</t>
  </si>
  <si>
    <t>LÄMMITYSTARPEEN</t>
  </si>
  <si>
    <t>COP valitsemallasi lämpöpumpputeholla..</t>
  </si>
  <si>
    <t>laskettu COP</t>
  </si>
  <si>
    <t>2008 -2013</t>
  </si>
  <si>
    <t>Maarianhamina</t>
  </si>
  <si>
    <t>Vantaa</t>
  </si>
  <si>
    <t>Helsinki</t>
  </si>
  <si>
    <t>Pori</t>
  </si>
  <si>
    <t>Turku</t>
  </si>
  <si>
    <t>Tampere</t>
  </si>
  <si>
    <t>Lahti</t>
  </si>
  <si>
    <t>Lappeenranta</t>
  </si>
  <si>
    <t>Jyväskylä</t>
  </si>
  <si>
    <t>Vaasa</t>
  </si>
  <si>
    <t>Kuopio</t>
  </si>
  <si>
    <t>Joensuu</t>
  </si>
  <si>
    <t>Kajaani</t>
  </si>
  <si>
    <t>Oulu</t>
  </si>
  <si>
    <t>Sodankylä</t>
  </si>
  <si>
    <t>Ivalo</t>
  </si>
  <si>
    <t>Maasta otetaan energiaa</t>
  </si>
  <si>
    <t>Sähköverkosta otettu energia  </t>
  </si>
  <si>
    <t>Tammi</t>
  </si>
  <si>
    <t>Pumpulla saatavissa energiaa vuodessa (= kaivon energia+sähköverkosta otettu energia)  </t>
  </si>
  <si>
    <t>Yhteensä</t>
  </si>
  <si>
    <t>Täystehoisen lämpöpumpun tulisi olla teholtaan vähintään →</t>
  </si>
  <si>
    <t>Täystehoisen lämpöpumpun tulisi olla teholtaan vähintään tämän kokoinen.</t>
  </si>
  <si>
    <t>HEL</t>
  </si>
  <si>
    <t>Helmi</t>
  </si>
  <si>
    <t>LÄMMITYSTARVELUVUT -  NÄILLÄ LASKETAAN</t>
  </si>
  <si>
    <t>OMA PUMPPUTEHON VALINTASI</t>
  </si>
  <si>
    <t>Tämä on valitsemasi pumpun lämmitysteho</t>
  </si>
  <si>
    <t>SODANK</t>
  </si>
  <si>
    <t>Maalis</t>
  </si>
  <si>
    <t>Referenssipaikka</t>
  </si>
  <si>
    <t>Koko vuosi</t>
  </si>
  <si>
    <t>Sen teho riittää täystehoisena tähän alimpaan ulkolämpöön saakka</t>
  </si>
  <si>
    <t>Tätä kylmemmällä säällä valitsemasi pumpun teho ei yksistään riitä.</t>
  </si>
  <si>
    <t>Huhti</t>
  </si>
  <si>
    <t>Kylä</t>
  </si>
  <si>
    <t>Kunta</t>
  </si>
  <si>
    <t>Tuossa ulkolämpötilassa lämpöpumppu käy jatkuvasti.</t>
  </si>
  <si>
    <t>Touko</t>
  </si>
  <si>
    <t>Kuntakerroin  →</t>
  </si>
  <si>
    <t>Sitä kylmemmällä säällä sisälämpö laskee ilman lisälämmönlähdettä. </t>
  </si>
  <si>
    <t>Kesä</t>
  </si>
  <si>
    <t>LÄMPÖPUMPUN MITOITUSLASKELMA</t>
  </si>
  <si>
    <t>Lisälämpönä voi olla pumpun sisään rakennettu sähkövastus tai talon takka. </t>
  </si>
  <si>
    <t>Heinä</t>
  </si>
  <si>
    <t>VALITSE TÄHÄN HALUAMASI LÄMPÖPUMPUN LÄMMITYSTEHO   →</t>
  </si>
  <si>
    <t>Sähkövastuksen käyttö huonontaa pumpun hyötysuhdetta (COP).</t>
  </si>
  <si>
    <t>Elo</t>
  </si>
  <si>
    <t>Kun tämä lukema on noin 25-31%, vastaa pumpun koko talon lämmitystarvetta.!</t>
  </si>
  <si>
    <t>Syys</t>
  </si>
  <si>
    <t>Täysitehoisen pumpun tehon pitäisi olla vähintään    →</t>
  </si>
  <si>
    <t>Huonetilojen keskilämpötila</t>
  </si>
  <si>
    <t>Kun     Kyllä    valittu</t>
  </si>
  <si>
    <t>Valinta</t>
  </si>
  <si>
    <t>Kun     Ei    valittu</t>
  </si>
  <si>
    <t>Loka</t>
  </si>
  <si>
    <t>Jatkuva  lämmitystehontarve,  kun  ulkolämpötila  on ..</t>
  </si>
  <si>
    <t>Tämä mitoitus ei ole takuuarvo. Luota ammattisuunnittelijaan!</t>
  </si>
  <si>
    <t>Valittu</t>
  </si>
  <si>
    <t>Marras</t>
  </si>
  <si>
    <t>VUOTUINEN KULUTUSJAKAUMA</t>
  </si>
  <si>
    <t>Pumpusta</t>
  </si>
  <si>
    <t>Lämmityksen</t>
  </si>
  <si>
    <t>Lämmin</t>
  </si>
  <si>
    <t>Rakennuksen</t>
  </si>
  <si>
    <t>Mitoitus</t>
  </si>
  <si>
    <t>MUT</t>
  </si>
  <si>
    <t>AP-luku</t>
  </si>
  <si>
    <t>Kerroin</t>
  </si>
  <si>
    <t>Mitattu</t>
  </si>
  <si>
    <t>Lämm K</t>
  </si>
  <si>
    <t>Keski-</t>
  </si>
  <si>
    <t>Joulu</t>
  </si>
  <si>
    <t>Päiviä</t>
  </si>
  <si>
    <t>Kuukausi</t>
  </si>
  <si>
    <t>Käyntitunnit</t>
  </si>
  <si>
    <t>Käy tuntia</t>
  </si>
  <si>
    <t>Käyttövesi</t>
  </si>
  <si>
    <t>Rakennus</t>
  </si>
  <si>
    <t>Molemmat yht</t>
  </si>
  <si>
    <t>Pumpulla</t>
  </si>
  <si>
    <t>Vastuksella</t>
  </si>
  <si>
    <t>Sähkön kulutus</t>
  </si>
  <si>
    <t>MAX tehot</t>
  </si>
  <si>
    <t>RAK keski</t>
  </si>
  <si>
    <t>% jakauma</t>
  </si>
  <si>
    <t>vesi</t>
  </si>
  <si>
    <t>lämmitys</t>
  </si>
  <si>
    <t>lämpö</t>
  </si>
  <si>
    <t>k1</t>
  </si>
  <si>
    <t>L-vesi</t>
  </si>
  <si>
    <t>Ap</t>
  </si>
  <si>
    <t>R keskiteho</t>
  </si>
  <si>
    <t>Kyllä</t>
  </si>
  <si>
    <t>%</t>
  </si>
  <si>
    <t>keskil.</t>
  </si>
  <si>
    <t>Keskilämpö</t>
  </si>
  <si>
    <t>REF paikka</t>
  </si>
  <si>
    <t>#</t>
  </si>
  <si>
    <t>Alin lämpö</t>
  </si>
  <si>
    <t>Ap / day</t>
  </si>
  <si>
    <t>Max kW</t>
  </si>
  <si>
    <t>Vajaus</t>
  </si>
  <si>
    <t>RAK keskiteho</t>
  </si>
  <si>
    <t>Tarkistus</t>
  </si>
  <si>
    <t>Helmikuu</t>
  </si>
  <si>
    <t>Maaliskuu</t>
  </si>
  <si>
    <t>Lämpötilaltaan keskimääräisen tammikuun kokonais lämpöenergiantarve</t>
  </si>
  <si>
    <t>Huhtikuu</t>
  </si>
  <si>
    <t>Keskimääräinen energian tarve tunnissa tammikuussa (= keskimääräinen lämmitysteho)</t>
  </si>
  <si>
    <t>Toukokuu</t>
  </si>
  <si>
    <t>Mitoittava lämmityskauden keskilämpö  ja  tammikuun kaskilämpö</t>
  </si>
  <si>
    <t>Kesäkuu</t>
  </si>
  <si>
    <t>Astepäiväluvut, Ilmatieteen laitos, keskiarvo 1971-2000</t>
  </si>
  <si>
    <t>Heinäkuu</t>
  </si>
  <si>
    <t>Paikkakunta</t>
  </si>
  <si>
    <t>Tammikuu keskimäärin</t>
  </si>
  <si>
    <t>ALIN</t>
  </si>
  <si>
    <t>Kallio</t>
  </si>
  <si>
    <t>Elokuu</t>
  </si>
  <si>
    <t>Syyskuu</t>
  </si>
  <si>
    <t>Lokakuu</t>
  </si>
  <si>
    <t>Marraskuu</t>
  </si>
  <si>
    <t>Joulukuu</t>
  </si>
  <si>
    <t>Pakkassumma</t>
  </si>
  <si>
    <t>Oli 970</t>
  </si>
  <si>
    <t>Syvyys</t>
  </si>
  <si>
    <t>m</t>
  </si>
  <si>
    <t>Temp</t>
  </si>
  <si>
    <t>Kun  ”EI”  -valittuna   -kerroin</t>
  </si>
  <si>
    <t>SOD</t>
  </si>
  <si>
    <t>PERUSASETUKSIA       Näitä ei yleensä ole tarpeen muuttaa!</t>
  </si>
  <si>
    <t>Lämmitystarveluvut</t>
  </si>
  <si>
    <t>Linkki</t>
  </si>
  <si>
    <t>Öljyn vuotuinen hyötysuhde, valinta</t>
  </si>
  <si>
    <t>Puupelletin vuotuinen hyötysuhde</t>
  </si>
  <si>
    <t>Polttopuun vuotuinen hyötysuhde</t>
  </si>
  <si>
    <t>Muista tehdä tämä!</t>
  </si>
  <si>
    <t>Prosentit</t>
  </si>
  <si>
    <t>Laitesähköstä  lämmittämiseen, valinta</t>
  </si>
  <si>
    <t>RECALCULATE</t>
  </si>
  <si>
    <t>Talousähköä 3500kWh + per neliömetri</t>
  </si>
  <si>
    <t>LASKE UUDELLEEN</t>
  </si>
  <si>
    <t>Lämmkauden</t>
  </si>
  <si>
    <t>Laskennassa lattialämmityksen COP</t>
  </si>
  <si>
    <t>CNTRL + SHIFT + F9</t>
  </si>
  <si>
    <t>KERUUPIIRI</t>
  </si>
  <si>
    <t>Virallinen MUT</t>
  </si>
  <si>
    <t>keskilämpö</t>
  </si>
  <si>
    <t>KESKI</t>
  </si>
  <si>
    <t>Virallinen</t>
  </si>
  <si>
    <t>Laskennassa patterilämmityksen COP</t>
  </si>
  <si>
    <t>EI TIEDOSSA</t>
  </si>
  <si>
    <t>HIEKKA</t>
  </si>
  <si>
    <t>LAPIN Ap -raja</t>
  </si>
  <si>
    <t>Maarianham</t>
  </si>
  <si>
    <t>Valitse huonelämpötila</t>
  </si>
  <si>
    <t>LAPIN AP kerroin</t>
  </si>
  <si>
    <t>Mitoittavan ulkolämpötilan peruste</t>
  </si>
  <si>
    <t>VIRALLINEN</t>
  </si>
  <si>
    <t>MOREENI</t>
  </si>
  <si>
    <t>ETELÄN raja-arvo</t>
  </si>
  <si>
    <t>Virallisen arvo paikkakunnallesi on </t>
  </si>
  <si>
    <t>ETELÄN -kerroin</t>
  </si>
  <si>
    <t>Laskemalla saatu arvo on</t>
  </si>
  <si>
    <t>SILTTI</t>
  </si>
  <si>
    <t>Lämpökaivon asetusten valinta</t>
  </si>
  <si>
    <t>Energiakaivo</t>
  </si>
  <si>
    <t>Maakeruun mitoitus, maalaji ei tiedossa</t>
  </si>
  <si>
    <t>Kaivossa on maaporausta   [1-120 m]</t>
  </si>
  <si>
    <t>Energiantarve</t>
  </si>
  <si>
    <t>Aktiivisyvyys</t>
  </si>
  <si>
    <t>Maakeruun mitoitus</t>
  </si>
  <si>
    <t>Jossa lämmönjohtumisluku on</t>
  </si>
  <si>
    <t>Lappeenran</t>
  </si>
  <si>
    <t>Kallion kiviaineksen lämmönjohtavuus</t>
  </si>
  <si>
    <t>Kaivon lämpötilojen valinnan mahdollisuudet</t>
  </si>
  <si>
    <t>KUIVA</t>
  </si>
  <si>
    <t>Tässä valitaan häiriintymätön kallioperän lämpötila 20 metrin syvyydessä</t>
  </si>
  <si>
    <t>AUTO</t>
  </si>
  <si>
    <t>MAN  minimi</t>
  </si>
  <si>
    <t>MAN  maksimi</t>
  </si>
  <si>
    <t>*</t>
  </si>
  <si>
    <t>Kallioperän lämpenemiskerroin</t>
  </si>
  <si>
    <t>MÄRKÄ</t>
  </si>
  <si>
    <t>Porakaivon yläosan gradientti</t>
  </si>
  <si>
    <t>Olikin huono kallioperä!</t>
  </si>
  <si>
    <t>Maksimi yhden porakaivon syvyys</t>
  </si>
  <si>
    <t>MAHDOTON</t>
  </si>
  <si>
    <t>A – passiivitalo</t>
  </si>
  <si>
    <t>Energian saanto kaivosta, PERUS kaivo</t>
  </si>
  <si>
    <t>Kohdan alku</t>
  </si>
  <si>
    <t>Kohdan loppu</t>
  </si>
  <si>
    <t>Energiaa saatavissa</t>
  </si>
  <si>
    <t>Metriä kohden</t>
  </si>
  <si>
    <t>A matalaenergiatalo</t>
  </si>
  <si>
    <t>Kaivon ylin osuus</t>
  </si>
  <si>
    <t>Perus</t>
  </si>
  <si>
    <t>A luokka</t>
  </si>
  <si>
    <t>Seuraava osuus alas päin</t>
  </si>
  <si>
    <t>B luokka</t>
  </si>
  <si>
    <t>KOMMENTIT</t>
  </si>
  <si>
    <t>Kalliossa</t>
  </si>
  <si>
    <t>Kaivon alin osuus</t>
  </si>
  <si>
    <t>C luokka</t>
  </si>
  <si>
    <t>Ihan liian pieni</t>
  </si>
  <si>
    <t>Koko kaivo yhtenä kaivona</t>
  </si>
  <si>
    <t>D luokka</t>
  </si>
  <si>
    <t>Liian pieni</t>
  </si>
  <si>
    <t>E luokka</t>
  </si>
  <si>
    <t>Vajaatehoinen</t>
  </si>
  <si>
    <t>Kaivon enimmäissyvyydeksi valittu →</t>
  </si>
  <si>
    <t>Vuosituotto /metri</t>
  </si>
  <si>
    <t>Huippukuorma</t>
  </si>
  <si>
    <t>Kaivon</t>
  </si>
  <si>
    <t>F luokka</t>
  </si>
  <si>
    <t>Osatehoinen</t>
  </si>
  <si>
    <t>Yksi kaivo, josta tarvittava lämpö saadaan</t>
  </si>
  <si>
    <t>G luokka</t>
  </si>
  <si>
    <t>Lähes täysteho</t>
  </si>
  <si>
    <t>Mitoitusvirhe</t>
  </si>
  <si>
    <t>Täystehoinen</t>
  </si>
  <si>
    <t>Vähän yliteho</t>
  </si>
  <si>
    <t>Ylitehoinen</t>
  </si>
  <si>
    <t>Kauhistus</t>
  </si>
  <si>
    <t>Kertoimet</t>
  </si>
  <si>
    <t>Keskikuorma lämpökaivoista vuodessa</t>
  </si>
  <si>
    <t>Porakaivon tehokerroin</t>
  </si>
  <si>
    <t>← Kallion lämpö, Lappi →</t>
  </si>
  <si>
    <t>VARA -mitoitus.  Tässä  lasketaan varamitoitus sille varalle, että poratessa osoittautuukin, että kallioperä olikin ennakoitua huonolaatuisempaa</t>
  </si>
  <si>
    <t>K1</t>
  </si>
  <si>
    <t>ULKOLÄMPÖ</t>
  </si>
  <si>
    <t>Energian saanto huonommasta kaivosta</t>
  </si>
  <si>
    <t>Vara</t>
  </si>
  <si>
    <t>COP-talo</t>
  </si>
  <si>
    <t>COP-Lvesi</t>
  </si>
  <si>
    <t>COP Keskimäärin</t>
  </si>
  <si>
    <t>Vaihtoehtoinen huonompi kallioperä</t>
  </si>
  <si>
    <t>Vuosituotto</t>
  </si>
  <si>
    <t>Kaivo, josta tarvittava lämpö saadaan →</t>
  </si>
  <si>
    <t>Syvyydessä</t>
  </si>
  <si>
    <t>Lämpötila</t>
  </si>
  <si>
    <t>Saanto metriä kohden</t>
  </si>
  <si>
    <t>Saanto yhteensä</t>
  </si>
  <si>
    <t>Lämpötilan gradientti</t>
  </si>
  <si>
    <t>tällä syvyydellä</t>
  </si>
  <si>
    <t>tähän syvyyteen asti</t>
  </si>
  <si>
    <t>k -kallion lämpötila</t>
  </si>
  <si>
    <t>keskimäärin</t>
  </si>
  <si>
    <t>Kallion lämpötilan laskeminen</t>
  </si>
  <si>
    <t>Kulmakerroin</t>
  </si>
  <si>
    <t>Jyväskylä, astepäivät</t>
  </si>
  <si>
    <t>Jyväskylä, lämpö</t>
  </si>
  <si>
    <t>Erotus</t>
  </si>
  <si>
    <t>Lisä</t>
  </si>
  <si>
    <t>KUN KAIVOSSA HUONOMPI KALLIOPERÄ</t>
  </si>
  <si>
    <t>Keskimääräinen teho</t>
  </si>
  <si>
    <t>Tarvitaan</t>
  </si>
  <si>
    <t>Poraussyvyys =</t>
  </si>
  <si>
    <t>Kaivosta tarvitaan</t>
  </si>
  <si>
    <t>Kaivosta saa</t>
  </si>
  <si>
    <t> t  gradient ==&gt;</t>
  </si>
  <si>
    <t>Yhtenä kaivona</t>
  </si>
  <si>
    <t>Jäännös</t>
  </si>
  <si>
    <t>NORMI</t>
  </si>
  <si>
    <t>T grad</t>
  </si>
  <si>
    <t>Total</t>
  </si>
  <si>
    <t>Lämmön</t>
  </si>
  <si>
    <t>Vosituotto</t>
  </si>
  <si>
    <t>Vuosituotto/metri</t>
  </si>
  <si>
    <t>Kohdan lämpötila</t>
  </si>
  <si>
    <t>mK/ m</t>
  </si>
  <si>
    <t>grad</t>
  </si>
  <si>
    <t>t average</t>
  </si>
  <si>
    <t>johto-</t>
  </si>
  <si>
    <t>tuotto</t>
  </si>
  <si>
    <t>syvyys</t>
  </si>
  <si>
    <t>GRAAFI</t>
  </si>
  <si>
    <t>Tutto/metri</t>
  </si>
  <si>
    <t>Gradientti</t>
  </si>
  <si>
    <t>metrit</t>
  </si>
  <si>
    <t>luku</t>
  </si>
  <si>
    <t>Kwh/m Vara</t>
  </si>
  <si>
    <t>yhteensä</t>
  </si>
  <si>
    <t>mertriä</t>
  </si>
  <si>
    <t>x</t>
  </si>
  <si>
    <r>
      <t xml:space="preserve">Laske tässä rakennustesi lämmitystarve.</t>
    </r>
    <r>
      <rPr>
        <sz val="18"/>
        <rFont val="Arial"/>
        <family val="2"/>
      </rPr>
      <t xml:space="preserve"> Laskentaa varten tarvitaan tieto rakennuspaikkakunnasta,  jotta  saadaan rakennuspaikan lämmitystarveluvut.</t>
    </r>
  </si>
  <si>
    <t>NEUVO: Etene ylhäältä alaspäin!</t>
  </si>
  <si>
    <t>LOPPUTULOS ILMAN KÄYTTÖVETTÄ</t>
  </si>
  <si>
    <t>Postinumero</t>
  </si>
  <si>
    <t>Jakso</t>
  </si>
  <si>
    <t>Lämmitystarveluku</t>
  </si>
  <si>
    <t>Lämmityskauden</t>
  </si>
  <si>
    <t>mitoittava keskilämpö</t>
  </si>
  <si>
    <t>Mitoitustehot</t>
  </si>
  <si>
    <t>Mitoittava lämpötila ulkona</t>
  </si>
  <si>
    <t>Josta johtumisvuodot</t>
  </si>
  <si>
    <t>Josta lämmönsiirtokanaali</t>
  </si>
  <si>
    <t>ANNA TÄSSÄ RAKENUSTEN PERUSTIEDOT </t>
  </si>
  <si>
    <t>Rakennus 1</t>
  </si>
  <si>
    <t>Rakennus 2</t>
  </si>
  <si>
    <t>Rakennus 3</t>
  </si>
  <si>
    <t>Rakennus 4</t>
  </si>
  <si>
    <t>Rakennusten tiedot</t>
  </si>
  <si>
    <t>VALITSE  laskentaan: 1=KYLLÄ, 0=EI</t>
  </si>
  <si>
    <t>Kellarikerros</t>
  </si>
  <si>
    <t>Talo</t>
  </si>
  <si>
    <t>Talon yläkerta</t>
  </si>
  <si>
    <t>Autotalli</t>
  </si>
  <si>
    <t>Rakennuksen nimitys</t>
  </si>
  <si>
    <t>Anna RAKENNUSVUOSI</t>
  </si>
  <si>
    <t>Rakennuksen pituus, ulkomitta</t>
  </si>
  <si>
    <t>Rakennuksen leveys, ulkomitta</t>
  </si>
  <si>
    <t>Huonekorkeus</t>
  </si>
  <si>
    <t>Ulkoseinän paksuus</t>
  </si>
  <si>
    <t>RAK määräysten mukainen erotus</t>
  </si>
  <si>
    <t>Ulkoseinän paksuus rakennuslupamääräysten mukaan</t>
  </si>
  <si>
    <t>Välipohjan paksuus</t>
  </si>
  <si>
    <t>Haluttu huonelämpötila</t>
  </si>
  <si>
    <t>Ilman vaihtuminen kertaa tunnissa</t>
  </si>
  <si>
    <t>Ilmanvaihtokoneen hyötysuhde</t>
  </si>
  <si>
    <t>Ilman vaihtuminen litraa sekunnissa</t>
  </si>
  <si>
    <t>Ilmanvaihdon aiheuttama lämpöhukka</t>
  </si>
  <si>
    <t>Ilmanvuotoluku n50</t>
  </si>
  <si>
    <t>              ←                       Ilmavuodot  @  n50 Pascalilla</t>
  </si>
  <si>
    <t>Paine ero ulkoilmaan,  Pascalia,  Pa</t>
  </si>
  <si>
    <t>Tyypillinen 1...6</t>
  </si>
  <si>
    <t>Passiivitalo n50 = 0,6 </t>
  </si>
  <si>
    <r>
      <t xml:space="preserve">Ilmavuotojen määrä m3 </t>
    </r>
    <r>
      <rPr>
        <vertAlign val="superscript"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tunnissa</t>
    </r>
  </si>
  <si>
    <t>Tiivis rakennus n50 = 1 </t>
  </si>
  <si>
    <t>Ilmavuotojen määrä litraa sekunnissa</t>
  </si>
  <si>
    <t>Uudehkot kivitalot n50 = n. 2</t>
  </si>
  <si>
    <t>Tuntivuodon osuus koko tilavuudesta</t>
  </si>
  <si>
    <t>Uudehkot puutalot n50 = n. 2..4</t>
  </si>
  <si>
    <t>Ilmavuotojen aiheuttama lämpöhukka</t>
  </si>
  <si>
    <t>Uudet hirsitalot n50 = n. 6</t>
  </si>
  <si>
    <t>Laskentaerotus, kulutus (kWh)</t>
  </si>
  <si>
    <t>Normaali vanha suomalainen talo n50 = 5..10</t>
  </si>
  <si>
    <t>Laskentaerotus, huipputeho  (kW)</t>
  </si>
  <si>
    <t>Vuotava rakenne n50 = 15 </t>
  </si>
  <si>
    <t>Rakennuksen pituus, sisämitta</t>
  </si>
  <si>
    <t>Rakennuksen leveys, sisämitta</t>
  </si>
  <si>
    <t>Bruttokuutiot</t>
  </si>
  <si>
    <t>Sisätilan lämmitettävät kuutiot</t>
  </si>
  <si>
    <t>Pohjien ala</t>
  </si>
  <si>
    <t>Kerrosala = brm2</t>
  </si>
  <si>
    <t>Lämmitetty ala (sisältää väliseinät)</t>
  </si>
  <si>
    <t>Ulkoseinien alat yhteensä</t>
  </si>
  <si>
    <t>Ulkoseinien ja pohjien alat yhteensä</t>
  </si>
  <si>
    <t>Lämpöhäviöt yhteensä</t>
  </si>
  <si>
    <t>Johtumishäviöt, mitoitusteho</t>
  </si>
  <si>
    <t>Ilmanvaihto, mitoitusteho</t>
  </si>
  <si>
    <t>Ilmavuodot, mitoitusteho</t>
  </si>
  <si>
    <t>Lämpöhäviöt yhteensä, mitoitusteho</t>
  </si>
  <si>
    <t>Sisä- / ulko- keskilämpöerotus</t>
  </si>
  <si>
    <t>Pituus metriä</t>
  </si>
  <si>
    <t>Vuoto Wh/metri</t>
  </si>
  <si>
    <t>Vuoden tunnit</t>
  </si>
  <si>
    <t>kWh/vuosi</t>
  </si>
  <si>
    <t>Lämmönsiirtokanaali</t>
  </si>
  <si>
    <t>Muunna  λ / K -arvo  U-arvoksi</t>
  </si>
  <si>
    <t>Laske tässä uusi U -arvo</t>
  </si>
  <si>
    <t>Johtoluku</t>
  </si>
  <si>
    <t>Eristepaksuus</t>
  </si>
  <si>
    <t>Eristeen</t>
  </si>
  <si>
    <t>U1</t>
  </si>
  <si>
    <t>U2</t>
  </si>
  <si>
    <t>U tot</t>
  </si>
  <si>
    <t>W/mK</t>
  </si>
  <si>
    <t>metreinä</t>
  </si>
  <si>
    <t>U -arvo</t>
  </si>
  <si>
    <t>media</t>
  </si>
  <si>
    <t>RAK 1</t>
  </si>
  <si>
    <t>RAK 2</t>
  </si>
  <si>
    <t>RAK 3</t>
  </si>
  <si>
    <t>RAK 4</t>
  </si>
  <si>
    <t>Tässä lasketaan rakennuksen lämmitystarve rakennuksen seinärakenteiden alojen ja niiden lämmönjohtavuuslukujen, eli U-arvojen avulla.       Aloita laskenta täyttämällä vihreiden ruutujen kysymykset ylimmästä vihreästä alkaen järjestyksessä alaspäin. Kun valitset rakennusvuoden, antaa ohjelma rakennuksen ulkovaipan eri osille viitearvoja, joita voi käyttää, jos et tiedä todellista U-arvoa.      Ohjelma laskee automaattisesti joitakin aloja. Ruudun oikeassa laidassa näkyy tuloste. Kaksikerroksinen rakennus on syytä jakaa kahdeksi rakennukseksi, esimerkiksi alakerta on Rakennus 1 ja yläkerta on Rakennus 2. Tulosta lopuksi printterille tai PDF -tiedostoksi.</t>
  </si>
  <si>
    <t>Uretaani</t>
  </si>
  <si>
    <t>0,026 W/(mK)</t>
  </si>
  <si>
    <t>Lämmönjohtolukuja ( K -arvoja)</t>
  </si>
  <si>
    <t>Polystyreeni</t>
  </si>
  <si>
    <t>0,030 W/(mK)</t>
  </si>
  <si>
    <t> EPS Styrox = n. 0,035 W/mK</t>
  </si>
  <si>
    <t>Eristevillan U-arvo</t>
  </si>
  <si>
    <t>Lamellihirren U-arvo</t>
  </si>
  <si>
    <t>Eristevilla Isover / Paroc =  0,036 – 0,040 W/mK</t>
  </si>
  <si>
    <t>Finnfoam = n.0,035 W/m K</t>
  </si>
  <si>
    <t>Kutteripuru = n. 0,072 – 0,13 W/mK</t>
  </si>
  <si>
    <t>50mm=0,80</t>
  </si>
  <si>
    <t>70mm = 1,71</t>
  </si>
  <si>
    <t>Mineraalivillat = n. 0,040 W/mK</t>
  </si>
  <si>
    <t>100mm=0,40</t>
  </si>
  <si>
    <t>90mm = 1,33</t>
  </si>
  <si>
    <t>Polyuretaani. PUR = 0,022 W/mK</t>
  </si>
  <si>
    <t>150mm=0,27</t>
  </si>
  <si>
    <t>100mm = 1,20</t>
  </si>
  <si>
    <t>Puhallusvilla, lasivilla = n. 0,048 W/mK</t>
  </si>
  <si>
    <t>200mm=0,20</t>
  </si>
  <si>
    <t>120mm = 1,00</t>
  </si>
  <si>
    <t>Polyuretaani SPU = 0,023 W/mK</t>
  </si>
  <si>
    <t>250mm=0,16</t>
  </si>
  <si>
    <t>150mm = 0,80</t>
  </si>
  <si>
    <t>Lamellihirsiseinä = n. 0,12 W/mK</t>
  </si>
  <si>
    <t>300mm=0,13</t>
  </si>
  <si>
    <t>180mm = 0,67</t>
  </si>
  <si>
    <t>400mm=0,10</t>
  </si>
  <si>
    <t>200mm = 0,60</t>
  </si>
  <si>
    <t>U -  VIITEARVOJA</t>
  </si>
  <si>
    <t>220mm = 0,55</t>
  </si>
  <si>
    <t>SUMMA</t>
  </si>
  <si>
    <t>U-arvot</t>
  </si>
  <si>
    <t>Normi 2005</t>
  </si>
  <si>
    <t>Max.2007</t>
  </si>
  <si>
    <t>Matala e 2007</t>
  </si>
  <si>
    <t>Max 2010 →</t>
  </si>
  <si>
    <t>Nollaenergia</t>
  </si>
  <si>
    <t>230mm = 0,52</t>
  </si>
  <si>
    <t>Ulkoseinä</t>
  </si>
  <si>
    <t>240mm = 0,50</t>
  </si>
  <si>
    <t>Yläpohja</t>
  </si>
  <si>
    <t>250mm = 0,48</t>
  </si>
  <si>
    <t>Alapohja</t>
  </si>
  <si>
    <t>280mm = 0,43</t>
  </si>
  <si>
    <t>Ikkunat</t>
  </si>
  <si>
    <t>300mm = 0,40</t>
  </si>
  <si>
    <t>Ovet</t>
  </si>
  <si>
    <t>350mm = 0,34</t>
  </si>
  <si>
    <t>TÄSSÄ LASKETAAN RAKENNUSTEN ULKOVAIPAN LÄPI TAPAHTUVA LÄMPÖVUOTO, ilmanvaihto, ilmavuodot  ja käyttövesi eivät ole tässä mukana</t>
  </si>
  <si>
    <t>Viitearvoilla</t>
  </si>
  <si>
    <t>Pinta-ala</t>
  </si>
  <si>
    <t>Näillä</t>
  </si>
  <si>
    <t>U -viitearvoilla</t>
  </si>
  <si>
    <t>Valitse U-arvo  </t>
  </si>
  <si>
    <t>Tasauslaskentaopas 2012</t>
  </si>
  <si>
    <t>lasketaan</t>
  </si>
  <si>
    <t>Vakituiset asunnot</t>
  </si>
  <si>
    <t>U-arvot, W/(m2 K)</t>
  </si>
  <si>
    <t>Alapohjarakenne 1</t>
  </si>
  <si>
    <t>RAKENNUSOSAT</t>
  </si>
  <si>
    <t>U-arvo</t>
  </si>
  <si>
    <t>Umax</t>
  </si>
  <si>
    <t>Alapohjarakenne 2</t>
  </si>
  <si>
    <t>Lämpimät tilat</t>
  </si>
  <si>
    <t>Yläpohjarakenne 1</t>
  </si>
  <si>
    <t>Yläpohjarakenne 2</t>
  </si>
  <si>
    <t>Hirsiseinä</t>
  </si>
  <si>
    <t>Ovityyppi 1</t>
  </si>
  <si>
    <t>Ovityyppi 2</t>
  </si>
  <si>
    <t>Alapohja (ulkoilmaan rajoittuva)</t>
  </si>
  <si>
    <t>Ikkunat viiteala</t>
  </si>
  <si>
    <t>Ikkunatyyppi 1</t>
  </si>
  <si>
    <t>Alapohja (ryömintätilaan rajoittuva)</t>
  </si>
  <si>
    <t>Ikkunatyyppi 2</t>
  </si>
  <si>
    <t>Alapohja (maanvastainen)</t>
  </si>
  <si>
    <t>Ulkoseinärakenne 1</t>
  </si>
  <si>
    <t>Muu maanvastainen rakennusosa</t>
  </si>
  <si>
    <t>Summa</t>
  </si>
  <si>
    <t>Ulkoseinärakenne 2</t>
  </si>
  <si>
    <t>Ulko-ovet ja tuuletusluukut</t>
  </si>
  <si>
    <t>Kattoikkunat</t>
  </si>
  <si>
    <t>Kattovalokuvut</t>
  </si>
  <si>
    <t>Puolilämpimät tilat ja määräaikaiset rakennukset</t>
  </si>
  <si>
    <t>Lämpimän ja puolilämpimän tilan väliset rakenteet</t>
  </si>
  <si>
    <t>Seinä ja välipohja</t>
  </si>
  <si>
    <t>Ikkunat ja ovet</t>
  </si>
  <si>
    <t>Jäähdytettävän kylmän tilan ja muiden tilojen väliset</t>
  </si>
  <si>
    <t>Loma-asunnot</t>
  </si>
  <si>
    <t>IKKUNAT</t>
  </si>
  <si>
    <t>  Ikkunatyyppi</t>
  </si>
  <si>
    <t>U-arvo  </t>
  </si>
  <si>
    <t>Näkyvä valo</t>
  </si>
  <si>
    <t>Lämmön läp.</t>
  </si>
  <si>
    <t>UV-suoja </t>
  </si>
  <si>
    <t>Vanha kaksilasinen MS-ikkuna</t>
  </si>
  <si>
    <t>VIITEARVOT</t>
  </si>
  <si>
    <t>Kolmilasinen MSE-ikkuna</t>
  </si>
  <si>
    <t>VIITEARVIJA     Tasauslaskentaopas 2012</t>
  </si>
  <si>
    <t>VIITEARVOJA      2013</t>
  </si>
  <si>
    <t>MSE/MSE-AL </t>
  </si>
  <si>
    <t>1.7 </t>
  </si>
  <si>
    <t>Rakenteen osa</t>
  </si>
  <si>
    <t>Puolilämpimät tilat</t>
  </si>
  <si>
    <t>Loma-</t>
  </si>
  <si>
    <t>Normi</t>
  </si>
  <si>
    <t>Matala</t>
  </si>
  <si>
    <t>MSE/MSE-AL SELEKT. </t>
  </si>
  <si>
    <t>1.3 </t>
  </si>
  <si>
    <t>Vertailu</t>
  </si>
  <si>
    <t>Enimmäis-</t>
  </si>
  <si>
    <t>asunnot</t>
  </si>
  <si>
    <t>puutalo</t>
  </si>
  <si>
    <t>energia</t>
  </si>
  <si>
    <t>MSE/MSE-AL SELEKT&amp;ARG </t>
  </si>
  <si>
    <t>1.2 </t>
  </si>
  <si>
    <t>arvo</t>
  </si>
  <si>
    <t>arvot</t>
  </si>
  <si>
    <t>Vert arvo</t>
  </si>
  <si>
    <t>harkkotalo</t>
  </si>
  <si>
    <t>MSE/MSE-AL MONITOIMI/COMFORT </t>
  </si>
  <si>
    <t>1.15 </t>
  </si>
  <si>
    <t>MEK 3 K </t>
  </si>
  <si>
    <t>1.8 </t>
  </si>
  <si>
    <t>MEK 3 K SELEKT. </t>
  </si>
  <si>
    <t>1.35 </t>
  </si>
  <si>
    <t>MEK 3 K MONITOIMI/COMFORT </t>
  </si>
  <si>
    <t>MS </t>
  </si>
  <si>
    <t>2.5 </t>
  </si>
  <si>
    <t>* MS Sisäänaukeava 2-puitteinen 2-lasinen ikkuna
* MSU Sisään/ulosaukeava 2-puitteinen 2-lasinen ikkuna
* MSK Sisäänaukeava 3-puitteinen 3-lasinen ikkuna.
* MSE Sisäänaukeava 2-puitteinen 3-lasinen ikkuna.
* MS2E Sisäänaukeava 2-puitteinen 4-lasinen ikkuna. 2x2-lasinen umpiolasi. U&lt;1,0.
* MEK Kiinteä, 2- tai 3-lasinen umpiolasielementti.
* SE Sisäänaukeava 1-puitteinen, puitteessa 2- tai 3-lasinen umpiolasi.
MSE- ja MSK-ikkunoiden vakio karmisyvyydet ovat 130 mm ja 170 mm.</t>
  </si>
  <si>
    <t>RAKENNUSTEN LÄMMITYSTARVELASKELMA</t>
  </si>
  <si>
    <t>Rak vuosi</t>
  </si>
  <si>
    <t>Huonelämpö</t>
  </si>
  <si>
    <t>Rak. pituus, leveys, korkeus, bruttoala, bruttokuutiot</t>
  </si>
  <si>
    <t>Sisä pituus, leveys, korkeus, ala, ilmakuutiot</t>
  </si>
  <si>
    <t>Ulkovaipan  paksuus, U -arvo, ala, energiankulutus</t>
  </si>
  <si>
    <t>Sisätilan kuutiot, lämpöenergian kulutus kuutiometriä kohden</t>
  </si>
  <si>
    <t>Sisätilan kuutiot, kulutus kuutiometriä ja Astepäivää kohden</t>
  </si>
  <si>
    <t>Bruttoala, kerrosala</t>
  </si>
  <si>
    <t>Nettoala, lämmin ala</t>
  </si>
  <si>
    <t>Umpiseinän ala</t>
  </si>
  <si>
    <t>Koko ulkovaipan pinta-ala yhteensä</t>
  </si>
  <si>
    <t>Ilmanvaihto, hyötysuhde ja energiankulutus vuodessa</t>
  </si>
  <si>
    <t>Ilmavuoto ja siitä aiheutuva energiankulutus vuodessa</t>
  </si>
  <si>
    <t>Rakennukseen tarvitaan lämpötehoa enimmillään noin</t>
  </si>
  <si>
    <t>Käyttöveden lämmitystarve ei ole mukana</t>
  </si>
  <si>
    <t>Enimmäistehot</t>
  </si>
  <si>
    <t>Johtumishäviöt:   mitoituslämpötila, max. Lämmitysteho  ja vuotuinen energian kulutus</t>
  </si>
  <si>
    <t>Ilmanvaihto,  teho ja vuotuinen energiantarve, ei jäähdytystä</t>
  </si>
  <si>
    <t>Ilmavuodot ulkovaipan läpi, max.  teho ja  vuotuinen energia</t>
  </si>
  <si>
    <t>Maksimi lämmitysteho  ja vuotuinen lämmitysenergia yhteensä  ( lämmin käyttövesi ei ole mukana )</t>
  </si>
  <si>
    <t>Bruttokuutiot, max kulutus /m3   ja vuosikulutus /m3</t>
  </si>
  <si>
    <t>Sisätilan lämmitettävät kuutiot, max kulutus /m3   ja vuosikulutus /m3</t>
  </si>
  <si>
    <t>Bruttoala = kerrosala, max teho /m2   ja vuosikulutus /brm2</t>
  </si>
  <si>
    <t>Nettoala, lämmin ala, max teho /m2   ja vuosikulutus / m2</t>
  </si>
  <si>
    <t>POSTI</t>
  </si>
  <si>
    <t>Toimipaikan haku</t>
  </si>
  <si>
    <t>Postinumeron haku</t>
  </si>
  <si>
    <t>NRO</t>
  </si>
  <si>
    <t>REF</t>
  </si>
  <si>
    <t>PAIKKA</t>
  </si>
  <si>
    <t>POSTIPAIKKA</t>
  </si>
  <si>
    <t>Ei kelpaa</t>
  </si>
  <si>
    <t>Akaa</t>
  </si>
  <si>
    <t>Helsinki-Kaisaniemi</t>
  </si>
  <si>
    <t>FMI – LT -luvut</t>
  </si>
  <si>
    <t>TÄLLÄ  SIVULLA  LÄMMÖN  KERUUN  TIEDOT</t>
  </si>
  <si>
    <t>Alahärmä</t>
  </si>
  <si>
    <t>1971-2000</t>
  </si>
  <si>
    <t>Aapajärvi</t>
  </si>
  <si>
    <t>Alajärvi</t>
  </si>
  <si>
    <t>Vantaa, lentoasema</t>
  </si>
  <si>
    <t>Vertailupaikkakunta</t>
  </si>
  <si>
    <t>Maa</t>
  </si>
  <si>
    <t>Huh</t>
  </si>
  <si>
    <t>Tou</t>
  </si>
  <si>
    <t>Hei</t>
  </si>
  <si>
    <t>Mar</t>
  </si>
  <si>
    <t>Jou</t>
  </si>
  <si>
    <t>Tämä mitoituslaskelma on vain suuntaa antava; ei takuumitoitus!</t>
  </si>
  <si>
    <t>Helsingin</t>
  </si>
  <si>
    <t>Aappola</t>
  </si>
  <si>
    <t>Hki postikeskus</t>
  </si>
  <si>
    <t>Alastaro</t>
  </si>
  <si>
    <t>Aavasaksa</t>
  </si>
  <si>
    <t>Alavieska</t>
  </si>
  <si>
    <t>Lämpötehon ja lämpöenergian komponentit täystehoisella lämpöpumpulla</t>
  </si>
  <si>
    <t>Eduskunta</t>
  </si>
  <si>
    <t>Ahjola</t>
  </si>
  <si>
    <t>Alavus</t>
  </si>
  <si>
    <t>Turku, Artukainen</t>
  </si>
  <si>
    <t>Kohteen lämmitystarve on</t>
  </si>
  <si>
    <t>Ahkionlahti</t>
  </si>
  <si>
    <t>Anjalankoski</t>
  </si>
  <si>
    <t>Ahvenanmaa</t>
  </si>
  <si>
    <t>Maasta otetaan energiaa vuodessa</t>
  </si>
  <si>
    <t>Ahlainen</t>
  </si>
  <si>
    <t>Artjärvi</t>
  </si>
  <si>
    <t>Sähköverkosta otetaan energiaa  vuodessa</t>
  </si>
  <si>
    <t>Ahmas</t>
  </si>
  <si>
    <t>Asikkala</t>
  </si>
  <si>
    <t>COP (= hyötysuhde) täystehoisella lämpöpumpulla</t>
  </si>
  <si>
    <t>Ahmoonkylä</t>
  </si>
  <si>
    <t>Askainen</t>
  </si>
  <si>
    <t>Tampere-Pirkkala</t>
  </si>
  <si>
    <t>Virheellinen valinta!</t>
  </si>
  <si>
    <t>Ahmovaara</t>
  </si>
  <si>
    <t>Askola</t>
  </si>
  <si>
    <t>Lattialämmitystalo</t>
  </si>
  <si>
    <t>Aho</t>
  </si>
  <si>
    <t>Aura</t>
  </si>
  <si>
    <t>Patterilämmitystalo</t>
  </si>
  <si>
    <t>Maalaji</t>
  </si>
  <si>
    <t>Pituus</t>
  </si>
  <si>
    <t>Upotussyvyys</t>
  </si>
  <si>
    <t>Ahokylä</t>
  </si>
  <si>
    <t>Brändö</t>
  </si>
  <si>
    <t>Aholansaari</t>
  </si>
  <si>
    <t>Dragsfjärd</t>
  </si>
  <si>
    <t>Aholanvaara</t>
  </si>
  <si>
    <t>Eckerö</t>
  </si>
  <si>
    <t>Ahomäki</t>
  </si>
  <si>
    <t>Elimäki</t>
  </si>
  <si>
    <t>Vaasa, Klemettilä</t>
  </si>
  <si>
    <t>Mitoitus on laskettu lämmitystarpeen mukaan</t>
  </si>
  <si>
    <t>Ahonkylä</t>
  </si>
  <si>
    <t>Eno</t>
  </si>
  <si>
    <t>Kokkola</t>
  </si>
  <si>
    <t>Kaivon lämpötilan muutos, gradientti syvyyksillä 0 – 20 metriä</t>
  </si>
  <si>
    <t>Ahvenainen</t>
  </si>
  <si>
    <t>Enonkoski</t>
  </si>
  <si>
    <t>Kaivon lämpötilan muutos, gradientti syvyyksillä 20  -metristä alaspäin</t>
  </si>
  <si>
    <t>Ahveninen</t>
  </si>
  <si>
    <t>Enontekiö</t>
  </si>
  <si>
    <t> Lämpökaivon perustiedot</t>
  </si>
  <si>
    <t>Pintalämpö</t>
  </si>
  <si>
    <t>Kiviaines</t>
  </si>
  <si>
    <t>Ahvenkoski</t>
  </si>
  <si>
    <t>Espoo</t>
  </si>
  <si>
    <t> Maaporausta</t>
  </si>
  <si>
    <t>Teräsputki</t>
  </si>
  <si>
    <t>Ahvensalmi</t>
  </si>
  <si>
    <t>Eura</t>
  </si>
  <si>
    <t> Kallion ominaisuudet</t>
  </si>
  <si>
    <t>Kallioporaus</t>
  </si>
  <si>
    <t>Ahvenselkä</t>
  </si>
  <si>
    <t>Eurajoki</t>
  </si>
  <si>
    <t>Kemi</t>
  </si>
  <si>
    <t>Energian saanto kaivosta vuodessa</t>
  </si>
  <si>
    <t>Osuus</t>
  </si>
  <si>
    <t>Kaivosta</t>
  </si>
  <si>
    <t>Ahvio</t>
  </si>
  <si>
    <t>Evijärvi</t>
  </si>
  <si>
    <t>Rovaniemi, lentoasema</t>
  </si>
  <si>
    <t>energiaa/m</t>
  </si>
  <si>
    <t>energiaa vuodessa</t>
  </si>
  <si>
    <t>Aijala</t>
  </si>
  <si>
    <t>Finström</t>
  </si>
  <si>
    <t>Sodankylä, lentoasema</t>
  </si>
  <si>
    <t>Aikkila</t>
  </si>
  <si>
    <t>Forssa</t>
  </si>
  <si>
    <t>Ainali</t>
  </si>
  <si>
    <t>Föglö</t>
  </si>
  <si>
    <t>POSTINUMERO EI KELPAA!</t>
  </si>
  <si>
    <t>Ainastalo</t>
  </si>
  <si>
    <t>Geta</t>
  </si>
  <si>
    <t>Koko kaivo</t>
  </si>
  <si>
    <t>Airaksela</t>
  </si>
  <si>
    <t>Haapajärvi</t>
  </si>
  <si>
    <t>Aitakumpu</t>
  </si>
  <si>
    <t>Haapavesi</t>
  </si>
  <si>
    <t>1981-2010</t>
  </si>
  <si>
    <t>Jatkuva lämmönoton keskikuorma kaivosta koko vuoden jaksolle metriä kohden</t>
  </si>
  <si>
    <t>Aitomäki</t>
  </si>
  <si>
    <t>Hailuoto</t>
  </si>
  <si>
    <t>Postinro</t>
  </si>
  <si>
    <t>Hetkellinen lämmönoton maksimikuorma kaivosta metriä kohden</t>
  </si>
  <si>
    <t>Aitoo</t>
  </si>
  <si>
    <t>Halikko</t>
  </si>
  <si>
    <t>Tai  vaihtoehtoisesti  useampana kaivona</t>
  </si>
  <si>
    <t>Aittaniemi</t>
  </si>
  <si>
    <t>Halsua</t>
  </si>
  <si>
    <t>Kaivo</t>
  </si>
  <si>
    <t>Energiaa /metri</t>
  </si>
  <si>
    <t>Kaivosta vuodessa</t>
  </si>
  <si>
    <t>Ostettua energiaa</t>
  </si>
  <si>
    <t>Aittojärvi</t>
  </si>
  <si>
    <t>Hamina</t>
  </si>
  <si>
    <t>Aittokoski</t>
  </si>
  <si>
    <t>Hammarland</t>
  </si>
  <si>
    <t>Hankasalmi</t>
  </si>
  <si>
    <t>Hanko</t>
  </si>
  <si>
    <t>Harjavalta</t>
  </si>
  <si>
    <t>Kaivot yhteensä</t>
  </si>
  <si>
    <t>Hartola</t>
  </si>
  <si>
    <t>Kaivosta otetaan vuoden jaksolla lämpötehoa keskimääräin</t>
  </si>
  <si>
    <t>Akkaansilta</t>
  </si>
  <si>
    <t>Hattula</t>
  </si>
  <si>
    <t>Ala-Honkajoki</t>
  </si>
  <si>
    <t>Hauho</t>
  </si>
  <si>
    <t>Kaivon syvyys on ilmoitettu ns. aktiivisyvyytenä,  eli  syvyytenä,  jossa on aina vettä!</t>
  </si>
  <si>
    <t>Ala-Joutseno</t>
  </si>
  <si>
    <t>Haukipudas</t>
  </si>
  <si>
    <t>Ala-Kieri</t>
  </si>
  <si>
    <t>Haukivuori</t>
  </si>
  <si>
    <t>Ala-Livo</t>
  </si>
  <si>
    <t>Hausjärvi</t>
  </si>
  <si>
    <t>Varamitoitus kaivolle, kun poratessa ilmeni, että olikin oletettua huonompi kiviaines</t>
  </si>
  <si>
    <t>Ala-Luosta</t>
  </si>
  <si>
    <t>Heinola</t>
  </si>
  <si>
    <t>Ala-Pihlaja</t>
  </si>
  <si>
    <t>Heinävesi</t>
  </si>
  <si>
    <t>Ala-Seppä</t>
  </si>
  <si>
    <t>Ala-Siikajärvi</t>
  </si>
  <si>
    <t>Himanka</t>
  </si>
  <si>
    <t>Ala-Siurua</t>
  </si>
  <si>
    <t>Hirvensalmi</t>
  </si>
  <si>
    <t>metriltä</t>
  </si>
  <si>
    <t>Ala-Särkilahti</t>
  </si>
  <si>
    <t>Hollola</t>
  </si>
  <si>
    <t>Ala-Temmes</t>
  </si>
  <si>
    <t>Honkajoki</t>
  </si>
  <si>
    <t>Ala-Valli</t>
  </si>
  <si>
    <t>Houtskari</t>
  </si>
  <si>
    <t>Ala-Viirre</t>
  </si>
  <si>
    <t>Huittinen</t>
  </si>
  <si>
    <t>Ala-Vuokki</t>
  </si>
  <si>
    <t>Humppila</t>
  </si>
  <si>
    <t>Ala-Vuotto</t>
  </si>
  <si>
    <t>Hyrynsalmi</t>
  </si>
  <si>
    <t>Hyvinkää</t>
  </si>
  <si>
    <t>Alakylä</t>
  </si>
  <si>
    <t>Hämeenkoski</t>
  </si>
  <si>
    <t>Alaniemi</t>
  </si>
  <si>
    <t>Hämeenkyrö</t>
  </si>
  <si>
    <t>Alapitkä</t>
  </si>
  <si>
    <t>Hämeenlinna</t>
  </si>
  <si>
    <t>Alaskylä</t>
  </si>
  <si>
    <t>Ii</t>
  </si>
  <si>
    <t>Alastaipale</t>
  </si>
  <si>
    <t>Iisalmi</t>
  </si>
  <si>
    <t>Iitti</t>
  </si>
  <si>
    <t>Jatkuva lämpöenergian keskiteho kaivoista koko vuoden jaksolle </t>
  </si>
  <si>
    <t>Alaveteli</t>
  </si>
  <si>
    <t>Ikaalinen</t>
  </si>
  <si>
    <t>Ilmajoki</t>
  </si>
  <si>
    <t>Ilomantsi</t>
  </si>
  <si>
    <t>Imatra</t>
  </si>
  <si>
    <t>Alhojärvi</t>
  </si>
  <si>
    <t>Inari</t>
  </si>
  <si>
    <t>Alkkia</t>
  </si>
  <si>
    <t>Iniö</t>
  </si>
  <si>
    <t>Alpua</t>
  </si>
  <si>
    <t>Inkoo</t>
  </si>
  <si>
    <t>Alvajärvi</t>
  </si>
  <si>
    <t>Isojoki</t>
  </si>
  <si>
    <t>Alvettula</t>
  </si>
  <si>
    <t>Isokyrö</t>
  </si>
  <si>
    <t>Anetjärvi</t>
  </si>
  <si>
    <t>Angelniemi</t>
  </si>
  <si>
    <t>Jaala</t>
  </si>
  <si>
    <t>Paikan nimitys</t>
  </si>
  <si>
    <t>Anjala</t>
  </si>
  <si>
    <t>Jalasjärvi</t>
  </si>
  <si>
    <t>Annonen</t>
  </si>
  <si>
    <t>Janakkala</t>
  </si>
  <si>
    <t>Inari Ivalo lentoasema  </t>
  </si>
  <si>
    <t>Ansku</t>
  </si>
  <si>
    <t>Anttila</t>
  </si>
  <si>
    <t>Jomala</t>
  </si>
  <si>
    <t>Jomala, Ahvenanmaa</t>
  </si>
  <si>
    <t>Anttola</t>
  </si>
  <si>
    <t>Jokioinen</t>
  </si>
  <si>
    <t>Jyväskylä, lentoasema</t>
  </si>
  <si>
    <t>Arkala</t>
  </si>
  <si>
    <t>Kajaani, lentoasema</t>
  </si>
  <si>
    <t>Arkkukari</t>
  </si>
  <si>
    <t>Joroinen</t>
  </si>
  <si>
    <t>Armisvesi</t>
  </si>
  <si>
    <t>Joutsa</t>
  </si>
  <si>
    <t>Kokkola, Hollihaka</t>
  </si>
  <si>
    <t>Aro</t>
  </si>
  <si>
    <t>Joutseno</t>
  </si>
  <si>
    <t>Kuopio, Ritoniemi</t>
  </si>
  <si>
    <t>Arola</t>
  </si>
  <si>
    <t>Juankoski</t>
  </si>
  <si>
    <t>Lahti, Laune</t>
  </si>
  <si>
    <t>Arrakoski</t>
  </si>
  <si>
    <t>Jurva</t>
  </si>
  <si>
    <t>Lappeenranta, lentoasema</t>
  </si>
  <si>
    <t>Juuka</t>
  </si>
  <si>
    <t>Oulu, Oulunsalo</t>
  </si>
  <si>
    <t>Juupajoki</t>
  </si>
  <si>
    <t>Juva</t>
  </si>
  <si>
    <t>Rovaniemi</t>
  </si>
  <si>
    <t>Asila</t>
  </si>
  <si>
    <t>Laskelman yhteenveto</t>
  </si>
  <si>
    <t>Aska</t>
  </si>
  <si>
    <t>Arvot laskettu keskiarvovuodelle</t>
  </si>
  <si>
    <t>Sipoo</t>
  </si>
  <si>
    <t>Jyväskylän mlk</t>
  </si>
  <si>
    <t>Laskelma on vain suuntaa antava, ei takuuarvo!</t>
  </si>
  <si>
    <t>Jämijärvi</t>
  </si>
  <si>
    <t>Västerskog</t>
  </si>
  <si>
    <t>Asunta</t>
  </si>
  <si>
    <t>Jämsä</t>
  </si>
  <si>
    <t>Gumbostrand</t>
  </si>
  <si>
    <t>Atria</t>
  </si>
  <si>
    <t>Jämsänkoski</t>
  </si>
  <si>
    <t>Söderkulla</t>
  </si>
  <si>
    <t>Aulanko</t>
  </si>
  <si>
    <t>Järvenpää</t>
  </si>
  <si>
    <t>tehoiselle lämpöpumpulle.</t>
  </si>
  <si>
    <t>Hangelby</t>
  </si>
  <si>
    <t>Kaarina</t>
  </si>
  <si>
    <t>Kalkkiranta</t>
  </si>
  <si>
    <t>Aureskoski</t>
  </si>
  <si>
    <t>Kaavi</t>
  </si>
  <si>
    <t>Sipoo-Box</t>
  </si>
  <si>
    <t>Autio</t>
  </si>
  <si>
    <t>U-</t>
  </si>
  <si>
    <t>ARVOJA</t>
  </si>
  <si>
    <t>Autioniemi</t>
  </si>
  <si>
    <t>Energiatehdas</t>
  </si>
  <si>
    <t>Ovi</t>
  </si>
  <si>
    <t>Ikkuna</t>
  </si>
  <si>
    <t>Umpiseinä</t>
  </si>
  <si>
    <t>Autti</t>
  </si>
  <si>
    <t>Kalajoki</t>
  </si>
  <si>
    <t>Positiivitalo</t>
  </si>
  <si>
    <t>Rakennusten vuotuinen lämmitystarve</t>
  </si>
  <si>
    <t>Auttoinen</t>
  </si>
  <si>
    <t>Kalvola</t>
  </si>
  <si>
    <t>Nollaenergiatalo</t>
  </si>
  <si>
    <t>Käyttöveden lämmitystarve</t>
  </si>
  <si>
    <t>Auvainen</t>
  </si>
  <si>
    <t>Kangasala</t>
  </si>
  <si>
    <t>Lähes nollaenergia</t>
  </si>
  <si>
    <t>Molemmat yhteensä</t>
  </si>
  <si>
    <t>Barösund</t>
  </si>
  <si>
    <t>Kangasniemi</t>
  </si>
  <si>
    <t>Hyvä passiivi</t>
  </si>
  <si>
    <t>Bennäs</t>
  </si>
  <si>
    <t>Kankaanpää</t>
  </si>
  <si>
    <t>Passiivitalo</t>
  </si>
  <si>
    <t>Pumpun osuus sähkölaskusta</t>
  </si>
  <si>
    <t>Bergö</t>
  </si>
  <si>
    <t>Kannonkoski</t>
  </si>
  <si>
    <t>Hyvä matalaenergia</t>
  </si>
  <si>
    <t>Vastuslämmityksen osuus sähkölaskusta</t>
  </si>
  <si>
    <t>Bertby</t>
  </si>
  <si>
    <t>Kannus</t>
  </si>
  <si>
    <t>Matalaenergia</t>
  </si>
  <si>
    <t>Björkboda</t>
  </si>
  <si>
    <t>Karijoki</t>
  </si>
  <si>
    <t>Normitalo 2010</t>
  </si>
  <si>
    <t>Björköby</t>
  </si>
  <si>
    <t>Karjaa</t>
  </si>
  <si>
    <t>Normitalo 2005</t>
  </si>
  <si>
    <t>Lämpöpumpun vuotuinen hyötysuhde</t>
  </si>
  <si>
    <t>Bolax</t>
  </si>
  <si>
    <t>Karjalohja</t>
  </si>
  <si>
    <t>Tyypillinen 2002</t>
  </si>
  <si>
    <t>Bollsta</t>
  </si>
  <si>
    <t>Karkkila</t>
  </si>
  <si>
    <t>Tyypillinen 2000</t>
  </si>
  <si>
    <t>Lämmittäminen suorasähköllä maksaisi</t>
  </si>
  <si>
    <t>Bomba</t>
  </si>
  <si>
    <t>Karstula</t>
  </si>
  <si>
    <t>Tyypillinen 1995</t>
  </si>
  <si>
    <t>Lämmittäminen öljyllä maksaisi</t>
  </si>
  <si>
    <t>Bosund</t>
  </si>
  <si>
    <t>Karttula</t>
  </si>
  <si>
    <t>Tyypillinen 1990</t>
  </si>
  <si>
    <t>Boxby</t>
  </si>
  <si>
    <t>Karvia</t>
  </si>
  <si>
    <t>Tyypillinen 1980</t>
  </si>
  <si>
    <t>Taloussähköä kuluu vuodessa</t>
  </si>
  <si>
    <t>Bromarv</t>
  </si>
  <si>
    <t>Tuusula</t>
  </si>
  <si>
    <t>Kaskinen</t>
  </si>
  <si>
    <t>Tyypillinen 1975</t>
  </si>
  <si>
    <t>Lämmityssähköä kuluu vuodessa</t>
  </si>
  <si>
    <t>Helsinki-Vantaa</t>
  </si>
  <si>
    <t>Kauhajoki</t>
  </si>
  <si>
    <t>Kaikki sähkönkulutus yhteensä vuodessa</t>
  </si>
  <si>
    <t>Maantiekylä</t>
  </si>
  <si>
    <t>Kauhava</t>
  </si>
  <si>
    <t>Tyypillinen 1970</t>
  </si>
  <si>
    <t>Maisala</t>
  </si>
  <si>
    <t>Brändövik</t>
  </si>
  <si>
    <t>Kauniainen</t>
  </si>
  <si>
    <t>Tyypillinen 1965</t>
  </si>
  <si>
    <t>Bäckby</t>
  </si>
  <si>
    <t>Kaustinen</t>
  </si>
  <si>
    <t>Tyypillinen 1960</t>
  </si>
  <si>
    <t>Böle</t>
  </si>
  <si>
    <t>Keitele</t>
  </si>
  <si>
    <t>Tyypillinen 1955</t>
  </si>
  <si>
    <t>Dagsmark</t>
  </si>
  <si>
    <t>Tyypillinen 1950</t>
  </si>
  <si>
    <t>Kemijärvi</t>
  </si>
  <si>
    <t>Tyypillinen 1940</t>
  </si>
  <si>
    <t>Dalen</t>
  </si>
  <si>
    <t>Keminmaa</t>
  </si>
  <si>
    <t>Tyypillinen 1935</t>
  </si>
  <si>
    <t>Degerby</t>
  </si>
  <si>
    <t>Kemiö</t>
  </si>
  <si>
    <t>Tyypillinen 1930</t>
  </si>
  <si>
    <t>Kempele</t>
  </si>
  <si>
    <t>Talo vuotaa</t>
  </si>
  <si>
    <t>Dragsvik</t>
  </si>
  <si>
    <t>Kerava</t>
  </si>
  <si>
    <t>Vuotava</t>
  </si>
  <si>
    <t>Kerimäki</t>
  </si>
  <si>
    <t>Aika hatara!</t>
  </si>
  <si>
    <t>Kestilä</t>
  </si>
  <si>
    <t>Tosi hatara!</t>
  </si>
  <si>
    <t>Edsevö</t>
  </si>
  <si>
    <t>Kesälahti</t>
  </si>
  <si>
    <t>Harva!</t>
  </si>
  <si>
    <t>Keuruu</t>
  </si>
  <si>
    <t>Huono!</t>
  </si>
  <si>
    <t>Eijaksela</t>
  </si>
  <si>
    <t>Kihniö</t>
  </si>
  <si>
    <t>Tosi huono!</t>
  </si>
  <si>
    <t>Eilu</t>
  </si>
  <si>
    <t>Nurmijärvi</t>
  </si>
  <si>
    <t>Kiikala</t>
  </si>
  <si>
    <t>Kovin huono!</t>
  </si>
  <si>
    <t>Ekola</t>
  </si>
  <si>
    <t>Kiikoinen</t>
  </si>
  <si>
    <t>Lähes lato!</t>
  </si>
  <si>
    <t>Klaukkala</t>
  </si>
  <si>
    <t>Kiiminki</t>
  </si>
  <si>
    <t>Lato!!</t>
  </si>
  <si>
    <t>Luhtajoki</t>
  </si>
  <si>
    <t>Ellivuori</t>
  </si>
  <si>
    <t>Kinnula</t>
  </si>
  <si>
    <t>Voi tuhoton!!</t>
  </si>
  <si>
    <t>Lepsämä</t>
  </si>
  <si>
    <t>Ellola</t>
  </si>
  <si>
    <t>Kirkkonummi</t>
  </si>
  <si>
    <t>Perttula</t>
  </si>
  <si>
    <t>Elämäjärvi</t>
  </si>
  <si>
    <t>Kisko</t>
  </si>
  <si>
    <t>Emkarby</t>
  </si>
  <si>
    <t>Kitee</t>
  </si>
  <si>
    <t>Palojoki</t>
  </si>
  <si>
    <t>Kittilä</t>
  </si>
  <si>
    <t>Emäsalo</t>
  </si>
  <si>
    <t>Kiukainen</t>
  </si>
  <si>
    <t>Enanranta</t>
  </si>
  <si>
    <t>Kiuruvesi</t>
  </si>
  <si>
    <t>Enklinge</t>
  </si>
  <si>
    <t>Kivijärvi</t>
  </si>
  <si>
    <t>Kodisjoki</t>
  </si>
  <si>
    <t>Ennyinen</t>
  </si>
  <si>
    <t>Kokemäki</t>
  </si>
  <si>
    <t>Kolari</t>
  </si>
  <si>
    <t>Enonkylä</t>
  </si>
  <si>
    <t>Konnevesi</t>
  </si>
  <si>
    <t>Enonlahti</t>
  </si>
  <si>
    <t>Kontiolahti</t>
  </si>
  <si>
    <t>Korpilahti</t>
  </si>
  <si>
    <t>Enäjärvi</t>
  </si>
  <si>
    <t>Korppoo</t>
  </si>
  <si>
    <t>Epoo</t>
  </si>
  <si>
    <t>Korsnäs</t>
  </si>
  <si>
    <t>Erola</t>
  </si>
  <si>
    <t>Kortesjärvi</t>
  </si>
  <si>
    <t>Erottaja</t>
  </si>
  <si>
    <t>Koski Tl</t>
  </si>
  <si>
    <t>Ervasti</t>
  </si>
  <si>
    <t>Kotka</t>
  </si>
  <si>
    <t>Ervelä</t>
  </si>
  <si>
    <t>Kouvola</t>
  </si>
  <si>
    <t>Erä</t>
  </si>
  <si>
    <t>Kristiinankaupunki</t>
  </si>
  <si>
    <t>Eräjärvi</t>
  </si>
  <si>
    <t>Kruunupyy</t>
  </si>
  <si>
    <t>Eskola</t>
  </si>
  <si>
    <t>Kuhmalahti</t>
  </si>
  <si>
    <t>Kuhmo</t>
  </si>
  <si>
    <t>Kuhmoinen</t>
  </si>
  <si>
    <t>Kuivaniemi</t>
  </si>
  <si>
    <t>Kumlinge</t>
  </si>
  <si>
    <t>Jorvas</t>
  </si>
  <si>
    <t>Kuortane</t>
  </si>
  <si>
    <t>Masala</t>
  </si>
  <si>
    <t>Kurikka</t>
  </si>
  <si>
    <t>Luoma</t>
  </si>
  <si>
    <t>Kuru</t>
  </si>
  <si>
    <t>Kantvik</t>
  </si>
  <si>
    <t>Kustavi</t>
  </si>
  <si>
    <t>Upinniemi</t>
  </si>
  <si>
    <t>Kuusamo</t>
  </si>
  <si>
    <t>Kuusankoski</t>
  </si>
  <si>
    <t>Pikkala</t>
  </si>
  <si>
    <t>Kuusjoki</t>
  </si>
  <si>
    <t>Oitmäki</t>
  </si>
  <si>
    <t>Kylmäkoski</t>
  </si>
  <si>
    <t>Lapinkylä</t>
  </si>
  <si>
    <t>Kyyjärvi</t>
  </si>
  <si>
    <t>Kylmälä</t>
  </si>
  <si>
    <t>Siuntio</t>
  </si>
  <si>
    <t>Kälviä</t>
  </si>
  <si>
    <t>Evitskog</t>
  </si>
  <si>
    <t>Kärkölä</t>
  </si>
  <si>
    <t>Kärsämäki</t>
  </si>
  <si>
    <t>Kökar</t>
  </si>
  <si>
    <t>Lappers</t>
  </si>
  <si>
    <t>Köyliö</t>
  </si>
  <si>
    <t>Laihia</t>
  </si>
  <si>
    <t>Laitila</t>
  </si>
  <si>
    <t>Lammi</t>
  </si>
  <si>
    <t>Lapinjärvi</t>
  </si>
  <si>
    <t>Lapinlahti</t>
  </si>
  <si>
    <t>Lappajärvi</t>
  </si>
  <si>
    <t>Lappi</t>
  </si>
  <si>
    <t>Lapua</t>
  </si>
  <si>
    <t>Larsmo</t>
  </si>
  <si>
    <t>Laukaa</t>
  </si>
  <si>
    <t>Lavia</t>
  </si>
  <si>
    <t>Lehtimäki</t>
  </si>
  <si>
    <t>Leivonmäki</t>
  </si>
  <si>
    <t>Lemi</t>
  </si>
  <si>
    <t>Lemland</t>
  </si>
  <si>
    <t>Veikkola</t>
  </si>
  <si>
    <t>Lempäälä</t>
  </si>
  <si>
    <t>Lemu</t>
  </si>
  <si>
    <t>Leppävirta</t>
  </si>
  <si>
    <t>Vihti</t>
  </si>
  <si>
    <t>Lestijärvi</t>
  </si>
  <si>
    <t>Lieksa</t>
  </si>
  <si>
    <t>Nummela</t>
  </si>
  <si>
    <t>Lieto</t>
  </si>
  <si>
    <t>Huhmari</t>
  </si>
  <si>
    <t>Esse</t>
  </si>
  <si>
    <t>Liljendal</t>
  </si>
  <si>
    <t>Tervalampi</t>
  </si>
  <si>
    <t>Etelä-Petruma</t>
  </si>
  <si>
    <t>Liminka</t>
  </si>
  <si>
    <t>Ojakkala</t>
  </si>
  <si>
    <t>Etelä-Portimojärvi</t>
  </si>
  <si>
    <t>Liperi</t>
  </si>
  <si>
    <t>Otalampi</t>
  </si>
  <si>
    <t>Etelä-Vuokko</t>
  </si>
  <si>
    <t>Lohja</t>
  </si>
  <si>
    <t>Selki</t>
  </si>
  <si>
    <t>Eteläinen</t>
  </si>
  <si>
    <t>Lohtaja</t>
  </si>
  <si>
    <t>Etelämaa</t>
  </si>
  <si>
    <t>Loimaa</t>
  </si>
  <si>
    <t>Jokikunta</t>
  </si>
  <si>
    <t>Eugmo</t>
  </si>
  <si>
    <t>Loppi</t>
  </si>
  <si>
    <t>Olkkala</t>
  </si>
  <si>
    <t>Loviisa</t>
  </si>
  <si>
    <t>Vanjärvi</t>
  </si>
  <si>
    <t>Luhanka</t>
  </si>
  <si>
    <t>Lumijoki</t>
  </si>
  <si>
    <t>Lumparland</t>
  </si>
  <si>
    <t>Uusitalo</t>
  </si>
  <si>
    <t>Nummi-Pusula</t>
  </si>
  <si>
    <t>Luopioinen</t>
  </si>
  <si>
    <t>Vihtijärvi</t>
  </si>
  <si>
    <t>Luumäki</t>
  </si>
  <si>
    <t>Ikkala</t>
  </si>
  <si>
    <t>Evo</t>
  </si>
  <si>
    <t>Luvia</t>
  </si>
  <si>
    <t>Pusula</t>
  </si>
  <si>
    <t>Fagervik</t>
  </si>
  <si>
    <t>Längelmäki</t>
  </si>
  <si>
    <t>Hyönölä</t>
  </si>
  <si>
    <t>Filpus</t>
  </si>
  <si>
    <t>Maaninka</t>
  </si>
  <si>
    <t>Suikia</t>
  </si>
  <si>
    <t>Fiskari</t>
  </si>
  <si>
    <t>Salomaa</t>
  </si>
  <si>
    <t>Fiskö</t>
  </si>
  <si>
    <t>Nikkilän</t>
  </si>
  <si>
    <t>Malax</t>
  </si>
  <si>
    <t>Nikkilä</t>
  </si>
  <si>
    <t>Forsby</t>
  </si>
  <si>
    <t>Marttila</t>
  </si>
  <si>
    <t>Martinkylä</t>
  </si>
  <si>
    <t>Masku</t>
  </si>
  <si>
    <t>Paippinen</t>
  </si>
  <si>
    <t>Maxmo</t>
  </si>
  <si>
    <t>Mellilä</t>
  </si>
  <si>
    <t>Merijärvi</t>
  </si>
  <si>
    <t>Merikarvia</t>
  </si>
  <si>
    <t>Talma</t>
  </si>
  <si>
    <t>Merimasku</t>
  </si>
  <si>
    <t>Furuholmen</t>
  </si>
  <si>
    <t>Miehikkälä</t>
  </si>
  <si>
    <t>Mietoinen</t>
  </si>
  <si>
    <t>Mikkeli</t>
  </si>
  <si>
    <t>Förby</t>
  </si>
  <si>
    <t>Mouhijärvi</t>
  </si>
  <si>
    <t>Lahela</t>
  </si>
  <si>
    <t>Gammelby</t>
  </si>
  <si>
    <t>Muhos</t>
  </si>
  <si>
    <t>Nahkela</t>
  </si>
  <si>
    <t>Multia</t>
  </si>
  <si>
    <t>Rusutjärvi</t>
  </si>
  <si>
    <t>Muonio</t>
  </si>
  <si>
    <t>Jäniksenlinna</t>
  </si>
  <si>
    <t>Mustasaari</t>
  </si>
  <si>
    <t>Godby</t>
  </si>
  <si>
    <t>Muurla</t>
  </si>
  <si>
    <t>Mynämäki</t>
  </si>
  <si>
    <t>Myrskylä</t>
  </si>
  <si>
    <t>Mäntsälä</t>
  </si>
  <si>
    <t>Nummenkylä</t>
  </si>
  <si>
    <t>Gottby</t>
  </si>
  <si>
    <t>Mänttä</t>
  </si>
  <si>
    <t>Haarajoki</t>
  </si>
  <si>
    <t>Mäntyharju</t>
  </si>
  <si>
    <t>Kellokoski</t>
  </si>
  <si>
    <t>Naantali</t>
  </si>
  <si>
    <t>Ohkola</t>
  </si>
  <si>
    <t>Gäddrag</t>
  </si>
  <si>
    <t>Nakkila</t>
  </si>
  <si>
    <t>Haapa-Kimola</t>
  </si>
  <si>
    <t>Nastola</t>
  </si>
  <si>
    <t>Sääkskylä</t>
  </si>
  <si>
    <t>Nauvo</t>
  </si>
  <si>
    <t>Numminen</t>
  </si>
  <si>
    <t>Haapakallio</t>
  </si>
  <si>
    <t>Nilsiä</t>
  </si>
  <si>
    <t>Hirvihaara</t>
  </si>
  <si>
    <t>Haapakoski</t>
  </si>
  <si>
    <t>Nivala</t>
  </si>
  <si>
    <t>Sälinkää</t>
  </si>
  <si>
    <t>Haapala</t>
  </si>
  <si>
    <t>Nokia</t>
  </si>
  <si>
    <t>Sahakylä</t>
  </si>
  <si>
    <t>Haapalahti</t>
  </si>
  <si>
    <t>Noormarkku</t>
  </si>
  <si>
    <t>Kaukalampi</t>
  </si>
  <si>
    <t>Haapaluoma</t>
  </si>
  <si>
    <t>Nousiainen</t>
  </si>
  <si>
    <t>Hautjärvi</t>
  </si>
  <si>
    <t>Haapamäki</t>
  </si>
  <si>
    <t>Saarentaus</t>
  </si>
  <si>
    <t>Haapaniemi</t>
  </si>
  <si>
    <t>Nurmes</t>
  </si>
  <si>
    <t>Levanto</t>
  </si>
  <si>
    <t>Haapaoja</t>
  </si>
  <si>
    <t>Röykkä</t>
  </si>
  <si>
    <t>Nurmo</t>
  </si>
  <si>
    <t>Korpi</t>
  </si>
  <si>
    <t>Haapovaara</t>
  </si>
  <si>
    <t>Närpiö</t>
  </si>
  <si>
    <t>Röykän</t>
  </si>
  <si>
    <t>Oravainen</t>
  </si>
  <si>
    <t>Rajamäki</t>
  </si>
  <si>
    <t>Haarajärvi</t>
  </si>
  <si>
    <t>Orimattila</t>
  </si>
  <si>
    <t>Kiljava</t>
  </si>
  <si>
    <t>Haarala</t>
  </si>
  <si>
    <t>Oripää</t>
  </si>
  <si>
    <t>Raala</t>
  </si>
  <si>
    <t>Haaralanniemi</t>
  </si>
  <si>
    <t>Orivesi</t>
  </si>
  <si>
    <t>Jokela</t>
  </si>
  <si>
    <t>Haaroinen</t>
  </si>
  <si>
    <t>Oulainen</t>
  </si>
  <si>
    <t>Nuppulinna</t>
  </si>
  <si>
    <t>Haataja</t>
  </si>
  <si>
    <t>Nukari</t>
  </si>
  <si>
    <t>Haatala</t>
  </si>
  <si>
    <t>Haavanpää</t>
  </si>
  <si>
    <t>Oulunsalo</t>
  </si>
  <si>
    <t>Haavisto</t>
  </si>
  <si>
    <t>Outokumpu</t>
  </si>
  <si>
    <t>Haikara</t>
  </si>
  <si>
    <t>Padasjoki</t>
  </si>
  <si>
    <t>Paimio</t>
  </si>
  <si>
    <t>Haitula</t>
  </si>
  <si>
    <t>Paltamo</t>
  </si>
  <si>
    <t>Hajala</t>
  </si>
  <si>
    <t>Parainen</t>
  </si>
  <si>
    <t>Hakasuo</t>
  </si>
  <si>
    <t>Parikkala</t>
  </si>
  <si>
    <t>Hakko</t>
  </si>
  <si>
    <t>Parkano</t>
  </si>
  <si>
    <t>Hakojärvi</t>
  </si>
  <si>
    <t>Pedersöre</t>
  </si>
  <si>
    <t>Pelkosenniemi</t>
  </si>
  <si>
    <t>Pello</t>
  </si>
  <si>
    <t>Halkia</t>
  </si>
  <si>
    <t>Perho</t>
  </si>
  <si>
    <t>Halkivaha</t>
  </si>
  <si>
    <t>Pernaja</t>
  </si>
  <si>
    <t>Porvoo</t>
  </si>
  <si>
    <t>Perniö</t>
  </si>
  <si>
    <t>Halkokumpu</t>
  </si>
  <si>
    <t>Pertteli</t>
  </si>
  <si>
    <t>Halkosaari</t>
  </si>
  <si>
    <t>Pertunmaa</t>
  </si>
  <si>
    <t>Halli</t>
  </si>
  <si>
    <t>Petäjävesi</t>
  </si>
  <si>
    <t>Hallila</t>
  </si>
  <si>
    <t>Pieksänmaa</t>
  </si>
  <si>
    <t>Halmeniemi</t>
  </si>
  <si>
    <t>Pielavesi</t>
  </si>
  <si>
    <t>Halosenniemi</t>
  </si>
  <si>
    <t>Pietarsaari</t>
  </si>
  <si>
    <t>Kerkkoo</t>
  </si>
  <si>
    <t>Pihtipudas</t>
  </si>
  <si>
    <t>Hamari</t>
  </si>
  <si>
    <t>Haluna</t>
  </si>
  <si>
    <t>Piikkiö</t>
  </si>
  <si>
    <t>Tolkkinen</t>
  </si>
  <si>
    <t>Piippola</t>
  </si>
  <si>
    <t>Kulloonkylä</t>
  </si>
  <si>
    <t>Pirkkala</t>
  </si>
  <si>
    <t>Kulloo</t>
  </si>
  <si>
    <t>Pohja</t>
  </si>
  <si>
    <t>Kärrby</t>
  </si>
  <si>
    <t>Polvijärvi</t>
  </si>
  <si>
    <t>Pomarkku</t>
  </si>
  <si>
    <t>Hinthaara</t>
  </si>
  <si>
    <t>Pornainen</t>
  </si>
  <si>
    <t>Laukkoski</t>
  </si>
  <si>
    <t>Hammaslahti</t>
  </si>
  <si>
    <t>Hamula</t>
  </si>
  <si>
    <t>Hangastaipale</t>
  </si>
  <si>
    <t>Posio</t>
  </si>
  <si>
    <t>Kaarenkylä</t>
  </si>
  <si>
    <t>Hangastenmaa</t>
  </si>
  <si>
    <t>Pudasjärvi</t>
  </si>
  <si>
    <t>Monninkylä</t>
  </si>
  <si>
    <t>Pukkila</t>
  </si>
  <si>
    <t>Ilola</t>
  </si>
  <si>
    <t>Hangonkylä</t>
  </si>
  <si>
    <t>Pulkkila</t>
  </si>
  <si>
    <t>Sannäs</t>
  </si>
  <si>
    <t>Hanhikoski</t>
  </si>
  <si>
    <t>Punkaharju</t>
  </si>
  <si>
    <t>Jakari</t>
  </si>
  <si>
    <t>Hanhikylä</t>
  </si>
  <si>
    <t>Punkalaidun</t>
  </si>
  <si>
    <t>Ylike</t>
  </si>
  <si>
    <t>Hanhisuo</t>
  </si>
  <si>
    <t>Puolanka</t>
  </si>
  <si>
    <t>Hanhivaara</t>
  </si>
  <si>
    <t>Puumala</t>
  </si>
  <si>
    <t>Hanka</t>
  </si>
  <si>
    <t>Pyhtää</t>
  </si>
  <si>
    <t>Tirmo</t>
  </si>
  <si>
    <t>Pyhäjoki</t>
  </si>
  <si>
    <t>Pellinki</t>
  </si>
  <si>
    <t>Pyhäjärvi</t>
  </si>
  <si>
    <t>Österby</t>
  </si>
  <si>
    <t>Pyhäntä</t>
  </si>
  <si>
    <t>Suurpellinki</t>
  </si>
  <si>
    <t>Pyhäranta</t>
  </si>
  <si>
    <t>Kråkö</t>
  </si>
  <si>
    <t>Hannula</t>
  </si>
  <si>
    <t>Pyhäselkä</t>
  </si>
  <si>
    <t>Voolahti</t>
  </si>
  <si>
    <t>Hapuoja</t>
  </si>
  <si>
    <t>Pylkönmäki</t>
  </si>
  <si>
    <t>Harja</t>
  </si>
  <si>
    <t>Pälkäne</t>
  </si>
  <si>
    <t>Vakkola</t>
  </si>
  <si>
    <t>Harjakangas</t>
  </si>
  <si>
    <t>Pöytyä</t>
  </si>
  <si>
    <t>Onkimaa</t>
  </si>
  <si>
    <t>Harjamäki</t>
  </si>
  <si>
    <t>Raahe</t>
  </si>
  <si>
    <t>Korttia</t>
  </si>
  <si>
    <t>Raisio</t>
  </si>
  <si>
    <t>Torpinkylä</t>
  </si>
  <si>
    <t>Harju</t>
  </si>
  <si>
    <t>Rantasalmi</t>
  </si>
  <si>
    <t>Harjula</t>
  </si>
  <si>
    <t>Rantsila</t>
  </si>
  <si>
    <t>Kantele</t>
  </si>
  <si>
    <t>Harjumaa</t>
  </si>
  <si>
    <t>Ranua</t>
  </si>
  <si>
    <t>Tiilää</t>
  </si>
  <si>
    <t>Harjunpää</t>
  </si>
  <si>
    <t>Rauma</t>
  </si>
  <si>
    <t>Huuvari</t>
  </si>
  <si>
    <t>Harjunsalmi</t>
  </si>
  <si>
    <t>Rautalampi</t>
  </si>
  <si>
    <t>Harmaalanranta</t>
  </si>
  <si>
    <t>Rautavaara</t>
  </si>
  <si>
    <t>Lippo</t>
  </si>
  <si>
    <t>Harmoinen</t>
  </si>
  <si>
    <t>Rautjärvi</t>
  </si>
  <si>
    <t>Harola</t>
  </si>
  <si>
    <t>Reisjärvi</t>
  </si>
  <si>
    <t>Juornaankylä</t>
  </si>
  <si>
    <t>Harrström</t>
  </si>
  <si>
    <t>Renko</t>
  </si>
  <si>
    <t>Kankkila</t>
  </si>
  <si>
    <t>Riihimäki</t>
  </si>
  <si>
    <t>Koskenkylän</t>
  </si>
  <si>
    <t>Hartosenpää</t>
  </si>
  <si>
    <t>Ristiina</t>
  </si>
  <si>
    <t>Malmgård</t>
  </si>
  <si>
    <t>Harvia</t>
  </si>
  <si>
    <t>Ristijärvi</t>
  </si>
  <si>
    <t>Harviala</t>
  </si>
  <si>
    <t>Rovaniemen mlk</t>
  </si>
  <si>
    <t>Isnäs</t>
  </si>
  <si>
    <t>Hasula</t>
  </si>
  <si>
    <t>Härkäpää</t>
  </si>
  <si>
    <t>Hatsina</t>
  </si>
  <si>
    <t>Ruokolahti</t>
  </si>
  <si>
    <t>Hatsola</t>
  </si>
  <si>
    <t>Ruotsinpyhtää</t>
  </si>
  <si>
    <t>Järvikunnas</t>
  </si>
  <si>
    <t>Hattu</t>
  </si>
  <si>
    <t>Ruovesi</t>
  </si>
  <si>
    <t>Porlammi</t>
  </si>
  <si>
    <t>Rusko</t>
  </si>
  <si>
    <t>Pukaro</t>
  </si>
  <si>
    <t>Hattuvaara</t>
  </si>
  <si>
    <t>Ruukki</t>
  </si>
  <si>
    <t>Lindkoski</t>
  </si>
  <si>
    <t>Hauhala</t>
  </si>
  <si>
    <t>Rymättylä</t>
  </si>
  <si>
    <t>Heikinkylä</t>
  </si>
  <si>
    <t>Rääkkylä</t>
  </si>
  <si>
    <t>Skinnarby</t>
  </si>
  <si>
    <t>Haukijärvi</t>
  </si>
  <si>
    <t>Saarijärvi</t>
  </si>
  <si>
    <t>Haukila</t>
  </si>
  <si>
    <t>Salla</t>
  </si>
  <si>
    <t>Mickelspiltom</t>
  </si>
  <si>
    <t>Haukilampi</t>
  </si>
  <si>
    <t>Salo</t>
  </si>
  <si>
    <t>Haukiniemi</t>
  </si>
  <si>
    <t>Saltvik</t>
  </si>
  <si>
    <t>Valko</t>
  </si>
  <si>
    <t>Sammatti</t>
  </si>
  <si>
    <t>Sastamala</t>
  </si>
  <si>
    <t>Haukivaara</t>
  </si>
  <si>
    <t>Sauvo</t>
  </si>
  <si>
    <t>Kuggom</t>
  </si>
  <si>
    <t>Savitaipale</t>
  </si>
  <si>
    <t>Tesjoki</t>
  </si>
  <si>
    <t>Haukkala</t>
  </si>
  <si>
    <t>Savonlinna</t>
  </si>
  <si>
    <t>Hauklappi</t>
  </si>
  <si>
    <t>Savonranta</t>
  </si>
  <si>
    <t>Haunia</t>
  </si>
  <si>
    <t>Savukoski</t>
  </si>
  <si>
    <t>Kuninkaankylä</t>
  </si>
  <si>
    <t>Seinäjoki</t>
  </si>
  <si>
    <t>Ruotsinkylä</t>
  </si>
  <si>
    <t>Hautajärvi</t>
  </si>
  <si>
    <t>Sievi</t>
  </si>
  <si>
    <t>Hautakylä</t>
  </si>
  <si>
    <t>Siikainen</t>
  </si>
  <si>
    <t>Hautalahti</t>
  </si>
  <si>
    <t>Siikajoki</t>
  </si>
  <si>
    <t>Siilinjärvi</t>
  </si>
  <si>
    <t>Haveri</t>
  </si>
  <si>
    <t>Simo</t>
  </si>
  <si>
    <t>Haviokoski</t>
  </si>
  <si>
    <t>Havumäki</t>
  </si>
  <si>
    <t>Heikkilänjoki</t>
  </si>
  <si>
    <t>Heikkilänniemi</t>
  </si>
  <si>
    <t>Soini</t>
  </si>
  <si>
    <t>Heimari</t>
  </si>
  <si>
    <t>Somero</t>
  </si>
  <si>
    <t>Heinikka</t>
  </si>
  <si>
    <t>Sonkajärvi</t>
  </si>
  <si>
    <t>Heinistö</t>
  </si>
  <si>
    <t>Sotkamo</t>
  </si>
  <si>
    <t>Risteys</t>
  </si>
  <si>
    <t>Heinlahti</t>
  </si>
  <si>
    <t>Sottunga</t>
  </si>
  <si>
    <t>Sulkava</t>
  </si>
  <si>
    <t>Saukkola</t>
  </si>
  <si>
    <t>Sumiainen</t>
  </si>
  <si>
    <t>Millola</t>
  </si>
  <si>
    <t>Sund</t>
  </si>
  <si>
    <t>Koisjärvi</t>
  </si>
  <si>
    <t>Suodenniemi</t>
  </si>
  <si>
    <t>Hyrsynummi</t>
  </si>
  <si>
    <t>Suolahti</t>
  </si>
  <si>
    <t>Nummi</t>
  </si>
  <si>
    <t>Suomenniemi</t>
  </si>
  <si>
    <t>Jättölä</t>
  </si>
  <si>
    <t>Heinolan</t>
  </si>
  <si>
    <t>Suomusjärvi</t>
  </si>
  <si>
    <t>Leppäkorpi</t>
  </si>
  <si>
    <t>Heinoniemi</t>
  </si>
  <si>
    <t>Suomussalmi</t>
  </si>
  <si>
    <t>Tähtelä</t>
  </si>
  <si>
    <t>Heinoo</t>
  </si>
  <si>
    <t>Suonenjoki</t>
  </si>
  <si>
    <t>Päivölä</t>
  </si>
  <si>
    <t>Heinäaho</t>
  </si>
  <si>
    <t>Sysmä</t>
  </si>
  <si>
    <t>Heinäkylä</t>
  </si>
  <si>
    <t>Säkylä</t>
  </si>
  <si>
    <t>Heinämaa</t>
  </si>
  <si>
    <t>Särkisalo</t>
  </si>
  <si>
    <t>Heinäpohja</t>
  </si>
  <si>
    <t>Taipalsaari</t>
  </si>
  <si>
    <t>Heinävaara</t>
  </si>
  <si>
    <t>Taivalkoski</t>
  </si>
  <si>
    <t>Taivassalo</t>
  </si>
  <si>
    <t>Tammela</t>
  </si>
  <si>
    <t>Pinjainen</t>
  </si>
  <si>
    <t>Heituinlahti</t>
  </si>
  <si>
    <t>Tammisaari</t>
  </si>
  <si>
    <t>Meltolan</t>
  </si>
  <si>
    <t>Hellanmaa</t>
  </si>
  <si>
    <t>Mustio</t>
  </si>
  <si>
    <t>Kaunislahti</t>
  </si>
  <si>
    <t>Hellä</t>
  </si>
  <si>
    <t>Tarvasjoki</t>
  </si>
  <si>
    <t>Åminnefors</t>
  </si>
  <si>
    <t>Helppi</t>
  </si>
  <si>
    <t>Tervo</t>
  </si>
  <si>
    <t>Pohjankuru</t>
  </si>
  <si>
    <t>Helsingby</t>
  </si>
  <si>
    <t>Tervola</t>
  </si>
  <si>
    <t>Teuva</t>
  </si>
  <si>
    <t>Tohmajärvi</t>
  </si>
  <si>
    <t>Toholampi</t>
  </si>
  <si>
    <t>Tenhola</t>
  </si>
  <si>
    <t>Toivakka</t>
  </si>
  <si>
    <t>Tornio</t>
  </si>
  <si>
    <t>Högbacka</t>
  </si>
  <si>
    <t>Tuulos</t>
  </si>
  <si>
    <t>Tuusniemi</t>
  </si>
  <si>
    <t>Skogby</t>
  </si>
  <si>
    <t>Snappertuna</t>
  </si>
  <si>
    <t>Tyrnävä</t>
  </si>
  <si>
    <t>Sandnäsudd</t>
  </si>
  <si>
    <t>Töysä</t>
  </si>
  <si>
    <t>Ullava</t>
  </si>
  <si>
    <t>Skåldö</t>
  </si>
  <si>
    <t>Ulvila</t>
  </si>
  <si>
    <t>Lappohja</t>
  </si>
  <si>
    <t>Urjala</t>
  </si>
  <si>
    <t>Utajärvi</t>
  </si>
  <si>
    <t>Utsjoki</t>
  </si>
  <si>
    <t>Uurainen</t>
  </si>
  <si>
    <t>Uusikaarlepyy</t>
  </si>
  <si>
    <t>Uusikaupunki</t>
  </si>
  <si>
    <t>Vaala</t>
  </si>
  <si>
    <t>Oitti</t>
  </si>
  <si>
    <t>Vahto</t>
  </si>
  <si>
    <t>Mommila</t>
  </si>
  <si>
    <t>Valkeakoski</t>
  </si>
  <si>
    <t>Hietoinen</t>
  </si>
  <si>
    <t>Valkeala</t>
  </si>
  <si>
    <t>Valtimo</t>
  </si>
  <si>
    <t>Hikiä</t>
  </si>
  <si>
    <t>Vammala</t>
  </si>
  <si>
    <t>Ryttylä</t>
  </si>
  <si>
    <t>Vampula</t>
  </si>
  <si>
    <t>Turkhauta</t>
  </si>
  <si>
    <t>Leppäkoski</t>
  </si>
  <si>
    <t>Tervakoski</t>
  </si>
  <si>
    <t>Varkaus</t>
  </si>
  <si>
    <t>Vähikkälä</t>
  </si>
  <si>
    <t>Varpaisjärvi</t>
  </si>
  <si>
    <t>Kormu</t>
  </si>
  <si>
    <t>Vehmaa</t>
  </si>
  <si>
    <t>Launonen</t>
  </si>
  <si>
    <t>Velkua</t>
  </si>
  <si>
    <t>Läyliäinen</t>
  </si>
  <si>
    <t>Vesanto</t>
  </si>
  <si>
    <t>Sajaniemi</t>
  </si>
  <si>
    <t>Vesilahti</t>
  </si>
  <si>
    <t>Jokiniemi</t>
  </si>
  <si>
    <t>Veteli</t>
  </si>
  <si>
    <t>Vieremä</t>
  </si>
  <si>
    <t>Pilpala</t>
  </si>
  <si>
    <t>Vihanti</t>
  </si>
  <si>
    <t>Räyskälä</t>
  </si>
  <si>
    <t>Topeno</t>
  </si>
  <si>
    <t>Viitasaari</t>
  </si>
  <si>
    <t>Vojakkala</t>
  </si>
  <si>
    <t>Viljakkala</t>
  </si>
  <si>
    <t>Lanankoski</t>
  </si>
  <si>
    <t>Vilppula</t>
  </si>
  <si>
    <t>Vimpeli</t>
  </si>
  <si>
    <t>Virolahti</t>
  </si>
  <si>
    <t>Virrat</t>
  </si>
  <si>
    <t>Vuolijoki</t>
  </si>
  <si>
    <t>Vähäkyrö</t>
  </si>
  <si>
    <t>Värdö</t>
  </si>
  <si>
    <t>Västanfjärd</t>
  </si>
  <si>
    <t>Vöyri</t>
  </si>
  <si>
    <t>Yli-Ii</t>
  </si>
  <si>
    <t>Ylihärmä</t>
  </si>
  <si>
    <t>Ylikiiminki</t>
  </si>
  <si>
    <t>Ylistaro</t>
  </si>
  <si>
    <t>Ylitornio</t>
  </si>
  <si>
    <t>Ylivieska</t>
  </si>
  <si>
    <t>Parolannummi</t>
  </si>
  <si>
    <t>Ylämaa</t>
  </si>
  <si>
    <t>Parola</t>
  </si>
  <si>
    <t>Yläne</t>
  </si>
  <si>
    <t>Katinala</t>
  </si>
  <si>
    <t>Ylöjärvi</t>
  </si>
  <si>
    <t>Ypäjä</t>
  </si>
  <si>
    <t>Pekola</t>
  </si>
  <si>
    <t>Äetsä</t>
  </si>
  <si>
    <t>Papinsalmi</t>
  </si>
  <si>
    <t>Ähtäri</t>
  </si>
  <si>
    <t>Jokimaa</t>
  </si>
  <si>
    <t>Äänekoski</t>
  </si>
  <si>
    <t>Saloranta</t>
  </si>
  <si>
    <t>Turenki</t>
  </si>
  <si>
    <t>Kaloinen</t>
  </si>
  <si>
    <t>Lukana</t>
  </si>
  <si>
    <t>Vuohiniemi</t>
  </si>
  <si>
    <t>Rimmilä</t>
  </si>
  <si>
    <t>Iittala</t>
  </si>
  <si>
    <t>Leteensuo</t>
  </si>
  <si>
    <t>Kuurila</t>
  </si>
  <si>
    <t>Lepaa</t>
  </si>
  <si>
    <t>Tyrväntö</t>
  </si>
  <si>
    <t>Valttee</t>
  </si>
  <si>
    <t>Torvoila</t>
  </si>
  <si>
    <t>Kokkila</t>
  </si>
  <si>
    <t>Pohjoinen</t>
  </si>
  <si>
    <t>Sairiala</t>
  </si>
  <si>
    <t>Juttila</t>
  </si>
  <si>
    <t>Hennijoki</t>
  </si>
  <si>
    <t>Sappee</t>
  </si>
  <si>
    <t>Heraniemi</t>
  </si>
  <si>
    <t>Puutikkala</t>
  </si>
  <si>
    <t>Hernejärvi</t>
  </si>
  <si>
    <t>Kuohijoki</t>
  </si>
  <si>
    <t>Hernesmaa</t>
  </si>
  <si>
    <t>Herrala</t>
  </si>
  <si>
    <t>Herttuala</t>
  </si>
  <si>
    <t>Hetejärvi</t>
  </si>
  <si>
    <t>Hevonlahti</t>
  </si>
  <si>
    <t>Hevonpää</t>
  </si>
  <si>
    <t>Hevoskangas</t>
  </si>
  <si>
    <t>Hietakylä</t>
  </si>
  <si>
    <t>Hietama</t>
  </si>
  <si>
    <t>Hietamäki</t>
  </si>
  <si>
    <t>Hietana</t>
  </si>
  <si>
    <t>Kukkila</t>
  </si>
  <si>
    <t>Hietanen</t>
  </si>
  <si>
    <t>Hietaniemi</t>
  </si>
  <si>
    <t>Hiidenniemi</t>
  </si>
  <si>
    <t>Hiilimäki</t>
  </si>
  <si>
    <t>Mäkelä</t>
  </si>
  <si>
    <t>Hiirenmaa</t>
  </si>
  <si>
    <t>Luhtaanmaa</t>
  </si>
  <si>
    <t>Hiirola</t>
  </si>
  <si>
    <t>Hiisi</t>
  </si>
  <si>
    <t>Hiisijärvi</t>
  </si>
  <si>
    <t>Villähde</t>
  </si>
  <si>
    <t>Hiisiö</t>
  </si>
  <si>
    <t>Hiitelä</t>
  </si>
  <si>
    <t>Ruuhijärvi</t>
  </si>
  <si>
    <t>Hiittinen</t>
  </si>
  <si>
    <t>Hillilä</t>
  </si>
  <si>
    <t>Hillo</t>
  </si>
  <si>
    <t>Hillosensalmi</t>
  </si>
  <si>
    <t>Hilmonkoski</t>
  </si>
  <si>
    <t>Hiltula</t>
  </si>
  <si>
    <t>Hiltulanlahti</t>
  </si>
  <si>
    <t>Himalanpohja</t>
  </si>
  <si>
    <t>Himoinen</t>
  </si>
  <si>
    <t>Hinganmaa</t>
  </si>
  <si>
    <t>Hinnerjoki</t>
  </si>
  <si>
    <t>Hirsilä</t>
  </si>
  <si>
    <t>Hirsjärvi</t>
  </si>
  <si>
    <t>Messilä</t>
  </si>
  <si>
    <t>Hirvas</t>
  </si>
  <si>
    <t>Uusikylä</t>
  </si>
  <si>
    <t>Hirvaskoski</t>
  </si>
  <si>
    <t>Okkeri</t>
  </si>
  <si>
    <t>Hirvasvaara</t>
  </si>
  <si>
    <t>Hirvelä</t>
  </si>
  <si>
    <t>Hirvelänkylä</t>
  </si>
  <si>
    <t>Hirvenlahti</t>
  </si>
  <si>
    <t>Taulunportti</t>
  </si>
  <si>
    <t>Villikkala</t>
  </si>
  <si>
    <t>Hirvijoki</t>
  </si>
  <si>
    <t>Kuivanto</t>
  </si>
  <si>
    <t>Hirvijärvi</t>
  </si>
  <si>
    <t>Koskunen</t>
  </si>
  <si>
    <t>Hirvikoski</t>
  </si>
  <si>
    <t>Hirvikylä</t>
  </si>
  <si>
    <t>Niemistö</t>
  </si>
  <si>
    <t>Hirvilahti</t>
  </si>
  <si>
    <t>Virenoja</t>
  </si>
  <si>
    <t>Hirvimäki</t>
  </si>
  <si>
    <t>Pennala</t>
  </si>
  <si>
    <t>Hirvisaari</t>
  </si>
  <si>
    <t>Hirvivuori</t>
  </si>
  <si>
    <t>Niinikoski</t>
  </si>
  <si>
    <t>Hiukkajoki</t>
  </si>
  <si>
    <t>Pakaa</t>
  </si>
  <si>
    <t>Hoikankylä</t>
  </si>
  <si>
    <t>Hoikka</t>
  </si>
  <si>
    <t>Mallusjoki</t>
  </si>
  <si>
    <t>Hoilola</t>
  </si>
  <si>
    <t>Sammalisto</t>
  </si>
  <si>
    <t>Hoisko</t>
  </si>
  <si>
    <t>Hoivamäki</t>
  </si>
  <si>
    <t>Luhtikylä</t>
  </si>
  <si>
    <t>Keituri</t>
  </si>
  <si>
    <t>Mertie</t>
  </si>
  <si>
    <t>Väkkäräpanni</t>
  </si>
  <si>
    <t>Tienmutka</t>
  </si>
  <si>
    <t>Holma</t>
  </si>
  <si>
    <t>Järvelä</t>
  </si>
  <si>
    <t>Honka</t>
  </si>
  <si>
    <t>Tennilä</t>
  </si>
  <si>
    <t>Honkajärvi</t>
  </si>
  <si>
    <t>Koukunmaa</t>
  </si>
  <si>
    <t>Honkakoski</t>
  </si>
  <si>
    <t>Lappila</t>
  </si>
  <si>
    <t>Honkalampi</t>
  </si>
  <si>
    <t>Honkaranta</t>
  </si>
  <si>
    <t>Kutajärvi</t>
  </si>
  <si>
    <t>Honkilahti</t>
  </si>
  <si>
    <t>Sairakkala</t>
  </si>
  <si>
    <t>Sulonen</t>
  </si>
  <si>
    <t>Honkola</t>
  </si>
  <si>
    <t>Hormakumpu</t>
  </si>
  <si>
    <t>Järvenkylä</t>
  </si>
  <si>
    <t>Hormisto</t>
  </si>
  <si>
    <t>Manskivi</t>
  </si>
  <si>
    <t>Horo</t>
  </si>
  <si>
    <t>Koski</t>
  </si>
  <si>
    <t>Horontaipale</t>
  </si>
  <si>
    <t>Hyväneula</t>
  </si>
  <si>
    <t>Horsmanaho</t>
  </si>
  <si>
    <t>Kataloinen</t>
  </si>
  <si>
    <t>Horsmanmäki</t>
  </si>
  <si>
    <t>Sankola</t>
  </si>
  <si>
    <t>Hovi</t>
  </si>
  <si>
    <t>Lieso</t>
  </si>
  <si>
    <t>Hovinmäki</t>
  </si>
  <si>
    <t>Iso-Evo</t>
  </si>
  <si>
    <t>Huhdasjärvi</t>
  </si>
  <si>
    <t>Ronni</t>
  </si>
  <si>
    <t>Huhmarkoski</t>
  </si>
  <si>
    <t>Sipilä</t>
  </si>
  <si>
    <t>Huhtamo</t>
  </si>
  <si>
    <t>Paimela</t>
  </si>
  <si>
    <t>Vesivehmaa</t>
  </si>
  <si>
    <t>Huhtia</t>
  </si>
  <si>
    <t>Urajärvi</t>
  </si>
  <si>
    <t>Huhtijärvi</t>
  </si>
  <si>
    <t>Vääksy</t>
  </si>
  <si>
    <t>Huhtilampi</t>
  </si>
  <si>
    <t>Vuorenmylly</t>
  </si>
  <si>
    <t>Huhus</t>
  </si>
  <si>
    <t>Pietilä</t>
  </si>
  <si>
    <t>Huissi</t>
  </si>
  <si>
    <t>Kalkkinen</t>
  </si>
  <si>
    <t>Hujakkala</t>
  </si>
  <si>
    <t>Viitaila</t>
  </si>
  <si>
    <t>Hukkala</t>
  </si>
  <si>
    <t>Kurhila</t>
  </si>
  <si>
    <t>Humaloja</t>
  </si>
  <si>
    <t>Vähimaa</t>
  </si>
  <si>
    <t>Hummovaara</t>
  </si>
  <si>
    <t>Iso-Äiniö</t>
  </si>
  <si>
    <t>Humppi</t>
  </si>
  <si>
    <t>Maakeski</t>
  </si>
  <si>
    <t>Huopana</t>
  </si>
  <si>
    <t>Nyystölä</t>
  </si>
  <si>
    <t>Huopanankoski</t>
  </si>
  <si>
    <t>Huovilansalmi</t>
  </si>
  <si>
    <t>Mainiemi</t>
  </si>
  <si>
    <t>Huovinrinne</t>
  </si>
  <si>
    <t>Hurissalo</t>
  </si>
  <si>
    <t>Vesijako</t>
  </si>
  <si>
    <t>Hurskaala</t>
  </si>
  <si>
    <t>Torittu</t>
  </si>
  <si>
    <t>Hurttala</t>
  </si>
  <si>
    <t>Kasiniemi</t>
  </si>
  <si>
    <t>Huruksela</t>
  </si>
  <si>
    <t>Vehkakylä</t>
  </si>
  <si>
    <t>Husula</t>
  </si>
  <si>
    <t>Huttula</t>
  </si>
  <si>
    <t>Hutunvaara</t>
  </si>
  <si>
    <t>Poikkijärvi</t>
  </si>
  <si>
    <t>Huuha</t>
  </si>
  <si>
    <t>Huuhanaho</t>
  </si>
  <si>
    <t>Pihlajakoski</t>
  </si>
  <si>
    <t>Huumala</t>
  </si>
  <si>
    <t>Ruolahti</t>
  </si>
  <si>
    <t>Huutjärvi</t>
  </si>
  <si>
    <t>Päijälä</t>
  </si>
  <si>
    <t>Huutokoski</t>
  </si>
  <si>
    <t>Kylämä</t>
  </si>
  <si>
    <t>Huutomäki</t>
  </si>
  <si>
    <t>Puukkoinen</t>
  </si>
  <si>
    <t>Huutotöyry</t>
  </si>
  <si>
    <t>Hyllykallio</t>
  </si>
  <si>
    <t>Hypönniemi</t>
  </si>
  <si>
    <t>Hyrkäs</t>
  </si>
  <si>
    <t>Hyry</t>
  </si>
  <si>
    <t>Myllyoja</t>
  </si>
  <si>
    <t>Vierumäki</t>
  </si>
  <si>
    <t>Hyryoja</t>
  </si>
  <si>
    <t>Hytti</t>
  </si>
  <si>
    <t>Vuolenkoski</t>
  </si>
  <si>
    <t>Hytölä</t>
  </si>
  <si>
    <t>Lusi</t>
  </si>
  <si>
    <t>Vahteristo</t>
  </si>
  <si>
    <t>Onkiniemi</t>
  </si>
  <si>
    <t>Syrjäkoski</t>
  </si>
  <si>
    <t>Paaso</t>
  </si>
  <si>
    <t>Karilanmaa</t>
  </si>
  <si>
    <t>Nikkaroinen</t>
  </si>
  <si>
    <t>Ravioskorpi</t>
  </si>
  <si>
    <t>Ojankorva</t>
  </si>
  <si>
    <t>Nuoramoinen</t>
  </si>
  <si>
    <t>Kuortti</t>
  </si>
  <si>
    <t>Mansikkamäki</t>
  </si>
  <si>
    <t>Kaupinmäki</t>
  </si>
  <si>
    <t>Ruorasmäki</t>
  </si>
  <si>
    <t>Hyynilä</t>
  </si>
  <si>
    <t>Lihavanpää</t>
  </si>
  <si>
    <t>Hyyppä</t>
  </si>
  <si>
    <t>Lepsala</t>
  </si>
  <si>
    <t>Häijää</t>
  </si>
  <si>
    <t>Salajärvi</t>
  </si>
  <si>
    <t>Häkkilä</t>
  </si>
  <si>
    <t>Kuivajärvi</t>
  </si>
  <si>
    <t>Hällinmäki</t>
  </si>
  <si>
    <t>Koitti</t>
  </si>
  <si>
    <t>Hälvänsaari</t>
  </si>
  <si>
    <t>Nokka</t>
  </si>
  <si>
    <t>Murakka</t>
  </si>
  <si>
    <t>Pohela</t>
  </si>
  <si>
    <t>Kalhonkylä</t>
  </si>
  <si>
    <t>Tammihaara</t>
  </si>
  <si>
    <t>Mieskonmäki</t>
  </si>
  <si>
    <t>Uimaniemi</t>
  </si>
  <si>
    <t>Suopelto</t>
  </si>
  <si>
    <t>Särkilampi</t>
  </si>
  <si>
    <t>Liikola</t>
  </si>
  <si>
    <t>Valittula</t>
  </si>
  <si>
    <t>Hämeenmäki</t>
  </si>
  <si>
    <t>Siltasuo</t>
  </si>
  <si>
    <t>Hämäläinen</t>
  </si>
  <si>
    <t>Hännilä</t>
  </si>
  <si>
    <t>Putkijärvi</t>
  </si>
  <si>
    <t>Hänniskylä</t>
  </si>
  <si>
    <t>Tammijärvi</t>
  </si>
  <si>
    <t>Häntälä</t>
  </si>
  <si>
    <t>Pappinen</t>
  </si>
  <si>
    <t>Härkälä</t>
  </si>
  <si>
    <t>Härkämeri</t>
  </si>
  <si>
    <t>Putkilahti</t>
  </si>
  <si>
    <t>Oittila</t>
  </si>
  <si>
    <t>Härmä</t>
  </si>
  <si>
    <t>Hästbacka</t>
  </si>
  <si>
    <t>Högmo</t>
  </si>
  <si>
    <t>Högnabba</t>
  </si>
  <si>
    <t>Högsåra</t>
  </si>
  <si>
    <t>Höljäkkä</t>
  </si>
  <si>
    <t>Hömötti</t>
  </si>
  <si>
    <t>Höytiä</t>
  </si>
  <si>
    <t>Ihaksela</t>
  </si>
  <si>
    <t>Ihamaniemi</t>
  </si>
  <si>
    <t>Ihastjärvi</t>
  </si>
  <si>
    <t>Ihode</t>
  </si>
  <si>
    <t>Iinattijärvi</t>
  </si>
  <si>
    <t>Iisvesi</t>
  </si>
  <si>
    <t>Kalttasuo</t>
  </si>
  <si>
    <t>Ravattula</t>
  </si>
  <si>
    <t>Ikkeläjärvi</t>
  </si>
  <si>
    <t>Littoinen</t>
  </si>
  <si>
    <t>Ikosenniemi</t>
  </si>
  <si>
    <t>Illo</t>
  </si>
  <si>
    <t>Ilmakka</t>
  </si>
  <si>
    <t>Piispanristi</t>
  </si>
  <si>
    <t>Ilmarinen</t>
  </si>
  <si>
    <t>Ilmola</t>
  </si>
  <si>
    <t>Ilmolahti</t>
  </si>
  <si>
    <t>Ilomäki</t>
  </si>
  <si>
    <t>Ilosjoki</t>
  </si>
  <si>
    <t>Iltasmäki</t>
  </si>
  <si>
    <t>Ilvesjoki</t>
  </si>
  <si>
    <t>Ilvesjärvi</t>
  </si>
  <si>
    <t>Ilveskorpi</t>
  </si>
  <si>
    <t>Imanne</t>
  </si>
  <si>
    <t>Poikko</t>
  </si>
  <si>
    <t>Rööla</t>
  </si>
  <si>
    <t>Rauduinen</t>
  </si>
  <si>
    <t>Livonsaari</t>
  </si>
  <si>
    <t>Teersalo</t>
  </si>
  <si>
    <t>Impiö</t>
  </si>
  <si>
    <t>Impola</t>
  </si>
  <si>
    <t>Inget</t>
  </si>
  <si>
    <t>Nutturla</t>
  </si>
  <si>
    <t>Inha</t>
  </si>
  <si>
    <t>Inhan</t>
  </si>
  <si>
    <t>Valpperi</t>
  </si>
  <si>
    <t>Inkere</t>
  </si>
  <si>
    <t>Inkerilä</t>
  </si>
  <si>
    <t>Inkeroinen</t>
  </si>
  <si>
    <t>Paattinen</t>
  </si>
  <si>
    <t>Tortinmäki</t>
  </si>
  <si>
    <t>Irjanne</t>
  </si>
  <si>
    <t>Irni</t>
  </si>
  <si>
    <t>Iskimo</t>
  </si>
  <si>
    <t>Käyrä</t>
  </si>
  <si>
    <t>Vanhalinna</t>
  </si>
  <si>
    <t>Iso-Oksala</t>
  </si>
  <si>
    <t>Iso-Röyhiö</t>
  </si>
  <si>
    <t>Yliskulma</t>
  </si>
  <si>
    <t>Iso-Vimma</t>
  </si>
  <si>
    <t>Killala</t>
  </si>
  <si>
    <t>Suurila</t>
  </si>
  <si>
    <t>Isokoski</t>
  </si>
  <si>
    <t>Prunkila</t>
  </si>
  <si>
    <t>Isokumpu</t>
  </si>
  <si>
    <t>Isokylä</t>
  </si>
  <si>
    <t>Valtala</t>
  </si>
  <si>
    <t>Isorehto</t>
  </si>
  <si>
    <t>Istunmäki</t>
  </si>
  <si>
    <t>Naskarla</t>
  </si>
  <si>
    <t>Itä-Aure</t>
  </si>
  <si>
    <t>Itä-Karttula</t>
  </si>
  <si>
    <t>Preitilä</t>
  </si>
  <si>
    <t>Itä-Soisalo</t>
  </si>
  <si>
    <t>Taatila</t>
  </si>
  <si>
    <t>Itäkoski</t>
  </si>
  <si>
    <t>Itäkylä</t>
  </si>
  <si>
    <t>Karuna</t>
  </si>
  <si>
    <t>Itälahti</t>
  </si>
  <si>
    <t>Kirjala</t>
  </si>
  <si>
    <t>Kuusisto</t>
  </si>
  <si>
    <t>Lielahti</t>
  </si>
  <si>
    <t>Jaalanka</t>
  </si>
  <si>
    <t>Lillandet</t>
  </si>
  <si>
    <t>Jaara</t>
  </si>
  <si>
    <t>Jaatila</t>
  </si>
  <si>
    <t>Mattnäs</t>
  </si>
  <si>
    <t>Nötö</t>
  </si>
  <si>
    <t>Jakkukylä</t>
  </si>
  <si>
    <t>Jakkula</t>
  </si>
  <si>
    <t>Korpoström</t>
  </si>
  <si>
    <t>Jakokoski</t>
  </si>
  <si>
    <t>Utö</t>
  </si>
  <si>
    <t>Jalasjoki</t>
  </si>
  <si>
    <t>Norrskata</t>
  </si>
  <si>
    <t>Jalasto</t>
  </si>
  <si>
    <t>Mossala</t>
  </si>
  <si>
    <t>Jamali</t>
  </si>
  <si>
    <t>Nåtö</t>
  </si>
  <si>
    <t>Kyrö</t>
  </si>
  <si>
    <t>Jarhoinen</t>
  </si>
  <si>
    <t>Kumila</t>
  </si>
  <si>
    <t>Jaurakkajärvi</t>
  </si>
  <si>
    <t>Rahkio</t>
  </si>
  <si>
    <t>Javarus</t>
  </si>
  <si>
    <t>Karinainen</t>
  </si>
  <si>
    <t>Jeesiö</t>
  </si>
  <si>
    <t>Jeesiöjärvi</t>
  </si>
  <si>
    <t>Riihikoski</t>
  </si>
  <si>
    <t>Jepua</t>
  </si>
  <si>
    <t>Jerisjärvi</t>
  </si>
  <si>
    <t>Joenkylä</t>
  </si>
  <si>
    <t>Uusikartano</t>
  </si>
  <si>
    <t>Kolvaa</t>
  </si>
  <si>
    <t>Mariehamn</t>
  </si>
  <si>
    <t>Joki-Kokko</t>
  </si>
  <si>
    <t>Jokihaara</t>
  </si>
  <si>
    <t>Jokijärvi</t>
  </si>
  <si>
    <t>Jokikylä</t>
  </si>
  <si>
    <t>Jokiperä</t>
  </si>
  <si>
    <t>Jokipii</t>
  </si>
  <si>
    <t>Jokirinne</t>
  </si>
  <si>
    <t>Pålsböle</t>
  </si>
  <si>
    <t>Jokisalo</t>
  </si>
  <si>
    <t>Ödkarby</t>
  </si>
  <si>
    <t>Joloskylä</t>
  </si>
  <si>
    <t>Tjudö</t>
  </si>
  <si>
    <t>Jongunjoki</t>
  </si>
  <si>
    <t>Jormua</t>
  </si>
  <si>
    <t>Joukokylä</t>
  </si>
  <si>
    <t>Kastelholm</t>
  </si>
  <si>
    <t>Joutenniva</t>
  </si>
  <si>
    <t>Vårdö</t>
  </si>
  <si>
    <t>Joutsijärvi</t>
  </si>
  <si>
    <t>Juhtimäki</t>
  </si>
  <si>
    <t>Jukaja</t>
  </si>
  <si>
    <t>Jukajärvi</t>
  </si>
  <si>
    <t>Jukola</t>
  </si>
  <si>
    <t>Seglinge</t>
  </si>
  <si>
    <t>Julkujärvi</t>
  </si>
  <si>
    <t>Jumaliskylä</t>
  </si>
  <si>
    <t>Jumesniemi</t>
  </si>
  <si>
    <t>Lappo</t>
  </si>
  <si>
    <t>Jumisko</t>
  </si>
  <si>
    <t>Jungsund</t>
  </si>
  <si>
    <t>Torsholma</t>
  </si>
  <si>
    <t>Juntula</t>
  </si>
  <si>
    <t>Juojärvi</t>
  </si>
  <si>
    <t>Juoksenki</t>
  </si>
  <si>
    <t>Åva</t>
  </si>
  <si>
    <t>Juokslahti</t>
  </si>
  <si>
    <t>Jurmo</t>
  </si>
  <si>
    <t>Juonikylä</t>
  </si>
  <si>
    <t>Juorkuna</t>
  </si>
  <si>
    <t>Juotas</t>
  </si>
  <si>
    <t>Kivikylä</t>
  </si>
  <si>
    <t>Karjala</t>
  </si>
  <si>
    <t>Jurmu</t>
  </si>
  <si>
    <t>Vinkkilä</t>
  </si>
  <si>
    <t>Kirkkomäki</t>
  </si>
  <si>
    <t>Jurvansalo</t>
  </si>
  <si>
    <t>Rautila</t>
  </si>
  <si>
    <t>Juujärvi</t>
  </si>
  <si>
    <t>Juuniemi</t>
  </si>
  <si>
    <t>Vartsaari</t>
  </si>
  <si>
    <t>Juurikka</t>
  </si>
  <si>
    <t>Lokalahti</t>
  </si>
  <si>
    <t>Juurikkalahti</t>
  </si>
  <si>
    <t>Juurikkamäki</t>
  </si>
  <si>
    <t>Juurikkaniemi</t>
  </si>
  <si>
    <t>Juurikorpi</t>
  </si>
  <si>
    <t>Juustovaara</t>
  </si>
  <si>
    <t>Kalanti</t>
  </si>
  <si>
    <t>Juvelankylä</t>
  </si>
  <si>
    <t>Katinhäntä</t>
  </si>
  <si>
    <t>Juvola</t>
  </si>
  <si>
    <t>Jylhä</t>
  </si>
  <si>
    <t>Soukainen</t>
  </si>
  <si>
    <t>Jylhämä</t>
  </si>
  <si>
    <t>Suontaka</t>
  </si>
  <si>
    <t>Jylhänvaara</t>
  </si>
  <si>
    <t>Raulio</t>
  </si>
  <si>
    <t>Jylli</t>
  </si>
  <si>
    <t>Pyhämaa</t>
  </si>
  <si>
    <t>Jylänki</t>
  </si>
  <si>
    <t>Jyri</t>
  </si>
  <si>
    <t>Jyrinki</t>
  </si>
  <si>
    <t>Santtio</t>
  </si>
  <si>
    <t>Jyrkkä</t>
  </si>
  <si>
    <t>Jyrkänkoski</t>
  </si>
  <si>
    <t>Jyrävä</t>
  </si>
  <si>
    <t>Jyskä</t>
  </si>
  <si>
    <t>Romsila</t>
  </si>
  <si>
    <t>Kruusila</t>
  </si>
  <si>
    <t>Tuohittu</t>
  </si>
  <si>
    <t>Kotalato</t>
  </si>
  <si>
    <t>Vartsala</t>
  </si>
  <si>
    <t>Kaninkola</t>
  </si>
  <si>
    <t>Märynummi</t>
  </si>
  <si>
    <t>Vaskio</t>
  </si>
  <si>
    <t>Kumio</t>
  </si>
  <si>
    <t>Raatala</t>
  </si>
  <si>
    <t>Kanunki</t>
  </si>
  <si>
    <t>Jälä</t>
  </si>
  <si>
    <t>Jäminkipohja</t>
  </si>
  <si>
    <t>Rekijoki</t>
  </si>
  <si>
    <t>Lahnajärvi</t>
  </si>
  <si>
    <t>Jänissalo</t>
  </si>
  <si>
    <t>Kettula</t>
  </si>
  <si>
    <t>Jännevirta</t>
  </si>
  <si>
    <t>Laidike</t>
  </si>
  <si>
    <t>Jäppilä</t>
  </si>
  <si>
    <t>Kurkela</t>
  </si>
  <si>
    <t>Toija</t>
  </si>
  <si>
    <t>Orajärvi</t>
  </si>
  <si>
    <t>Knaapila</t>
  </si>
  <si>
    <t>Järvimaa</t>
  </si>
  <si>
    <t>Teijo</t>
  </si>
  <si>
    <t>Jäähdyspohja</t>
  </si>
  <si>
    <t>Ylönkylä</t>
  </si>
  <si>
    <t>Jääkärinkangas</t>
  </si>
  <si>
    <t>Jääli</t>
  </si>
  <si>
    <t>Jääskö</t>
  </si>
  <si>
    <t>Strömma</t>
  </si>
  <si>
    <t>Kaamanen</t>
  </si>
  <si>
    <t>Mathildedal</t>
  </si>
  <si>
    <t>Kraila</t>
  </si>
  <si>
    <t>Kaarnalampi</t>
  </si>
  <si>
    <t>Vreta</t>
  </si>
  <si>
    <t>Kaaro</t>
  </si>
  <si>
    <t>Mjösund</t>
  </si>
  <si>
    <t>Kaartilankoski</t>
  </si>
  <si>
    <t>Kiila</t>
  </si>
  <si>
    <t>Kaasmarkku</t>
  </si>
  <si>
    <t>Reku</t>
  </si>
  <si>
    <t>Kaatamo</t>
  </si>
  <si>
    <t>Pederså</t>
  </si>
  <si>
    <t>Mark</t>
  </si>
  <si>
    <t>Kaidankylä</t>
  </si>
  <si>
    <t>Vestlax</t>
  </si>
  <si>
    <t>Kaihlamäki</t>
  </si>
  <si>
    <t>Kaikkonen</t>
  </si>
  <si>
    <t>Nivelax</t>
  </si>
  <si>
    <t>Kainasto</t>
  </si>
  <si>
    <t>Kainuunkylä</t>
  </si>
  <si>
    <t>Kainuunmäki</t>
  </si>
  <si>
    <t>Kaipiainen</t>
  </si>
  <si>
    <t>Taalintehdas</t>
  </si>
  <si>
    <t>Kaipio</t>
  </si>
  <si>
    <t>Vänoxa</t>
  </si>
  <si>
    <t>Kaipola</t>
  </si>
  <si>
    <t>Kairala</t>
  </si>
  <si>
    <t>Kasnäs</t>
  </si>
  <si>
    <t>Kairila</t>
  </si>
  <si>
    <t>Kaisajoki</t>
  </si>
  <si>
    <t>Rosala</t>
  </si>
  <si>
    <t>Kaislastenlahti</t>
  </si>
  <si>
    <t>Kaitainen</t>
  </si>
  <si>
    <t>Kaitjärvi</t>
  </si>
  <si>
    <t>Kaitsor</t>
  </si>
  <si>
    <t>Kaiturinpää</t>
  </si>
  <si>
    <t>Kaivanto</t>
  </si>
  <si>
    <t>Uotila</t>
  </si>
  <si>
    <t>Kolla</t>
  </si>
  <si>
    <t>Monnanummi</t>
  </si>
  <si>
    <t>Vasarainen</t>
  </si>
  <si>
    <t>Kortela</t>
  </si>
  <si>
    <t>Unaja</t>
  </si>
  <si>
    <t>Vermuntila</t>
  </si>
  <si>
    <t>Kajoo</t>
  </si>
  <si>
    <t>Voiluoto</t>
  </si>
  <si>
    <t>Kakkuri</t>
  </si>
  <si>
    <t>Kalajoen</t>
  </si>
  <si>
    <t>Kalakangas</t>
  </si>
  <si>
    <t>Lapijoki</t>
  </si>
  <si>
    <t>Kalakoski</t>
  </si>
  <si>
    <t>Olkiluoto</t>
  </si>
  <si>
    <t>Kalaniemi</t>
  </si>
  <si>
    <t>Kuivalahti</t>
  </si>
  <si>
    <t>Kullanperä</t>
  </si>
  <si>
    <t>Kemiönsaari</t>
  </si>
  <si>
    <t>Kalax</t>
  </si>
  <si>
    <t>Kaleton</t>
  </si>
  <si>
    <t>Karhunselkä</t>
  </si>
  <si>
    <t>Kodiksami</t>
  </si>
  <si>
    <t>Kuolimaa</t>
  </si>
  <si>
    <t>Kallaanvaara</t>
  </si>
  <si>
    <t>Kalliala</t>
  </si>
  <si>
    <t>Ranta-Kukola</t>
  </si>
  <si>
    <t>Kallioaho</t>
  </si>
  <si>
    <t>Reila</t>
  </si>
  <si>
    <t>Kalliojoki</t>
  </si>
  <si>
    <t>Kalliokoski</t>
  </si>
  <si>
    <t>Panelia</t>
  </si>
  <si>
    <t>Kalliokylä</t>
  </si>
  <si>
    <t>Kalliosuo</t>
  </si>
  <si>
    <t>Saarenmaa</t>
  </si>
  <si>
    <t>Kallislahti</t>
  </si>
  <si>
    <t>Kallo</t>
  </si>
  <si>
    <t>Kauttua</t>
  </si>
  <si>
    <t>Kallträsk</t>
  </si>
  <si>
    <t>Kallunki</t>
  </si>
  <si>
    <t>Naarjoki</t>
  </si>
  <si>
    <t>Kalmari</t>
  </si>
  <si>
    <t>Kalmo</t>
  </si>
  <si>
    <t>Lallinkorpi</t>
  </si>
  <si>
    <t>Kalvitsa</t>
  </si>
  <si>
    <t>Lellainen</t>
  </si>
  <si>
    <t>Kanala</t>
  </si>
  <si>
    <t>Mannila</t>
  </si>
  <si>
    <t>Kanerva</t>
  </si>
  <si>
    <t>Kangasaho</t>
  </si>
  <si>
    <t>Tuiskula</t>
  </si>
  <si>
    <t>Voitoinen</t>
  </si>
  <si>
    <t>Yttilä</t>
  </si>
  <si>
    <t>Kangashäkki</t>
  </si>
  <si>
    <t>Vuori</t>
  </si>
  <si>
    <t>Kangaskylä</t>
  </si>
  <si>
    <t>Kangaslahti</t>
  </si>
  <si>
    <t>Otajoki</t>
  </si>
  <si>
    <t>Kangaslampi</t>
  </si>
  <si>
    <t>Viitakallio</t>
  </si>
  <si>
    <t>Kangasmäki</t>
  </si>
  <si>
    <t>Kankaanranta</t>
  </si>
  <si>
    <t>Kangasto</t>
  </si>
  <si>
    <t>Kangosjärvi</t>
  </si>
  <si>
    <t>Kankainen</t>
  </si>
  <si>
    <t>Kankari</t>
  </si>
  <si>
    <t>Kannas</t>
  </si>
  <si>
    <t>Kannonjärvi</t>
  </si>
  <si>
    <t>Kannonsaha</t>
  </si>
  <si>
    <t>Vanha-Ulvila</t>
  </si>
  <si>
    <t>Kannusjärvi</t>
  </si>
  <si>
    <t>Kannuskoski</t>
  </si>
  <si>
    <t>Kantala</t>
  </si>
  <si>
    <t>Kanteenmaa</t>
  </si>
  <si>
    <t>Kantokylä</t>
  </si>
  <si>
    <t>Kantomaanpää</t>
  </si>
  <si>
    <t>Kantti</t>
  </si>
  <si>
    <t>Kapusta</t>
  </si>
  <si>
    <t>Karankamäki</t>
  </si>
  <si>
    <t>Yyteri</t>
  </si>
  <si>
    <t>Karesuvanto</t>
  </si>
  <si>
    <t>Karhe</t>
  </si>
  <si>
    <t>Karhi</t>
  </si>
  <si>
    <t>Karhukangas</t>
  </si>
  <si>
    <t>Verkkoranta</t>
  </si>
  <si>
    <t>Karhunkylä</t>
  </si>
  <si>
    <t>Peränkylä</t>
  </si>
  <si>
    <t>Karhunpää</t>
  </si>
  <si>
    <t>Merstola</t>
  </si>
  <si>
    <t>Karhuvaara</t>
  </si>
  <si>
    <t>Killanmaa</t>
  </si>
  <si>
    <t>Karigasniemi</t>
  </si>
  <si>
    <t>Satalinna</t>
  </si>
  <si>
    <t>Karinkanta</t>
  </si>
  <si>
    <t>Leineperi</t>
  </si>
  <si>
    <t>Karjakumpu</t>
  </si>
  <si>
    <t>Levanpelto</t>
  </si>
  <si>
    <t>Palus</t>
  </si>
  <si>
    <t>Karjalaisenniemi</t>
  </si>
  <si>
    <t>Koskenranta</t>
  </si>
  <si>
    <t>Karjalankylä</t>
  </si>
  <si>
    <t>Sammalkoski</t>
  </si>
  <si>
    <t>Kullaa</t>
  </si>
  <si>
    <t>Karjulanmäki</t>
  </si>
  <si>
    <t>Söörmarkku</t>
  </si>
  <si>
    <t>Kellahti</t>
  </si>
  <si>
    <t>Karkku</t>
  </si>
  <si>
    <t>Karma</t>
  </si>
  <si>
    <t>Karperö</t>
  </si>
  <si>
    <t>Karsanlahti</t>
  </si>
  <si>
    <t>Karsattila</t>
  </si>
  <si>
    <t>Karsikas</t>
  </si>
  <si>
    <t>Rudanmaa</t>
  </si>
  <si>
    <t>Karsimus</t>
  </si>
  <si>
    <t>Lassila</t>
  </si>
  <si>
    <t>Lamppi</t>
  </si>
  <si>
    <t>Pirttijärvi</t>
  </si>
  <si>
    <t>Karvakko</t>
  </si>
  <si>
    <t>Karvala</t>
  </si>
  <si>
    <t>Pohjansaha</t>
  </si>
  <si>
    <t>Köörtilä</t>
  </si>
  <si>
    <t>Karvasalmi</t>
  </si>
  <si>
    <t>Peippu</t>
  </si>
  <si>
    <t>Karvat</t>
  </si>
  <si>
    <t>Tuorila</t>
  </si>
  <si>
    <t>Karviankylä</t>
  </si>
  <si>
    <t>Sammi</t>
  </si>
  <si>
    <t>Karvila</t>
  </si>
  <si>
    <t>Karvion</t>
  </si>
  <si>
    <t>Otamo</t>
  </si>
  <si>
    <t>Karvonen</t>
  </si>
  <si>
    <t>Keskukylä</t>
  </si>
  <si>
    <t>Karvoskylä</t>
  </si>
  <si>
    <t>Leväsjoki</t>
  </si>
  <si>
    <t>Kasala</t>
  </si>
  <si>
    <t>Saarineva</t>
  </si>
  <si>
    <t>Kaskiinkylä</t>
  </si>
  <si>
    <t>Trolssi</t>
  </si>
  <si>
    <t>Riispyy</t>
  </si>
  <si>
    <t>Kaskisto</t>
  </si>
  <si>
    <t>Kuvaskangas</t>
  </si>
  <si>
    <t>Koittankoski</t>
  </si>
  <si>
    <t>Katajamäki</t>
  </si>
  <si>
    <t>Lautjärvi</t>
  </si>
  <si>
    <t>Katajaranta</t>
  </si>
  <si>
    <t>Leppijärvi</t>
  </si>
  <si>
    <t>Katerma</t>
  </si>
  <si>
    <t>Kattelus</t>
  </si>
  <si>
    <t>Kattilainen</t>
  </si>
  <si>
    <t>Kattilanmäki</t>
  </si>
  <si>
    <t>Koijärvi</t>
  </si>
  <si>
    <t>Lasse</t>
  </si>
  <si>
    <t>Riihivalkama</t>
  </si>
  <si>
    <t>Kauhajärvi</t>
  </si>
  <si>
    <t>Letku</t>
  </si>
  <si>
    <t>Torro</t>
  </si>
  <si>
    <t>Matku</t>
  </si>
  <si>
    <t>Kaukonen</t>
  </si>
  <si>
    <t>Raitoo</t>
  </si>
  <si>
    <t>Kaulinranta</t>
  </si>
  <si>
    <t>Menonen</t>
  </si>
  <si>
    <t>Kaunela</t>
  </si>
  <si>
    <t>Nuutajärvi</t>
  </si>
  <si>
    <t>Savijoki</t>
  </si>
  <si>
    <t>Kaunispää</t>
  </si>
  <si>
    <t>Riihialho</t>
  </si>
  <si>
    <t>Susikas</t>
  </si>
  <si>
    <t>Kauppilanmäki</t>
  </si>
  <si>
    <t>Lautaporras</t>
  </si>
  <si>
    <t>Kaurajärvi</t>
  </si>
  <si>
    <t>Teuro</t>
  </si>
  <si>
    <t>Kaurila</t>
  </si>
  <si>
    <t>Kausala</t>
  </si>
  <si>
    <t>Mustiala</t>
  </si>
  <si>
    <t>Tammelasaari</t>
  </si>
  <si>
    <t>Kautiainen</t>
  </si>
  <si>
    <t>Lepistö</t>
  </si>
  <si>
    <t>Porras</t>
  </si>
  <si>
    <t>Kauvatsa</t>
  </si>
  <si>
    <t>Vistinkoski</t>
  </si>
  <si>
    <t>Kehro</t>
  </si>
  <si>
    <t>Keihärinkoski</t>
  </si>
  <si>
    <t>Ylöpirtti</t>
  </si>
  <si>
    <t>Keikyä</t>
  </si>
  <si>
    <t>Kultela</t>
  </si>
  <si>
    <t>Keisala</t>
  </si>
  <si>
    <t>Somerniemi</t>
  </si>
  <si>
    <t>Keitelepohja</t>
  </si>
  <si>
    <t>Terttilä</t>
  </si>
  <si>
    <t>Kekkilä</t>
  </si>
  <si>
    <t>Kekkonen</t>
  </si>
  <si>
    <t>Sorvasto</t>
  </si>
  <si>
    <t>Kelankylä</t>
  </si>
  <si>
    <t>Pitkäjärvi</t>
  </si>
  <si>
    <t>Pyöli</t>
  </si>
  <si>
    <t>Kello</t>
  </si>
  <si>
    <t>Rautela</t>
  </si>
  <si>
    <t>Kellontekemä</t>
  </si>
  <si>
    <t>Koivukylä</t>
  </si>
  <si>
    <t>Kelloselkä</t>
  </si>
  <si>
    <t>Vähä-Ollila</t>
  </si>
  <si>
    <t>Keltti</t>
  </si>
  <si>
    <t>Kelujärvi</t>
  </si>
  <si>
    <t>Vaulammi</t>
  </si>
  <si>
    <t>Kelvä</t>
  </si>
  <si>
    <t>Latovainio</t>
  </si>
  <si>
    <t>Minkiö</t>
  </si>
  <si>
    <t>Venäjänkangas</t>
  </si>
  <si>
    <t>Murto</t>
  </si>
  <si>
    <t>Urjalankylä</t>
  </si>
  <si>
    <t>Vahonen</t>
  </si>
  <si>
    <t>Välkkilä</t>
  </si>
  <si>
    <t>Tomukorpi</t>
  </si>
  <si>
    <t>Oriniemi</t>
  </si>
  <si>
    <t>Kemilä</t>
  </si>
  <si>
    <t>Liitsola</t>
  </si>
  <si>
    <t>Koskioinen</t>
  </si>
  <si>
    <t>Tursa</t>
  </si>
  <si>
    <t>Vanttila</t>
  </si>
  <si>
    <t>Kerisalo</t>
  </si>
  <si>
    <t>Sadonmaa</t>
  </si>
  <si>
    <t>Kerisalonsaari</t>
  </si>
  <si>
    <t>Orisuo</t>
  </si>
  <si>
    <t>Kerkonjoensuu</t>
  </si>
  <si>
    <t>Kerma</t>
  </si>
  <si>
    <t>Palikkala</t>
  </si>
  <si>
    <t>Kerälä</t>
  </si>
  <si>
    <t>Keski-Palokka</t>
  </si>
  <si>
    <t>Keski-Posio</t>
  </si>
  <si>
    <t>Keskijärvi</t>
  </si>
  <si>
    <t>Keskikylä</t>
  </si>
  <si>
    <t>Kojonkulma</t>
  </si>
  <si>
    <t>Kesti</t>
  </si>
  <si>
    <t>Kojonperä</t>
  </si>
  <si>
    <t>Metsämaa</t>
  </si>
  <si>
    <t>Kesusmaa</t>
  </si>
  <si>
    <t>Ketolanoja</t>
  </si>
  <si>
    <t>Niinijoki</t>
  </si>
  <si>
    <t>Keurusselkä</t>
  </si>
  <si>
    <t>Ylhäinen</t>
  </si>
  <si>
    <t>Tammiainen</t>
  </si>
  <si>
    <t>Kianta</t>
  </si>
  <si>
    <t>Kierinki</t>
  </si>
  <si>
    <t>Teinikivi</t>
  </si>
  <si>
    <t>Kihlanki</t>
  </si>
  <si>
    <t>Virttaa</t>
  </si>
  <si>
    <t>Latva</t>
  </si>
  <si>
    <t>Kiihtelysvaara</t>
  </si>
  <si>
    <t>Rutava</t>
  </si>
  <si>
    <t>Kukonharja</t>
  </si>
  <si>
    <t>Kiikka</t>
  </si>
  <si>
    <t>Sampu</t>
  </si>
  <si>
    <t>Kiimajärvi</t>
  </si>
  <si>
    <t>Kiiskilampi</t>
  </si>
  <si>
    <t>Suttila</t>
  </si>
  <si>
    <t>Kiistala</t>
  </si>
  <si>
    <t>Kiittämä</t>
  </si>
  <si>
    <t>Peipohja</t>
  </si>
  <si>
    <t>Riste</t>
  </si>
  <si>
    <t>Killinkoski</t>
  </si>
  <si>
    <t>Kyttälä</t>
  </si>
  <si>
    <t>Kilpisjärvi</t>
  </si>
  <si>
    <t>Korkeaoja</t>
  </si>
  <si>
    <t>Kilpua</t>
  </si>
  <si>
    <t>Kilvakkala</t>
  </si>
  <si>
    <t>Kiminginkylä</t>
  </si>
  <si>
    <t>Kiminki</t>
  </si>
  <si>
    <t>Kimo</t>
  </si>
  <si>
    <t>Kimola</t>
  </si>
  <si>
    <t>Kimonkylä</t>
  </si>
  <si>
    <t>Kinahmo</t>
  </si>
  <si>
    <t>Kinkomaa</t>
  </si>
  <si>
    <t>Kinnas</t>
  </si>
  <si>
    <t>Kinnasniemi</t>
  </si>
  <si>
    <t>Kinni</t>
  </si>
  <si>
    <t>Kinnulanlahti</t>
  </si>
  <si>
    <t>Kintaus</t>
  </si>
  <si>
    <t>Kinturi</t>
  </si>
  <si>
    <t>Pitkäniemi</t>
  </si>
  <si>
    <t>Kipinä</t>
  </si>
  <si>
    <t>Kirjavala</t>
  </si>
  <si>
    <t>Vuorentausta</t>
  </si>
  <si>
    <t>Siivikkala</t>
  </si>
  <si>
    <t>Kiteenlahti</t>
  </si>
  <si>
    <t>Kitinoja</t>
  </si>
  <si>
    <t>Kitka</t>
  </si>
  <si>
    <t>Kitsi</t>
  </si>
  <si>
    <t>Kiurujärvi</t>
  </si>
  <si>
    <t>Kivelä</t>
  </si>
  <si>
    <t>Kivesjärvi</t>
  </si>
  <si>
    <t>Kiviapaja</t>
  </si>
  <si>
    <t>Kivikangas</t>
  </si>
  <si>
    <t>Kivilahti</t>
  </si>
  <si>
    <t>Kiviniemi</t>
  </si>
  <si>
    <t>Kiviperä</t>
  </si>
  <si>
    <t>Kivisuo</t>
  </si>
  <si>
    <t>Kivitaipale</t>
  </si>
  <si>
    <t>Klamila</t>
  </si>
  <si>
    <t>Lakiala</t>
  </si>
  <si>
    <t>Peräsilta</t>
  </si>
  <si>
    <t>Ylinen</t>
  </si>
  <si>
    <t>Kodesjärvi</t>
  </si>
  <si>
    <t>Mutala</t>
  </si>
  <si>
    <t>Kyrönlahti</t>
  </si>
  <si>
    <t>Länsi-Teisko</t>
  </si>
  <si>
    <t>Kohiseva</t>
  </si>
  <si>
    <t>Kämmenniemi</t>
  </si>
  <si>
    <t>Kohtavaara</t>
  </si>
  <si>
    <t>Terälahti</t>
  </si>
  <si>
    <t>Velaatta</t>
  </si>
  <si>
    <t>Koikkala</t>
  </si>
  <si>
    <t>Koirakivi</t>
  </si>
  <si>
    <t>Parkkuu</t>
  </si>
  <si>
    <t>Koirakoski</t>
  </si>
  <si>
    <t>Poikelus</t>
  </si>
  <si>
    <t>Koitiharju</t>
  </si>
  <si>
    <t>Riuttaskylä</t>
  </si>
  <si>
    <t>Koitsanlahti</t>
  </si>
  <si>
    <t>Murole</t>
  </si>
  <si>
    <t>Muroleen</t>
  </si>
  <si>
    <t>Koivisto</t>
  </si>
  <si>
    <t>Koivu</t>
  </si>
  <si>
    <t>Luode</t>
  </si>
  <si>
    <t>Koivujoki</t>
  </si>
  <si>
    <t>Länsi-Aure</t>
  </si>
  <si>
    <t>Koivula</t>
  </si>
  <si>
    <t>Koivulahti</t>
  </si>
  <si>
    <t>Ruhala</t>
  </si>
  <si>
    <t>Koivumäki</t>
  </si>
  <si>
    <t>Nenonen</t>
  </si>
  <si>
    <t>Kojola</t>
  </si>
  <si>
    <t>Riekkola</t>
  </si>
  <si>
    <t>Mustajärvi</t>
  </si>
  <si>
    <t>Vaskivesi</t>
  </si>
  <si>
    <t>Vaskuu</t>
  </si>
  <si>
    <t>Kokinvaara</t>
  </si>
  <si>
    <t>Ylä-Vääri</t>
  </si>
  <si>
    <t>Koro</t>
  </si>
  <si>
    <t>Kokkoaho</t>
  </si>
  <si>
    <t>Väärinmaja</t>
  </si>
  <si>
    <t>Kokkokylä</t>
  </si>
  <si>
    <t>Kurjenkylä</t>
  </si>
  <si>
    <t>Visuvesi</t>
  </si>
  <si>
    <t>Äijänneva</t>
  </si>
  <si>
    <t>Liedenpohja</t>
  </si>
  <si>
    <t>Tuuhonen</t>
  </si>
  <si>
    <t>Ohtola</t>
  </si>
  <si>
    <t>Toisvesi</t>
  </si>
  <si>
    <t>Naappila</t>
  </si>
  <si>
    <t>Kokkolahti</t>
  </si>
  <si>
    <t>Päilahti</t>
  </si>
  <si>
    <t>Kolho</t>
  </si>
  <si>
    <t>Riistakallio</t>
  </si>
  <si>
    <t>Koli</t>
  </si>
  <si>
    <t>Koliseva</t>
  </si>
  <si>
    <t>Västilä</t>
  </si>
  <si>
    <t>Koljonvirta</t>
  </si>
  <si>
    <t>Kolkanlahti</t>
  </si>
  <si>
    <t>Kolkki</t>
  </si>
  <si>
    <t>Länkipohja</t>
  </si>
  <si>
    <t>Kolkonjoki</t>
  </si>
  <si>
    <t>Talviainen</t>
  </si>
  <si>
    <t>Kolkontaipale</t>
  </si>
  <si>
    <t>Korkeakoski</t>
  </si>
  <si>
    <t>Kollaja</t>
  </si>
  <si>
    <t>Pirttikangas</t>
  </si>
  <si>
    <t>Kolma</t>
  </si>
  <si>
    <t>Lyly</t>
  </si>
  <si>
    <t>Kolmisoppi</t>
  </si>
  <si>
    <t>Salokunta</t>
  </si>
  <si>
    <t>Komi</t>
  </si>
  <si>
    <t>Komossa</t>
  </si>
  <si>
    <t>Pihlaisto</t>
  </si>
  <si>
    <t>Kompero</t>
  </si>
  <si>
    <t>Kuorevesi</t>
  </si>
  <si>
    <t>Komppa</t>
  </si>
  <si>
    <t>Konginkangas</t>
  </si>
  <si>
    <t>Konnunniemi</t>
  </si>
  <si>
    <t>Konnunsuo</t>
  </si>
  <si>
    <t>Mustalahti</t>
  </si>
  <si>
    <t>Konnuslahti</t>
  </si>
  <si>
    <t>Raja-aho</t>
  </si>
  <si>
    <t>Kontio</t>
  </si>
  <si>
    <t>Tamminiemi</t>
  </si>
  <si>
    <t>Kontiomäki</t>
  </si>
  <si>
    <t>Kontioniemi</t>
  </si>
  <si>
    <t>Ruutana</t>
  </si>
  <si>
    <t>Kontioranta</t>
  </si>
  <si>
    <t>Suinula</t>
  </si>
  <si>
    <t>Kontiovaara</t>
  </si>
  <si>
    <t>Siitama</t>
  </si>
  <si>
    <t>Konttajärvi</t>
  </si>
  <si>
    <t>Koppeloharju</t>
  </si>
  <si>
    <t>Kopravaara</t>
  </si>
  <si>
    <t>Kopsa</t>
  </si>
  <si>
    <t>Pikonlinna</t>
  </si>
  <si>
    <t>Korentovaara</t>
  </si>
  <si>
    <t>Tohkala</t>
  </si>
  <si>
    <t>Korholanmäki</t>
  </si>
  <si>
    <t>Sahalahti</t>
  </si>
  <si>
    <t>Koria</t>
  </si>
  <si>
    <t>Pakkala</t>
  </si>
  <si>
    <t>Salmentaka</t>
  </si>
  <si>
    <t>Luikala</t>
  </si>
  <si>
    <t>Pohjalahti</t>
  </si>
  <si>
    <t>Raikku</t>
  </si>
  <si>
    <t>Korpijärvi</t>
  </si>
  <si>
    <t>Korpikoski</t>
  </si>
  <si>
    <t>Laitikkala</t>
  </si>
  <si>
    <t>Korppinen</t>
  </si>
  <si>
    <t>Korsbäck</t>
  </si>
  <si>
    <t>Puntari</t>
  </si>
  <si>
    <t>Kortejärvi</t>
  </si>
  <si>
    <t>Vehkajärvi</t>
  </si>
  <si>
    <t>Rautajärvi</t>
  </si>
  <si>
    <t>Korteperä</t>
  </si>
  <si>
    <t>Kyynärö</t>
  </si>
  <si>
    <t>Kortesalmi</t>
  </si>
  <si>
    <t>Padankoski</t>
  </si>
  <si>
    <t>Kortjärvi</t>
  </si>
  <si>
    <t>Kortteinen</t>
  </si>
  <si>
    <t>Kortteiskylä</t>
  </si>
  <si>
    <t>Korvua</t>
  </si>
  <si>
    <t>Sarkola</t>
  </si>
  <si>
    <t>Koskenkorva</t>
  </si>
  <si>
    <t>Siuro</t>
  </si>
  <si>
    <t>Kulovesi</t>
  </si>
  <si>
    <t>Koskenpää</t>
  </si>
  <si>
    <t>Linnavuori</t>
  </si>
  <si>
    <t>Tottijärvi</t>
  </si>
  <si>
    <t>Koskenvarsi</t>
  </si>
  <si>
    <t>Vakkala</t>
  </si>
  <si>
    <t>Rämsöö</t>
  </si>
  <si>
    <t>Söyrinki</t>
  </si>
  <si>
    <t>Narva</t>
  </si>
  <si>
    <t>Koskimäki</t>
  </si>
  <si>
    <t>Krääkkiö</t>
  </si>
  <si>
    <t>Valkeinen</t>
  </si>
  <si>
    <t>Koskislahti</t>
  </si>
  <si>
    <t>Onkemäki</t>
  </si>
  <si>
    <t>Koskue</t>
  </si>
  <si>
    <t>Koskö</t>
  </si>
  <si>
    <t>Kosolankylä</t>
  </si>
  <si>
    <t>Kostamo</t>
  </si>
  <si>
    <t>Kostula</t>
  </si>
  <si>
    <t>Kosula</t>
  </si>
  <si>
    <t>Kotala</t>
  </si>
  <si>
    <t>Kotalahti</t>
  </si>
  <si>
    <t>Kotalankylä</t>
  </si>
  <si>
    <t>Kotamäki</t>
  </si>
  <si>
    <t>Sääksmäki</t>
  </si>
  <si>
    <t>Kotaniemi</t>
  </si>
  <si>
    <t>Ritvala</t>
  </si>
  <si>
    <t>Kotikylä</t>
  </si>
  <si>
    <t>Kotila</t>
  </si>
  <si>
    <t>Tarttila</t>
  </si>
  <si>
    <t>Kotimäki</t>
  </si>
  <si>
    <t>Metsäkansa</t>
  </si>
  <si>
    <t>Kärjenniemi</t>
  </si>
  <si>
    <t>Tuomala</t>
  </si>
  <si>
    <t>Riisikkala</t>
  </si>
  <si>
    <t>Nohkua</t>
  </si>
  <si>
    <t>Kutala</t>
  </si>
  <si>
    <t>Kärppälä</t>
  </si>
  <si>
    <t>Stormi</t>
  </si>
  <si>
    <t>Lantula</t>
  </si>
  <si>
    <t>Roismala</t>
  </si>
  <si>
    <t>Tapiolankylä</t>
  </si>
  <si>
    <t>Sammaljoki</t>
  </si>
  <si>
    <t>Kotvala</t>
  </si>
  <si>
    <t>Kämmäkkä</t>
  </si>
  <si>
    <t>Koura</t>
  </si>
  <si>
    <t>Taati</t>
  </si>
  <si>
    <t>Tervahauta</t>
  </si>
  <si>
    <t>Kuorsumaa</t>
  </si>
  <si>
    <t>Mustianoja</t>
  </si>
  <si>
    <t>Kovelahti</t>
  </si>
  <si>
    <t>Koveranta</t>
  </si>
  <si>
    <t>Kovero</t>
  </si>
  <si>
    <t>Kovesjoki</t>
  </si>
  <si>
    <t>Pajuniemi</t>
  </si>
  <si>
    <t>Kovjoki</t>
  </si>
  <si>
    <t>Putaja</t>
  </si>
  <si>
    <t>Sävi</t>
  </si>
  <si>
    <t>Riuttala</t>
  </si>
  <si>
    <t>Kronvik</t>
  </si>
  <si>
    <t>Kulmio</t>
  </si>
  <si>
    <t>Myöntäjä</t>
  </si>
  <si>
    <t>Yli-Putto</t>
  </si>
  <si>
    <t>Tuunajärvi</t>
  </si>
  <si>
    <t>Kuha</t>
  </si>
  <si>
    <t>Tuomisaari</t>
  </si>
  <si>
    <t>Vihteljärvi</t>
  </si>
  <si>
    <t>Kuhnusta</t>
  </si>
  <si>
    <t>Kuninkaanlähde</t>
  </si>
  <si>
    <t>Kuikka</t>
  </si>
  <si>
    <t>Kuikkalampi</t>
  </si>
  <si>
    <t>Veneskoski</t>
  </si>
  <si>
    <t>Kuismavaara</t>
  </si>
  <si>
    <t>Venesjärvi</t>
  </si>
  <si>
    <t>Kuitula</t>
  </si>
  <si>
    <t>Lohikko</t>
  </si>
  <si>
    <t>Kuivala</t>
  </si>
  <si>
    <t>Rämi</t>
  </si>
  <si>
    <t>Vihu</t>
  </si>
  <si>
    <t>Niinisalo</t>
  </si>
  <si>
    <t>Suurimaa</t>
  </si>
  <si>
    <t>Kuivasalmi</t>
  </si>
  <si>
    <t>Vatajankoski</t>
  </si>
  <si>
    <t>Kuivasjärvi</t>
  </si>
  <si>
    <t>Kuivaskylä</t>
  </si>
  <si>
    <t>Lauhala</t>
  </si>
  <si>
    <t>Kuivasmäki</t>
  </si>
  <si>
    <t>Pukarankylä</t>
  </si>
  <si>
    <t>Kujala</t>
  </si>
  <si>
    <t>Simuna</t>
  </si>
  <si>
    <t>Kukko</t>
  </si>
  <si>
    <t>Mahnala</t>
  </si>
  <si>
    <t>Sasi</t>
  </si>
  <si>
    <t>Kukonkylä</t>
  </si>
  <si>
    <t>Pinsiö</t>
  </si>
  <si>
    <t>Kulennoinen</t>
  </si>
  <si>
    <t>Kulho</t>
  </si>
  <si>
    <t>Kuustenlatva</t>
  </si>
  <si>
    <t>Kyröskoski</t>
  </si>
  <si>
    <t>Osara</t>
  </si>
  <si>
    <t>Kuloharju</t>
  </si>
  <si>
    <t>Vesajärvi</t>
  </si>
  <si>
    <t>Nisu</t>
  </si>
  <si>
    <t>Kumiseva</t>
  </si>
  <si>
    <t>Lavajärvi</t>
  </si>
  <si>
    <t>Luhalahti</t>
  </si>
  <si>
    <t>Kummunkylä</t>
  </si>
  <si>
    <t>Röyhiö</t>
  </si>
  <si>
    <t>Kumpula</t>
  </si>
  <si>
    <t>Sisättö</t>
  </si>
  <si>
    <t>Kumpulainen</t>
  </si>
  <si>
    <t>Kumpumäki</t>
  </si>
  <si>
    <t>Kumpuranta</t>
  </si>
  <si>
    <t>Kuni</t>
  </si>
  <si>
    <t>Sikuri</t>
  </si>
  <si>
    <t>Kunnasniemi</t>
  </si>
  <si>
    <t>Myllykarttu</t>
  </si>
  <si>
    <t>Kuohu</t>
  </si>
  <si>
    <t>Riitiala</t>
  </si>
  <si>
    <t>Kuokanvaara</t>
  </si>
  <si>
    <t>Tevaniemi</t>
  </si>
  <si>
    <t>Kuoliovaara</t>
  </si>
  <si>
    <t>Kuomiokoski</t>
  </si>
  <si>
    <t>Lapinneva</t>
  </si>
  <si>
    <t>Kuona</t>
  </si>
  <si>
    <t>Kuontijärvi</t>
  </si>
  <si>
    <t>Lamminkoski</t>
  </si>
  <si>
    <t>Lahtinen</t>
  </si>
  <si>
    <t>Linnankylä</t>
  </si>
  <si>
    <t>Niskos</t>
  </si>
  <si>
    <t>Tuulenkylä</t>
  </si>
  <si>
    <t>Suomijärvi</t>
  </si>
  <si>
    <t>Majuri</t>
  </si>
  <si>
    <t>Sarvela</t>
  </si>
  <si>
    <t>Sara</t>
  </si>
  <si>
    <t>Kuoppa</t>
  </si>
  <si>
    <t>Kuoppa-aho</t>
  </si>
  <si>
    <t>Kuorajärvi</t>
  </si>
  <si>
    <t>Kuorevaara</t>
  </si>
  <si>
    <t>Palokka</t>
  </si>
  <si>
    <t>Kuosku</t>
  </si>
  <si>
    <t>Kuosmala</t>
  </si>
  <si>
    <t>Kurejoki</t>
  </si>
  <si>
    <t>Kurenlahti</t>
  </si>
  <si>
    <t>Kurenpolvi</t>
  </si>
  <si>
    <t>Kurjala</t>
  </si>
  <si>
    <t>Kurkimäki</t>
  </si>
  <si>
    <t>Kurolanlahti</t>
  </si>
  <si>
    <t>Kursu</t>
  </si>
  <si>
    <t>Kurtakko</t>
  </si>
  <si>
    <t>Laajavuori</t>
  </si>
  <si>
    <t>Vaajakoski</t>
  </si>
  <si>
    <t>Kurvisenkylä</t>
  </si>
  <si>
    <t>Säynätsalo</t>
  </si>
  <si>
    <t>Kutemajärvi</t>
  </si>
  <si>
    <t>Puuppola</t>
  </si>
  <si>
    <t>Kuttanen</t>
  </si>
  <si>
    <t>Kuukanniemi</t>
  </si>
  <si>
    <t>Tikkakoski</t>
  </si>
  <si>
    <t>Kuukasjärvi</t>
  </si>
  <si>
    <t>Vehniä</t>
  </si>
  <si>
    <t>Kuumu</t>
  </si>
  <si>
    <t>Kuusa</t>
  </si>
  <si>
    <t>Kyynämöinen</t>
  </si>
  <si>
    <t>Lannevesi</t>
  </si>
  <si>
    <t>Leppävesi</t>
  </si>
  <si>
    <t>Kuusela</t>
  </si>
  <si>
    <t>Tiituspohja</t>
  </si>
  <si>
    <t>Kuuselanmäki</t>
  </si>
  <si>
    <t>Kuusenmäki</t>
  </si>
  <si>
    <t>Laukkavirta</t>
  </si>
  <si>
    <t>Vihtavuori</t>
  </si>
  <si>
    <t>Kuusivaara</t>
  </si>
  <si>
    <t>Kuusjärvi</t>
  </si>
  <si>
    <t>Valkola</t>
  </si>
  <si>
    <t>Kuuslahti</t>
  </si>
  <si>
    <t>Kuusvaara</t>
  </si>
  <si>
    <t>Leinola</t>
  </si>
  <si>
    <t>Kuutsalo</t>
  </si>
  <si>
    <t>Äijälä</t>
  </si>
  <si>
    <t>Kuvansi</t>
  </si>
  <si>
    <t>Tankolampi</t>
  </si>
  <si>
    <t>Lievestuore</t>
  </si>
  <si>
    <t>Kylliälä</t>
  </si>
  <si>
    <t>Taulu</t>
  </si>
  <si>
    <t>Kylmälänkylä</t>
  </si>
  <si>
    <t>Metsolahti</t>
  </si>
  <si>
    <t>Ruuhimäki</t>
  </si>
  <si>
    <t>Kyläniemi</t>
  </si>
  <si>
    <t>Leppälahti</t>
  </si>
  <si>
    <t>Kylänlahti</t>
  </si>
  <si>
    <t>Kylänpää</t>
  </si>
  <si>
    <t>Saarilahti</t>
  </si>
  <si>
    <t>Kymentaka</t>
  </si>
  <si>
    <t>Simunankoski</t>
  </si>
  <si>
    <t>Kymönkoski</t>
  </si>
  <si>
    <t>Niemisjärvi</t>
  </si>
  <si>
    <t>Kyngäs</t>
  </si>
  <si>
    <t>Kynsilä</t>
  </si>
  <si>
    <t>Kypärä</t>
  </si>
  <si>
    <t>Kyrsyä</t>
  </si>
  <si>
    <t>Veneranta</t>
  </si>
  <si>
    <t>Ristimäki</t>
  </si>
  <si>
    <t>Kyrönlatva</t>
  </si>
  <si>
    <t>Säkinmäki</t>
  </si>
  <si>
    <t>Kyrönluoma</t>
  </si>
  <si>
    <t>Murtola</t>
  </si>
  <si>
    <t>Kytökoski</t>
  </si>
  <si>
    <t>Oravasaari</t>
  </si>
  <si>
    <t>Kytökylä</t>
  </si>
  <si>
    <t>Särkiharju</t>
  </si>
  <si>
    <t>Rutalahti</t>
  </si>
  <si>
    <t>Kållby</t>
  </si>
  <si>
    <t>Käenkoski</t>
  </si>
  <si>
    <t>Kähtävä</t>
  </si>
  <si>
    <t>Kähärilä</t>
  </si>
  <si>
    <t>Saakoski</t>
  </si>
  <si>
    <t>Käkilahti</t>
  </si>
  <si>
    <t>Moksi</t>
  </si>
  <si>
    <t>Sauvamäki</t>
  </si>
  <si>
    <t>Rannila</t>
  </si>
  <si>
    <t>Saukkolahti</t>
  </si>
  <si>
    <t>Kärjenkoski</t>
  </si>
  <si>
    <t>Kärklax</t>
  </si>
  <si>
    <t>Ylä-Kintaus</t>
  </si>
  <si>
    <t>Kärnä</t>
  </si>
  <si>
    <t>Vesanka</t>
  </si>
  <si>
    <t>Nyrölä</t>
  </si>
  <si>
    <t>Kärpänkylä</t>
  </si>
  <si>
    <t>Piesala</t>
  </si>
  <si>
    <t>Kärväsjärvi</t>
  </si>
  <si>
    <t>Käsimäki</t>
  </si>
  <si>
    <t>Käsämä</t>
  </si>
  <si>
    <t>Kätkytniemi</t>
  </si>
  <si>
    <t>Kätkänjoki</t>
  </si>
  <si>
    <t>Kätkäsuvanto</t>
  </si>
  <si>
    <t>Kätkävaara</t>
  </si>
  <si>
    <t>Partalankoski</t>
  </si>
  <si>
    <t>Käylä</t>
  </si>
  <si>
    <t>Käyrämö</t>
  </si>
  <si>
    <t>Kääpälä</t>
  </si>
  <si>
    <t>Käärmelahti</t>
  </si>
  <si>
    <t>Käävänkylä</t>
  </si>
  <si>
    <t>Pohjoisjärvi</t>
  </si>
  <si>
    <t>Köklot</t>
  </si>
  <si>
    <t>Tamppimäki</t>
  </si>
  <si>
    <t>Köngäs</t>
  </si>
  <si>
    <t>Sahrajärvi</t>
  </si>
  <si>
    <t>Köyhäjoki</t>
  </si>
  <si>
    <t>Metsävienola</t>
  </si>
  <si>
    <t>Köyhänperä</t>
  </si>
  <si>
    <t>Laaja</t>
  </si>
  <si>
    <t>Laajaranta</t>
  </si>
  <si>
    <t>Liesjärvi</t>
  </si>
  <si>
    <t>Laakajärvi</t>
  </si>
  <si>
    <t>Laakkola</t>
  </si>
  <si>
    <t>Riiho</t>
  </si>
  <si>
    <t>Laamala</t>
  </si>
  <si>
    <t>Ylä-Kolkki</t>
  </si>
  <si>
    <t>Laanila</t>
  </si>
  <si>
    <t>Lahdenperä</t>
  </si>
  <si>
    <t>Pohjaslahti</t>
  </si>
  <si>
    <t>Piili</t>
  </si>
  <si>
    <t>Lahnalahti</t>
  </si>
  <si>
    <t>Pihlajavesi</t>
  </si>
  <si>
    <t>Lahnanen</t>
  </si>
  <si>
    <t>Valkeajärvi</t>
  </si>
  <si>
    <t>Pajupuro</t>
  </si>
  <si>
    <t>Tarvaala</t>
  </si>
  <si>
    <t>Summassaari</t>
  </si>
  <si>
    <t>Linna</t>
  </si>
  <si>
    <t>Lakomäki</t>
  </si>
  <si>
    <t>Mahlu</t>
  </si>
  <si>
    <t>Muittari</t>
  </si>
  <si>
    <t>Lehtola</t>
  </si>
  <si>
    <t>Vuoskoski</t>
  </si>
  <si>
    <t>Lokakylä</t>
  </si>
  <si>
    <t>Soidinmäki</t>
  </si>
  <si>
    <t>Väätäiskylä</t>
  </si>
  <si>
    <t>Paajala</t>
  </si>
  <si>
    <t>Pääjärvi</t>
  </si>
  <si>
    <t>Lahtolahti</t>
  </si>
  <si>
    <t>Rantakylä</t>
  </si>
  <si>
    <t>Laikko</t>
  </si>
  <si>
    <t>Vahanka</t>
  </si>
  <si>
    <t>Laitala</t>
  </si>
  <si>
    <t>Syrjämäki</t>
  </si>
  <si>
    <t>Lakaluoma</t>
  </si>
  <si>
    <t>Vastinki</t>
  </si>
  <si>
    <t>Takkala</t>
  </si>
  <si>
    <t>Lakaniemi</t>
  </si>
  <si>
    <t>Lakiasuo</t>
  </si>
  <si>
    <t>Oikari</t>
  </si>
  <si>
    <t>Laksiainen</t>
  </si>
  <si>
    <t>Puralankylä</t>
  </si>
  <si>
    <t>Lammasaho</t>
  </si>
  <si>
    <t>Sompala</t>
  </si>
  <si>
    <t>Lamminaho</t>
  </si>
  <si>
    <t>Muhola</t>
  </si>
  <si>
    <t>Lamminmäki</t>
  </si>
  <si>
    <t>Saarensalmi</t>
  </si>
  <si>
    <t>Lamminperä</t>
  </si>
  <si>
    <t>Lammu</t>
  </si>
  <si>
    <t>Lampaanjärvi</t>
  </si>
  <si>
    <t>Mämmenkylä</t>
  </si>
  <si>
    <t>Lampikangas</t>
  </si>
  <si>
    <t>Lampinsaari</t>
  </si>
  <si>
    <t>Lampsijärvi</t>
  </si>
  <si>
    <t>Parantala</t>
  </si>
  <si>
    <t>Lankojärvi</t>
  </si>
  <si>
    <t>Vatia</t>
  </si>
  <si>
    <t>Ääne-Koivisto</t>
  </si>
  <si>
    <t>Lapalie</t>
  </si>
  <si>
    <t>Vihijärvi</t>
  </si>
  <si>
    <t>Lapaluoto</t>
  </si>
  <si>
    <t>Saarikas</t>
  </si>
  <si>
    <t>Lapinkangas</t>
  </si>
  <si>
    <t>Silmutjoki</t>
  </si>
  <si>
    <t>Sirkkamäki</t>
  </si>
  <si>
    <t>Lappea</t>
  </si>
  <si>
    <t>Välimäki</t>
  </si>
  <si>
    <t>Mäntymäki</t>
  </si>
  <si>
    <t>Pyhälahti</t>
  </si>
  <si>
    <t>Liimattala</t>
  </si>
  <si>
    <t>Räihä</t>
  </si>
  <si>
    <t>Niinilahti</t>
  </si>
  <si>
    <t>Soliskylä</t>
  </si>
  <si>
    <t>Ruuponsaari</t>
  </si>
  <si>
    <t>Vuorilahti</t>
  </si>
  <si>
    <t>Purala</t>
  </si>
  <si>
    <t>Toulat</t>
  </si>
  <si>
    <t>Suovanlahti</t>
  </si>
  <si>
    <t>Taimoniemi</t>
  </si>
  <si>
    <t>Pasala</t>
  </si>
  <si>
    <t>Lapväärtti</t>
  </si>
  <si>
    <t>Löytänä</t>
  </si>
  <si>
    <t>Valkeisjärvi</t>
  </si>
  <si>
    <t>Rasila</t>
  </si>
  <si>
    <t>Niemenharju</t>
  </si>
  <si>
    <t>Laukka-Aho</t>
  </si>
  <si>
    <t>Laukkala</t>
  </si>
  <si>
    <t>Seläntaus</t>
  </si>
  <si>
    <t>Untinen</t>
  </si>
  <si>
    <t>Muurasjärvi</t>
  </si>
  <si>
    <t>Lautela</t>
  </si>
  <si>
    <t>Lautiosaari</t>
  </si>
  <si>
    <t>Peninki</t>
  </si>
  <si>
    <t>Liitonjoki</t>
  </si>
  <si>
    <t>Lehmikylä</t>
  </si>
  <si>
    <t>Lehmo</t>
  </si>
  <si>
    <t>Lehmäjoki</t>
  </si>
  <si>
    <t>Lehtiniemi</t>
  </si>
  <si>
    <t>Lehtoi</t>
  </si>
  <si>
    <t>Lehtovaara</t>
  </si>
  <si>
    <t>Leinolanlahti</t>
  </si>
  <si>
    <t>Leinovaara</t>
  </si>
  <si>
    <t>Leipivaara</t>
  </si>
  <si>
    <t>Utti</t>
  </si>
  <si>
    <t>Leiviskänranta</t>
  </si>
  <si>
    <t>Leivola</t>
  </si>
  <si>
    <t>Savero</t>
  </si>
  <si>
    <t>Lemmenjoki</t>
  </si>
  <si>
    <t>Lemmikko</t>
  </si>
  <si>
    <t>Sairaalamäki</t>
  </si>
  <si>
    <t>Lempyy</t>
  </si>
  <si>
    <t>Pilkanmaa</t>
  </si>
  <si>
    <t>Voikkaa</t>
  </si>
  <si>
    <t>Oravala</t>
  </si>
  <si>
    <t>Tuohikotti</t>
  </si>
  <si>
    <t>Vekaranjärvi</t>
  </si>
  <si>
    <t>Lentiira</t>
  </si>
  <si>
    <t>Lentilä</t>
  </si>
  <si>
    <t>Toikkala</t>
  </si>
  <si>
    <t>Lepikkomäki</t>
  </si>
  <si>
    <t>Tirva</t>
  </si>
  <si>
    <t>Leppiaho</t>
  </si>
  <si>
    <t>Leppiniemi</t>
  </si>
  <si>
    <t>Saaramaa</t>
  </si>
  <si>
    <t>Lepplax</t>
  </si>
  <si>
    <t>Leppäjoki</t>
  </si>
  <si>
    <t>Sippola</t>
  </si>
  <si>
    <t>Leppäjärvi</t>
  </si>
  <si>
    <t>Ruotila</t>
  </si>
  <si>
    <t>Liikkala</t>
  </si>
  <si>
    <t>Myllykoski</t>
  </si>
  <si>
    <t>Ummeljoki</t>
  </si>
  <si>
    <t>Leppälänkylä</t>
  </si>
  <si>
    <t>Leppämäki</t>
  </si>
  <si>
    <t>Muhniemi</t>
  </si>
  <si>
    <t>Löytty</t>
  </si>
  <si>
    <t>Raussila</t>
  </si>
  <si>
    <t>Leskelä</t>
  </si>
  <si>
    <t>Rahikkala</t>
  </si>
  <si>
    <t>Teuroinen</t>
  </si>
  <si>
    <t>Takamaa</t>
  </si>
  <si>
    <t>Ratula</t>
  </si>
  <si>
    <t>Levijoki</t>
  </si>
  <si>
    <t>Levonperä</t>
  </si>
  <si>
    <t>Levä</t>
  </si>
  <si>
    <t>Levälahti</t>
  </si>
  <si>
    <t>Valkama</t>
  </si>
  <si>
    <t>Levänen</t>
  </si>
  <si>
    <t>Liedakkala</t>
  </si>
  <si>
    <t>Mankala</t>
  </si>
  <si>
    <t>Radansuu</t>
  </si>
  <si>
    <t>Lyöttilä</t>
  </si>
  <si>
    <t>Siikava</t>
  </si>
  <si>
    <t>Selänpää</t>
  </si>
  <si>
    <t>Lieviskä</t>
  </si>
  <si>
    <t>Verla</t>
  </si>
  <si>
    <t>Liiansaari</t>
  </si>
  <si>
    <t>Vuohijärvi</t>
  </si>
  <si>
    <t>Liikasenvaara</t>
  </si>
  <si>
    <t>Siikakoski</t>
  </si>
  <si>
    <t>Lillby</t>
  </si>
  <si>
    <t>Limingoja</t>
  </si>
  <si>
    <t>Liminpuro</t>
  </si>
  <si>
    <t>Lintula</t>
  </si>
  <si>
    <t>Liperinsalo</t>
  </si>
  <si>
    <t>Lisma</t>
  </si>
  <si>
    <t>Litmaniemi</t>
  </si>
  <si>
    <t>Littilä</t>
  </si>
  <si>
    <t>Livo</t>
  </si>
  <si>
    <t>Lohijärvi</t>
  </si>
  <si>
    <t>Siltakylä</t>
  </si>
  <si>
    <t>Purola</t>
  </si>
  <si>
    <t>Lohilahti</t>
  </si>
  <si>
    <t>Lohiluoma</t>
  </si>
  <si>
    <t>Vastila</t>
  </si>
  <si>
    <t>Lohiniva</t>
  </si>
  <si>
    <t>Tavastila</t>
  </si>
  <si>
    <t>Lohiranta</t>
  </si>
  <si>
    <t>Poitsila</t>
  </si>
  <si>
    <t>Neuvoton</t>
  </si>
  <si>
    <t>Reitkalli</t>
  </si>
  <si>
    <t>Metsäkylä</t>
  </si>
  <si>
    <t>Purho</t>
  </si>
  <si>
    <t>Sivatti</t>
  </si>
  <si>
    <t>Vehkajoki</t>
  </si>
  <si>
    <t>Paijärvi</t>
  </si>
  <si>
    <t>Pyhältö</t>
  </si>
  <si>
    <t>Lokka</t>
  </si>
  <si>
    <t>Sillanmäki</t>
  </si>
  <si>
    <t>Loma-Koli</t>
  </si>
  <si>
    <t>Lompolo</t>
  </si>
  <si>
    <t>Muurikkala</t>
  </si>
  <si>
    <t>Losomäki</t>
  </si>
  <si>
    <t>Lotlax</t>
  </si>
  <si>
    <t>Suur-Miehikkälä</t>
  </si>
  <si>
    <t>Loue</t>
  </si>
  <si>
    <t>Salo-Miehikkälä</t>
  </si>
  <si>
    <t>Louhi</t>
  </si>
  <si>
    <t>Onkamaa</t>
  </si>
  <si>
    <t>Louko</t>
  </si>
  <si>
    <t>Mäntlahti</t>
  </si>
  <si>
    <t>Loukolampi</t>
  </si>
  <si>
    <t>Loukunvaara</t>
  </si>
  <si>
    <t>Loukusa</t>
  </si>
  <si>
    <t>Vaalimaa</t>
  </si>
  <si>
    <t>Ravijoki</t>
  </si>
  <si>
    <t>Luhtapohja</t>
  </si>
  <si>
    <t>Luikonlahti</t>
  </si>
  <si>
    <t>Luiro</t>
  </si>
  <si>
    <t>Lukkarila</t>
  </si>
  <si>
    <t>Norola</t>
  </si>
  <si>
    <t>Lumimetsä</t>
  </si>
  <si>
    <t>Lummeaho</t>
  </si>
  <si>
    <t>Otava</t>
  </si>
  <si>
    <t>Lunkkaus</t>
  </si>
  <si>
    <t>Vanhamäki</t>
  </si>
  <si>
    <t>Luohua</t>
  </si>
  <si>
    <t>Tahkomäki</t>
  </si>
  <si>
    <t>Luoma-aho</t>
  </si>
  <si>
    <t>Luomajoki</t>
  </si>
  <si>
    <t>Luomankylä</t>
  </si>
  <si>
    <t>Luopa</t>
  </si>
  <si>
    <t>Luopajärvi</t>
  </si>
  <si>
    <t>Paappala</t>
  </si>
  <si>
    <t>Luostanlinna</t>
  </si>
  <si>
    <t>Luostarinen</t>
  </si>
  <si>
    <t>Papumäki</t>
  </si>
  <si>
    <t>Luoto</t>
  </si>
  <si>
    <t>Synsiö</t>
  </si>
  <si>
    <t>Luotolahti</t>
  </si>
  <si>
    <t>Rutakoski</t>
  </si>
  <si>
    <t>Läsäkoski</t>
  </si>
  <si>
    <t>Luusniemi</t>
  </si>
  <si>
    <t>Vuojalahti</t>
  </si>
  <si>
    <t>Luusua</t>
  </si>
  <si>
    <t>Pajulankylä</t>
  </si>
  <si>
    <t>Luutalahti</t>
  </si>
  <si>
    <t>Petäjäselkä</t>
  </si>
  <si>
    <t>Lylykylä</t>
  </si>
  <si>
    <t>Lylynrinne</t>
  </si>
  <si>
    <t>Lylyvaara</t>
  </si>
  <si>
    <t>Saksalanharju</t>
  </si>
  <si>
    <t>Lålby</t>
  </si>
  <si>
    <t>Pitkäaho</t>
  </si>
  <si>
    <t>Långåminne</t>
  </si>
  <si>
    <t>Tynilä</t>
  </si>
  <si>
    <t>Lämsä</t>
  </si>
  <si>
    <t>Nykälä</t>
  </si>
  <si>
    <t>Rahula</t>
  </si>
  <si>
    <t>Länsikoski</t>
  </si>
  <si>
    <t>Nuutilanmäki</t>
  </si>
  <si>
    <t>Länsikylä</t>
  </si>
  <si>
    <t>Pekurila</t>
  </si>
  <si>
    <t>Maivala</t>
  </si>
  <si>
    <t>Näärinki</t>
  </si>
  <si>
    <t>Löytö</t>
  </si>
  <si>
    <t>Nevaintausta</t>
  </si>
  <si>
    <t>Löyä</t>
  </si>
  <si>
    <t>Vuorenmaa</t>
  </si>
  <si>
    <t>Narila</t>
  </si>
  <si>
    <t>Maalahti</t>
  </si>
  <si>
    <t>Risulahti</t>
  </si>
  <si>
    <t>Maaninkavaara</t>
  </si>
  <si>
    <t>Maanselkä</t>
  </si>
  <si>
    <t>Vehmaala</t>
  </si>
  <si>
    <t>Pakinmaa</t>
  </si>
  <si>
    <t>Maarianvaara</t>
  </si>
  <si>
    <t>Paatela</t>
  </si>
  <si>
    <t>Maavesi</t>
  </si>
  <si>
    <t>Palokangas</t>
  </si>
  <si>
    <t>Maironiemi</t>
  </si>
  <si>
    <t>Majavesi</t>
  </si>
  <si>
    <t>Ylivesi</t>
  </si>
  <si>
    <t>Makkola</t>
  </si>
  <si>
    <t>Maksamaa</t>
  </si>
  <si>
    <t>Ruokotaipale</t>
  </si>
  <si>
    <t>Maksniemi</t>
  </si>
  <si>
    <t>Otasalo</t>
  </si>
  <si>
    <t>Maliskylä</t>
  </si>
  <si>
    <t>Ryhälä</t>
  </si>
  <si>
    <t>Manamansalo</t>
  </si>
  <si>
    <t>Vitsiälä</t>
  </si>
  <si>
    <t>Mankila</t>
  </si>
  <si>
    <t>Mannervaara</t>
  </si>
  <si>
    <t>Someenjärvi</t>
  </si>
  <si>
    <t>Suurlahti</t>
  </si>
  <si>
    <t>Mantila</t>
  </si>
  <si>
    <t>Pellosniemi</t>
  </si>
  <si>
    <t>Rautlahti</t>
  </si>
  <si>
    <t>Penttinen</t>
  </si>
  <si>
    <t>Syväsmäki</t>
  </si>
  <si>
    <t>Ripatti</t>
  </si>
  <si>
    <t>Suonsalmi</t>
  </si>
  <si>
    <t>Tuukkala</t>
  </si>
  <si>
    <t>Pärnämäki</t>
  </si>
  <si>
    <t>Marjotaipale</t>
  </si>
  <si>
    <t>Tuustaipale</t>
  </si>
  <si>
    <t>Tiilikkala</t>
  </si>
  <si>
    <t>Mynttilä</t>
  </si>
  <si>
    <t>Ollikkala</t>
  </si>
  <si>
    <t>Varpanen</t>
  </si>
  <si>
    <t>Marinkainen</t>
  </si>
  <si>
    <t>Marjovaara</t>
  </si>
  <si>
    <t>Markkula</t>
  </si>
  <si>
    <t>Voikoski</t>
  </si>
  <si>
    <t>Marrasjärvi</t>
  </si>
  <si>
    <t>Orilampi</t>
  </si>
  <si>
    <t>Marraskoski</t>
  </si>
  <si>
    <t>Virransalmi</t>
  </si>
  <si>
    <t>Martinniemi</t>
  </si>
  <si>
    <t>Nurmaa</t>
  </si>
  <si>
    <t>Martonvaara</t>
  </si>
  <si>
    <t>Pankalahti</t>
  </si>
  <si>
    <t>Martti</t>
  </si>
  <si>
    <t>Marttisenjärvi</t>
  </si>
  <si>
    <t>Matara</t>
  </si>
  <si>
    <t>Matkaniva</t>
  </si>
  <si>
    <t>Maukkula</t>
  </si>
  <si>
    <t>Maula</t>
  </si>
  <si>
    <t>Meijerhovi</t>
  </si>
  <si>
    <t>Melalahti</t>
  </si>
  <si>
    <t>Melkoniemi</t>
  </si>
  <si>
    <t>Mellakoski</t>
  </si>
  <si>
    <t>Meltaus</t>
  </si>
  <si>
    <t>Meltosjärvi</t>
  </si>
  <si>
    <t>Menesjärvi</t>
  </si>
  <si>
    <t>Pulp</t>
  </si>
  <si>
    <t>Menkijärvi</t>
  </si>
  <si>
    <t>Merikaartio</t>
  </si>
  <si>
    <t>Nuijamaa</t>
  </si>
  <si>
    <t>Rapattila</t>
  </si>
  <si>
    <t>Merilä</t>
  </si>
  <si>
    <t>Vainikkala</t>
  </si>
  <si>
    <t>Rikkilä</t>
  </si>
  <si>
    <t>Simola</t>
  </si>
  <si>
    <t>Raippo</t>
  </si>
  <si>
    <t>Rumpu</t>
  </si>
  <si>
    <t>Metsä</t>
  </si>
  <si>
    <t>Peräkorpi</t>
  </si>
  <si>
    <t>Tani</t>
  </si>
  <si>
    <t>Pulsa</t>
  </si>
  <si>
    <t>Metsälä</t>
  </si>
  <si>
    <t>Väkevälä</t>
  </si>
  <si>
    <t>Nurmela</t>
  </si>
  <si>
    <t>Ylijärvi</t>
  </si>
  <si>
    <t>Mieluskylä</t>
  </si>
  <si>
    <t>Nokkala</t>
  </si>
  <si>
    <t>Mieslahti</t>
  </si>
  <si>
    <t>Mieto</t>
  </si>
  <si>
    <t>Taavetti</t>
  </si>
  <si>
    <t>Uro</t>
  </si>
  <si>
    <t>Miettilä</t>
  </si>
  <si>
    <t>Miiluranta</t>
  </si>
  <si>
    <t>Suo-Anttila</t>
  </si>
  <si>
    <t>Somerharju</t>
  </si>
  <si>
    <t>Munteenkylä</t>
  </si>
  <si>
    <t>Viuhkola</t>
  </si>
  <si>
    <t>Pentti</t>
  </si>
  <si>
    <t>Nisola</t>
  </si>
  <si>
    <t>Uimi</t>
  </si>
  <si>
    <t>Mikkolanniemi</t>
  </si>
  <si>
    <t>Välijoki</t>
  </si>
  <si>
    <t>Misi</t>
  </si>
  <si>
    <t>Säänjärvi</t>
  </si>
  <si>
    <t>Moinsalmi</t>
  </si>
  <si>
    <t>Moisiovaara</t>
  </si>
  <si>
    <t>Telamäki</t>
  </si>
  <si>
    <t>Molpe</t>
  </si>
  <si>
    <t>Partakoski</t>
  </si>
  <si>
    <t>Moninmäki</t>
  </si>
  <si>
    <t>Saimaanharju</t>
  </si>
  <si>
    <t>Montola</t>
  </si>
  <si>
    <t>Solkei</t>
  </si>
  <si>
    <t>Monå</t>
  </si>
  <si>
    <t>Pettilä</t>
  </si>
  <si>
    <t>Morottaja</t>
  </si>
  <si>
    <t>Vehkataipale</t>
  </si>
  <si>
    <t>Saimaanranta</t>
  </si>
  <si>
    <t>Suur-Saimaa</t>
  </si>
  <si>
    <t>Mourujärvi</t>
  </si>
  <si>
    <t>Rauha</t>
  </si>
  <si>
    <t>Tiuruniemi</t>
  </si>
  <si>
    <t>Mujejärvi</t>
  </si>
  <si>
    <t>Munakka</t>
  </si>
  <si>
    <t>Munsala</t>
  </si>
  <si>
    <t>Savilahti</t>
  </si>
  <si>
    <t>Äitsaari</t>
  </si>
  <si>
    <t>Virmutjoki</t>
  </si>
  <si>
    <t>Murtovaara</t>
  </si>
  <si>
    <t>Mustamaa</t>
  </si>
  <si>
    <t>Syyspohja</t>
  </si>
  <si>
    <t>Utula</t>
  </si>
  <si>
    <t>Mustinlahti</t>
  </si>
  <si>
    <t>Mustinmäki</t>
  </si>
  <si>
    <t>Pohja-Lankila</t>
  </si>
  <si>
    <t>Mutalahti</t>
  </si>
  <si>
    <t>Sulja</t>
  </si>
  <si>
    <t>Mutkanvaara</t>
  </si>
  <si>
    <t>Puntala</t>
  </si>
  <si>
    <t>Muukala</t>
  </si>
  <si>
    <t>Niska-Pietilä</t>
  </si>
  <si>
    <t>Purnujärvi</t>
  </si>
  <si>
    <t>Muurola</t>
  </si>
  <si>
    <t>Muuruvesi</t>
  </si>
  <si>
    <t>Simpele</t>
  </si>
  <si>
    <t>Myhinpää</t>
  </si>
  <si>
    <t>Myllykangas</t>
  </si>
  <si>
    <t>Änkilä</t>
  </si>
  <si>
    <t>Myllymäki</t>
  </si>
  <si>
    <t>Myllyniemi</t>
  </si>
  <si>
    <t>Olavinlinna</t>
  </si>
  <si>
    <t>Myllysalo</t>
  </si>
  <si>
    <t>Myrkky</t>
  </si>
  <si>
    <t>Mäki-Muhola</t>
  </si>
  <si>
    <t>Mäki-Paavola</t>
  </si>
  <si>
    <t>Mäläskä</t>
  </si>
  <si>
    <t>Varparanta</t>
  </si>
  <si>
    <t>Mälävaara</t>
  </si>
  <si>
    <t>Oravi</t>
  </si>
  <si>
    <t>Simanala</t>
  </si>
  <si>
    <t>Mäntyjärvi</t>
  </si>
  <si>
    <t>Mäntylahti</t>
  </si>
  <si>
    <t>Mäntylä</t>
  </si>
  <si>
    <t>Toroppala</t>
  </si>
  <si>
    <t>Mäntyvaara</t>
  </si>
  <si>
    <t>Seikanlampi</t>
  </si>
  <si>
    <t>Mätäsvaara</t>
  </si>
  <si>
    <t>Mäyry</t>
  </si>
  <si>
    <t>Määttälä</t>
  </si>
  <si>
    <t>Rauhaniemi</t>
  </si>
  <si>
    <t>Määttälänvaara</t>
  </si>
  <si>
    <t>Möhkö</t>
  </si>
  <si>
    <t>Möksy</t>
  </si>
  <si>
    <t>Mönni</t>
  </si>
  <si>
    <t>Möttönen</t>
  </si>
  <si>
    <t>Möykky</t>
  </si>
  <si>
    <t>Raikuu</t>
  </si>
  <si>
    <t>Naamijoki</t>
  </si>
  <si>
    <t>Pihlajaniemi</t>
  </si>
  <si>
    <t>Villala</t>
  </si>
  <si>
    <t>Säimen</t>
  </si>
  <si>
    <t>Naarajärvi</t>
  </si>
  <si>
    <t>Rönkönvaara</t>
  </si>
  <si>
    <t>Naarva</t>
  </si>
  <si>
    <t>Silvola</t>
  </si>
  <si>
    <t>Nakertaja</t>
  </si>
  <si>
    <t>Päivinen</t>
  </si>
  <si>
    <t>Napapiiri</t>
  </si>
  <si>
    <t>Tanhuvaara</t>
  </si>
  <si>
    <t>Napue</t>
  </si>
  <si>
    <t>Pellossalo</t>
  </si>
  <si>
    <t>Narkaus</t>
  </si>
  <si>
    <t>Ritosaari</t>
  </si>
  <si>
    <t>Naruska</t>
  </si>
  <si>
    <t>Punkasalmi</t>
  </si>
  <si>
    <t>Pienilahti</t>
  </si>
  <si>
    <t>Vaara</t>
  </si>
  <si>
    <t>Nederlappfors</t>
  </si>
  <si>
    <t>Putikko</t>
  </si>
  <si>
    <t>Rajanotko</t>
  </si>
  <si>
    <t>Nehvonniemi</t>
  </si>
  <si>
    <t>Ruhvana</t>
  </si>
  <si>
    <t>Neittävä</t>
  </si>
  <si>
    <t>Vuoriniemi</t>
  </si>
  <si>
    <t>Nellim</t>
  </si>
  <si>
    <t>Telakanava</t>
  </si>
  <si>
    <t>Nenonpelto</t>
  </si>
  <si>
    <t>Rajavaara</t>
  </si>
  <si>
    <t>Nerkoo</t>
  </si>
  <si>
    <t>Nerohvirta</t>
  </si>
  <si>
    <t>Neuvola</t>
  </si>
  <si>
    <t>Saukonsaari</t>
  </si>
  <si>
    <t>Piojärvi</t>
  </si>
  <si>
    <t>Puhakanlahti</t>
  </si>
  <si>
    <t>Niemelä</t>
  </si>
  <si>
    <t>Niemenkylä</t>
  </si>
  <si>
    <t>Pajasalmi</t>
  </si>
  <si>
    <t>Nieminen</t>
  </si>
  <si>
    <t>Niemiskylä</t>
  </si>
  <si>
    <t>Pihlajalahti</t>
  </si>
  <si>
    <t>Niesi</t>
  </si>
  <si>
    <t>Parkumäki</t>
  </si>
  <si>
    <t>Päiviälä</t>
  </si>
  <si>
    <t>Niinimaa</t>
  </si>
  <si>
    <t>Niinimäki</t>
  </si>
  <si>
    <t>Niinivaara</t>
  </si>
  <si>
    <t>Niinivesi</t>
  </si>
  <si>
    <t>Tuusmäki</t>
  </si>
  <si>
    <t>Niirala</t>
  </si>
  <si>
    <t>Torasalo</t>
  </si>
  <si>
    <t>Niittylahti</t>
  </si>
  <si>
    <t>Teemassaari</t>
  </si>
  <si>
    <t>Tiviä</t>
  </si>
  <si>
    <t>Peruspohja</t>
  </si>
  <si>
    <t>Niskamäki</t>
  </si>
  <si>
    <t>Särkisalmi</t>
  </si>
  <si>
    <t>Nissilä</t>
  </si>
  <si>
    <t>Rasvaniemi</t>
  </si>
  <si>
    <t>Niukkala</t>
  </si>
  <si>
    <t>Saari</t>
  </si>
  <si>
    <t>Tarnala</t>
  </si>
  <si>
    <t>Uukuniemi</t>
  </si>
  <si>
    <t>Suurikylä</t>
  </si>
  <si>
    <t>Purukylä</t>
  </si>
  <si>
    <t>Totkiniemi</t>
  </si>
  <si>
    <t>Nolimo</t>
  </si>
  <si>
    <t>Nopankylä</t>
  </si>
  <si>
    <t>Norinkylä</t>
  </si>
  <si>
    <t>Norra</t>
  </si>
  <si>
    <t>Norrby</t>
  </si>
  <si>
    <t>Norrnäs</t>
  </si>
  <si>
    <t>Nousu</t>
  </si>
  <si>
    <t>Nummijärvi</t>
  </si>
  <si>
    <t>Nummikoski</t>
  </si>
  <si>
    <t>Tuomikylä</t>
  </si>
  <si>
    <t>Pojanluoma</t>
  </si>
  <si>
    <t>Nunnanen</t>
  </si>
  <si>
    <t>Nunnanlahti</t>
  </si>
  <si>
    <t>Peräseinäjoki</t>
  </si>
  <si>
    <t>Nuojua</t>
  </si>
  <si>
    <t>Vuolle</t>
  </si>
  <si>
    <t>Nuorgam</t>
  </si>
  <si>
    <t>Pasto</t>
  </si>
  <si>
    <t>Nuoritta</t>
  </si>
  <si>
    <t>Sydänmaa</t>
  </si>
  <si>
    <t>Nuorunka</t>
  </si>
  <si>
    <t>Sääskiniemi</t>
  </si>
  <si>
    <t>Taivalmaa</t>
  </si>
  <si>
    <t>Nuupas</t>
  </si>
  <si>
    <t>Panttila</t>
  </si>
  <si>
    <t>Nuvvus</t>
  </si>
  <si>
    <t>Nyby</t>
  </si>
  <si>
    <t>Polvenkylä</t>
  </si>
  <si>
    <t>Näljänkä</t>
  </si>
  <si>
    <t>Nämpnäs</t>
  </si>
  <si>
    <t>Närhilä</t>
  </si>
  <si>
    <t>Untamala</t>
  </si>
  <si>
    <t>Närsäkkälä</t>
  </si>
  <si>
    <t>Närvijoki</t>
  </si>
  <si>
    <t>Näverrys</t>
  </si>
  <si>
    <t>Näädänmaa</t>
  </si>
  <si>
    <t>Ruusupuro</t>
  </si>
  <si>
    <t>Näätämö</t>
  </si>
  <si>
    <t>Ohenmäki</t>
  </si>
  <si>
    <t>Orismala</t>
  </si>
  <si>
    <t>Ohriluoma</t>
  </si>
  <si>
    <t>Orisberg</t>
  </si>
  <si>
    <t>Oijärvi</t>
  </si>
  <si>
    <t>Oikarainen</t>
  </si>
  <si>
    <t>Ventälä</t>
  </si>
  <si>
    <t>Oinaankylä</t>
  </si>
  <si>
    <t>Oivanki</t>
  </si>
  <si>
    <t>Ojakangas</t>
  </si>
  <si>
    <t>Pentinmäki</t>
  </si>
  <si>
    <t>Ojanperä</t>
  </si>
  <si>
    <t>Yli-Valli</t>
  </si>
  <si>
    <t>Oksakoski</t>
  </si>
  <si>
    <t>Oksava</t>
  </si>
  <si>
    <t>Olhava</t>
  </si>
  <si>
    <t>Onkamo</t>
  </si>
  <si>
    <t>Onkamojärvi</t>
  </si>
  <si>
    <t>Onkilahti</t>
  </si>
  <si>
    <t>Päntäne</t>
  </si>
  <si>
    <t>Onnivaara</t>
  </si>
  <si>
    <t>Onterhuhta</t>
  </si>
  <si>
    <t>Ontojoki</t>
  </si>
  <si>
    <t>Onttola</t>
  </si>
  <si>
    <t>Rintakangas</t>
  </si>
  <si>
    <t>Tiistenjoki</t>
  </si>
  <si>
    <t>Orakylä</t>
  </si>
  <si>
    <t>Ylikylä</t>
  </si>
  <si>
    <t>Oravaisten</t>
  </si>
  <si>
    <t>Ruha</t>
  </si>
  <si>
    <t>Pernaa</t>
  </si>
  <si>
    <t>Oravikoski</t>
  </si>
  <si>
    <t>Oravisalo</t>
  </si>
  <si>
    <t>Voltti</t>
  </si>
  <si>
    <t>Oskola</t>
  </si>
  <si>
    <t>Petterinmäki</t>
  </si>
  <si>
    <t>Oskolanmäki</t>
  </si>
  <si>
    <t>Rintala</t>
  </si>
  <si>
    <t>Peltotupa</t>
  </si>
  <si>
    <t>Otanmäki</t>
  </si>
  <si>
    <t>Pirttinen</t>
  </si>
  <si>
    <t>Perkiömäki</t>
  </si>
  <si>
    <t>Purmojärvi</t>
  </si>
  <si>
    <t>Oterma</t>
  </si>
  <si>
    <t>Oulaskangas</t>
  </si>
  <si>
    <t>Vasikka-aho</t>
  </si>
  <si>
    <t>Särkilä</t>
  </si>
  <si>
    <t>Tarvola</t>
  </si>
  <si>
    <t>Savonkylä</t>
  </si>
  <si>
    <t>Sissala</t>
  </si>
  <si>
    <t>Saukonkylä</t>
  </si>
  <si>
    <t>Savonjoki</t>
  </si>
  <si>
    <t>Sahi</t>
  </si>
  <si>
    <t>Vinni</t>
  </si>
  <si>
    <t>Outakoski</t>
  </si>
  <si>
    <t>Sääksvesi</t>
  </si>
  <si>
    <t>Paakki</t>
  </si>
  <si>
    <t>Paakkila</t>
  </si>
  <si>
    <t>Paalijärvi</t>
  </si>
  <si>
    <t>Paakkola</t>
  </si>
  <si>
    <t>Paalasmaa</t>
  </si>
  <si>
    <t>Paasikoski</t>
  </si>
  <si>
    <t>Paasilanmäki</t>
  </si>
  <si>
    <t>Ruona</t>
  </si>
  <si>
    <t>Paaslahti</t>
  </si>
  <si>
    <t>Salmi</t>
  </si>
  <si>
    <t>Paavola</t>
  </si>
  <si>
    <t>Rantala</t>
  </si>
  <si>
    <t>Pahajoki</t>
  </si>
  <si>
    <t>Pahkakoski</t>
  </si>
  <si>
    <t>Pahkakumpu</t>
  </si>
  <si>
    <t>Pahkavaara</t>
  </si>
  <si>
    <t>Sapsalampi</t>
  </si>
  <si>
    <t>Paihola</t>
  </si>
  <si>
    <t>Sulkavankylä</t>
  </si>
  <si>
    <t>Seinäjärvi</t>
  </si>
  <si>
    <t>Taipalus</t>
  </si>
  <si>
    <t>Rantatöysä</t>
  </si>
  <si>
    <t>Pajujärvi</t>
  </si>
  <si>
    <t>Pajukoski</t>
  </si>
  <si>
    <t>Pajulahti</t>
  </si>
  <si>
    <t>Pakankylä</t>
  </si>
  <si>
    <t>Tuuri</t>
  </si>
  <si>
    <t>Pakarila</t>
  </si>
  <si>
    <t>Ritola</t>
  </si>
  <si>
    <t>Ähtärinranta</t>
  </si>
  <si>
    <t>Paljakka</t>
  </si>
  <si>
    <t>Pallastunturi</t>
  </si>
  <si>
    <t>Palo</t>
  </si>
  <si>
    <t>Paloinen</t>
  </si>
  <si>
    <t>Ähtärin</t>
  </si>
  <si>
    <t>Palojoensuu</t>
  </si>
  <si>
    <t>Peränne</t>
  </si>
  <si>
    <t>Palokivalo</t>
  </si>
  <si>
    <t>Palokki</t>
  </si>
  <si>
    <t>Palonurmi</t>
  </si>
  <si>
    <t>Paloperä</t>
  </si>
  <si>
    <t>Paloselkä</t>
  </si>
  <si>
    <t>Paltanen</t>
  </si>
  <si>
    <t>Vehunkylä</t>
  </si>
  <si>
    <t>Paltaniemi</t>
  </si>
  <si>
    <t>Tiukka</t>
  </si>
  <si>
    <t>Panka</t>
  </si>
  <si>
    <t>Pankajärvi</t>
  </si>
  <si>
    <t>Pankakoski</t>
  </si>
  <si>
    <t>Yttermark</t>
  </si>
  <si>
    <t>Pjelax</t>
  </si>
  <si>
    <t>Parhalahti</t>
  </si>
  <si>
    <t>Parkkila</t>
  </si>
  <si>
    <t>Uttermossa</t>
  </si>
  <si>
    <t>Partaharju</t>
  </si>
  <si>
    <t>Partakko</t>
  </si>
  <si>
    <t>Skaftung</t>
  </si>
  <si>
    <t>Siipyy</t>
  </si>
  <si>
    <t>Pasmajärvi</t>
  </si>
  <si>
    <t>Rangsby</t>
  </si>
  <si>
    <t>Övermak</t>
  </si>
  <si>
    <t>Patana</t>
  </si>
  <si>
    <t>Räfsbäck</t>
  </si>
  <si>
    <t>Patokoski</t>
  </si>
  <si>
    <t>Pörtmossa</t>
  </si>
  <si>
    <t>Patoniemi</t>
  </si>
  <si>
    <t>Valsberg</t>
  </si>
  <si>
    <t>Patsola</t>
  </si>
  <si>
    <t>Pattijoki</t>
  </si>
  <si>
    <t>Paukarlahti</t>
  </si>
  <si>
    <t>Perälä</t>
  </si>
  <si>
    <t>Paukkaja</t>
  </si>
  <si>
    <t>Paxal</t>
  </si>
  <si>
    <t>Peltola</t>
  </si>
  <si>
    <t>Äystö</t>
  </si>
  <si>
    <t>Peiposjärvi</t>
  </si>
  <si>
    <t>Vanhakylä</t>
  </si>
  <si>
    <t>Pekkala</t>
  </si>
  <si>
    <t>Pekkula</t>
  </si>
  <si>
    <t>Villamo</t>
  </si>
  <si>
    <t>Pelonniemi</t>
  </si>
  <si>
    <t>Pelsonsuo</t>
  </si>
  <si>
    <t>Peltosalmi</t>
  </si>
  <si>
    <t>Peltovuoma</t>
  </si>
  <si>
    <t>Pensala</t>
  </si>
  <si>
    <t>Penttilänvaara</t>
  </si>
  <si>
    <t>Peranka</t>
  </si>
  <si>
    <t>Sundom</t>
  </si>
  <si>
    <t>Sulva</t>
  </si>
  <si>
    <t>Pernu</t>
  </si>
  <si>
    <t>Tölby</t>
  </si>
  <si>
    <t>Perttaus</t>
  </si>
  <si>
    <t>Rimal</t>
  </si>
  <si>
    <t>Vikby</t>
  </si>
  <si>
    <t>Tuovila</t>
  </si>
  <si>
    <t>Sepänkylä</t>
  </si>
  <si>
    <t>Perä-Posio</t>
  </si>
  <si>
    <t>Singsby</t>
  </si>
  <si>
    <t>Raippaluoto</t>
  </si>
  <si>
    <t>Pesiökylä</t>
  </si>
  <si>
    <t>Pessalompolo</t>
  </si>
  <si>
    <t>Södra</t>
  </si>
  <si>
    <t>Petalax</t>
  </si>
  <si>
    <t>Petkula</t>
  </si>
  <si>
    <t>Söderudden</t>
  </si>
  <si>
    <t>Petromäki</t>
  </si>
  <si>
    <t>Petrovaara</t>
  </si>
  <si>
    <t>Övermalax</t>
  </si>
  <si>
    <t>Petsmo</t>
  </si>
  <si>
    <t>Petäinen</t>
  </si>
  <si>
    <t>Petäiskylä</t>
  </si>
  <si>
    <t>Petäjäjärvi</t>
  </si>
  <si>
    <t>Petäjäkylä</t>
  </si>
  <si>
    <t>Petäjämäki</t>
  </si>
  <si>
    <t>Svarvar</t>
  </si>
  <si>
    <t>Sidbäck</t>
  </si>
  <si>
    <t>Petäjäskoski</t>
  </si>
  <si>
    <t>Töjby</t>
  </si>
  <si>
    <t>Petäys</t>
  </si>
  <si>
    <t>Peura</t>
  </si>
  <si>
    <t>Piehinki</t>
  </si>
  <si>
    <t>Pieksä</t>
  </si>
  <si>
    <t>Sarvijoki</t>
  </si>
  <si>
    <t>Pieksämäki</t>
  </si>
  <si>
    <t>Tainus</t>
  </si>
  <si>
    <t>Pieksänkoski</t>
  </si>
  <si>
    <t>Ruto</t>
  </si>
  <si>
    <t>Vedenoja</t>
  </si>
  <si>
    <t>Tervajoki</t>
  </si>
  <si>
    <t>Pienola</t>
  </si>
  <si>
    <t>Pihkala</t>
  </si>
  <si>
    <t>Veikkaala</t>
  </si>
  <si>
    <t>Västerhankmo</t>
  </si>
  <si>
    <t>Österhankmo</t>
  </si>
  <si>
    <t>Vallvik</t>
  </si>
  <si>
    <t>Vassor</t>
  </si>
  <si>
    <t>Rökiö</t>
  </si>
  <si>
    <t>Piispajärvi</t>
  </si>
  <si>
    <t>Piittisjärvi</t>
  </si>
  <si>
    <t>Tottesund</t>
  </si>
  <si>
    <t>Tuckar</t>
  </si>
  <si>
    <t>Rekipelto</t>
  </si>
  <si>
    <t>Pintamo</t>
  </si>
  <si>
    <t>Särkimo</t>
  </si>
  <si>
    <t>Pirttiaho</t>
  </si>
  <si>
    <t>Åvist</t>
  </si>
  <si>
    <t>Pirttijoki</t>
  </si>
  <si>
    <t>Soklot</t>
  </si>
  <si>
    <t>Pirttikoski</t>
  </si>
  <si>
    <t>Vexala</t>
  </si>
  <si>
    <t>Pirttivaara</t>
  </si>
  <si>
    <t>Pisa</t>
  </si>
  <si>
    <t>Pisankoski</t>
  </si>
  <si>
    <t>Pitkäkumpu</t>
  </si>
  <si>
    <t>Pitämä</t>
  </si>
  <si>
    <t>Pohjasperä</t>
  </si>
  <si>
    <t>Pohjavaara</t>
  </si>
  <si>
    <t>Ruotsalo</t>
  </si>
  <si>
    <t>Pohjois-Vuokko</t>
  </si>
  <si>
    <t>Yli-Ullava</t>
  </si>
  <si>
    <t>Rahkonen</t>
  </si>
  <si>
    <t>Poikiinaho</t>
  </si>
  <si>
    <t>Tast</t>
  </si>
  <si>
    <t>Pokka</t>
  </si>
  <si>
    <t>Öja</t>
  </si>
  <si>
    <t>Polusjärvi</t>
  </si>
  <si>
    <t>Polvela</t>
  </si>
  <si>
    <t>Teerijärvi</t>
  </si>
  <si>
    <t>Småbönders</t>
  </si>
  <si>
    <t>Ytteresse</t>
  </si>
  <si>
    <t>Sundby</t>
  </si>
  <si>
    <t>Purmo</t>
  </si>
  <si>
    <t>Överpurmo</t>
  </si>
  <si>
    <t>Yli-Kannus</t>
  </si>
  <si>
    <t>Porokari</t>
  </si>
  <si>
    <t>Porokylä</t>
  </si>
  <si>
    <t>Porontima</t>
  </si>
  <si>
    <t>Purontaka</t>
  </si>
  <si>
    <t>Sykäräinen</t>
  </si>
  <si>
    <t>Portimojärvi</t>
  </si>
  <si>
    <t>Syri</t>
  </si>
  <si>
    <t>Porttila</t>
  </si>
  <si>
    <t>Yli-Lesti</t>
  </si>
  <si>
    <t>Potoskavaara</t>
  </si>
  <si>
    <t>Poussu</t>
  </si>
  <si>
    <t>Tunkkari</t>
  </si>
  <si>
    <t>Poutilanmäki</t>
  </si>
  <si>
    <t>Sillanpää</t>
  </si>
  <si>
    <t>Räyrinki</t>
  </si>
  <si>
    <t>Pulkkinen</t>
  </si>
  <si>
    <t>Puhos</t>
  </si>
  <si>
    <t>Puhoskylä</t>
  </si>
  <si>
    <t>Puhossalo</t>
  </si>
  <si>
    <t>Salamajärvi</t>
  </si>
  <si>
    <t>Puijo</t>
  </si>
  <si>
    <t>Pulju</t>
  </si>
  <si>
    <t>Pulkonkoski</t>
  </si>
  <si>
    <t>Punnonmäki</t>
  </si>
  <si>
    <t>Puokiovaara</t>
  </si>
  <si>
    <t>Puponmäki</t>
  </si>
  <si>
    <t>Toivala</t>
  </si>
  <si>
    <t>Vuorela</t>
  </si>
  <si>
    <t>Purnuvaara</t>
  </si>
  <si>
    <t>Vartiala</t>
  </si>
  <si>
    <t>Riistavesi</t>
  </si>
  <si>
    <t>Puromäki</t>
  </si>
  <si>
    <t>Tuusjärvi</t>
  </si>
  <si>
    <t>Ruskila</t>
  </si>
  <si>
    <t>Putkimäki</t>
  </si>
  <si>
    <t>Puukari</t>
  </si>
  <si>
    <t>Vehmersalmi</t>
  </si>
  <si>
    <t>Räsälä</t>
  </si>
  <si>
    <t>Pyhitty</t>
  </si>
  <si>
    <t>Pyhäkumpu</t>
  </si>
  <si>
    <t>Syvänniemi</t>
  </si>
  <si>
    <t>Pyhänkoski</t>
  </si>
  <si>
    <t>Salonkulma</t>
  </si>
  <si>
    <t>Riuttasenpää</t>
  </si>
  <si>
    <t>Pyhäsalmi</t>
  </si>
  <si>
    <t>Talluskylä</t>
  </si>
  <si>
    <t>Pyhätunturi</t>
  </si>
  <si>
    <t>Pykälikkö</t>
  </si>
  <si>
    <t>Pyssyvaara</t>
  </si>
  <si>
    <t>Varpasmaa</t>
  </si>
  <si>
    <t>Tavinsalmi</t>
  </si>
  <si>
    <t>Vianta</t>
  </si>
  <si>
    <t>Pänttölä</t>
  </si>
  <si>
    <t>Tuovilanlahti</t>
  </si>
  <si>
    <t>Pärjänsuo</t>
  </si>
  <si>
    <t>Pöljä</t>
  </si>
  <si>
    <t>Pölkki</t>
  </si>
  <si>
    <t>Pörsänmäki</t>
  </si>
  <si>
    <t>Tarinaharju</t>
  </si>
  <si>
    <t>Raahensalo</t>
  </si>
  <si>
    <t>Raajärvi</t>
  </si>
  <si>
    <t>Raanujärvi</t>
  </si>
  <si>
    <t>Raatikka</t>
  </si>
  <si>
    <t>Raattama</t>
  </si>
  <si>
    <t>Raatti</t>
  </si>
  <si>
    <t>Utrianlahti</t>
  </si>
  <si>
    <t>Rahja</t>
  </si>
  <si>
    <t>Tiitilänkylä</t>
  </si>
  <si>
    <t>Rahtula</t>
  </si>
  <si>
    <t>Saarinen</t>
  </si>
  <si>
    <t>Säviäntaipale</t>
  </si>
  <si>
    <t>Säviä</t>
  </si>
  <si>
    <t>Raiskio</t>
  </si>
  <si>
    <t>Rajala</t>
  </si>
  <si>
    <t>Vaaraslahti</t>
  </si>
  <si>
    <t>Saarela</t>
  </si>
  <si>
    <t>Tossavanlahti</t>
  </si>
  <si>
    <t>Taipale</t>
  </si>
  <si>
    <t>Rapakkojoki</t>
  </si>
  <si>
    <t>Soppi</t>
  </si>
  <si>
    <t>Rasilampi</t>
  </si>
  <si>
    <t>Rasivaara</t>
  </si>
  <si>
    <t>Syvärinpää</t>
  </si>
  <si>
    <t>Rattosjärvi</t>
  </si>
  <si>
    <t>Raudanjoki</t>
  </si>
  <si>
    <t>Tahkovuori</t>
  </si>
  <si>
    <t>Tihvonjärvi</t>
  </si>
  <si>
    <t>Västinniemi</t>
  </si>
  <si>
    <t>Vääränmäki</t>
  </si>
  <si>
    <t>Rautio</t>
  </si>
  <si>
    <t>Sivakkavaara</t>
  </si>
  <si>
    <t>Rautionsaari</t>
  </si>
  <si>
    <t>Viitaniemi</t>
  </si>
  <si>
    <t>Rautusjärvi</t>
  </si>
  <si>
    <t>Säyneinen</t>
  </si>
  <si>
    <t>Reijola</t>
  </si>
  <si>
    <t>Siikajärvi</t>
  </si>
  <si>
    <t>Remeskylä</t>
  </si>
  <si>
    <t>Riitasalo</t>
  </si>
  <si>
    <t>Repola</t>
  </si>
  <si>
    <t>Revonkylä</t>
  </si>
  <si>
    <t>Revonlahti</t>
  </si>
  <si>
    <t>Rieskaniemi</t>
  </si>
  <si>
    <t>Soinlahti</t>
  </si>
  <si>
    <t>Riihiaho</t>
  </si>
  <si>
    <t>Valkeiskylä</t>
  </si>
  <si>
    <t>Riihikangas</t>
  </si>
  <si>
    <t>Salahmi</t>
  </si>
  <si>
    <t>Sukeva</t>
  </si>
  <si>
    <t>Riipi</t>
  </si>
  <si>
    <t>Sonkakoski</t>
  </si>
  <si>
    <t>Riipilä</t>
  </si>
  <si>
    <t>Rinteelä</t>
  </si>
  <si>
    <t>Rinteenperä</t>
  </si>
  <si>
    <t>Sourunsalo</t>
  </si>
  <si>
    <t>Runni</t>
  </si>
  <si>
    <t>Risti</t>
  </si>
  <si>
    <t>Ryönänjoki</t>
  </si>
  <si>
    <t>Ristilä</t>
  </si>
  <si>
    <t>Sulkavanjärvi</t>
  </si>
  <si>
    <t>Ristinpohja</t>
  </si>
  <si>
    <t>Tihilänkangas</t>
  </si>
  <si>
    <t>Rokkala</t>
  </si>
  <si>
    <t>Romakkaniemi</t>
  </si>
  <si>
    <t>Romppala</t>
  </si>
  <si>
    <t>Ronkeli</t>
  </si>
  <si>
    <t>Savikylä</t>
  </si>
  <si>
    <t>Ylä-Luosta</t>
  </si>
  <si>
    <t>Roukalahti</t>
  </si>
  <si>
    <t>Rousamo</t>
  </si>
  <si>
    <t>Rova</t>
  </si>
  <si>
    <t>Rumo</t>
  </si>
  <si>
    <t>Uramo</t>
  </si>
  <si>
    <t>Ylä-Valtimo</t>
  </si>
  <si>
    <t>Sivakka</t>
  </si>
  <si>
    <t>Saramo</t>
  </si>
  <si>
    <t>Rovastinaho</t>
  </si>
  <si>
    <t>Ruhovaara</t>
  </si>
  <si>
    <t>Ruhtinansalmi</t>
  </si>
  <si>
    <t>Rukatunturi</t>
  </si>
  <si>
    <t>Rummukkala</t>
  </si>
  <si>
    <t>Rummukkamäki</t>
  </si>
  <si>
    <t>Ruohola</t>
  </si>
  <si>
    <t>Ruokojärvi</t>
  </si>
  <si>
    <t>Venetmäki</t>
  </si>
  <si>
    <t>Virtasalmi</t>
  </si>
  <si>
    <t>Väisälä</t>
  </si>
  <si>
    <t>Siikamäki</t>
  </si>
  <si>
    <t>Savuniemi</t>
  </si>
  <si>
    <t>Ruuhivaara</t>
  </si>
  <si>
    <t>Ruunaankylä</t>
  </si>
  <si>
    <t>Ruunakangas</t>
  </si>
  <si>
    <t>Ruunamäki</t>
  </si>
  <si>
    <t>Tihusniemi</t>
  </si>
  <si>
    <t>Ruuskankylä</t>
  </si>
  <si>
    <t>Suontee</t>
  </si>
  <si>
    <t>Ruuvaoja</t>
  </si>
  <si>
    <t>Sulasalmi</t>
  </si>
  <si>
    <t>Ruvanaho</t>
  </si>
  <si>
    <t>Ruvaslahti</t>
  </si>
  <si>
    <t>Vaajasalmi</t>
  </si>
  <si>
    <t>Ryti-Lehtola</t>
  </si>
  <si>
    <t>Rytinki</t>
  </si>
  <si>
    <t>Räinä</t>
  </si>
  <si>
    <t>Räisälänmäki</t>
  </si>
  <si>
    <t>Timola</t>
  </si>
  <si>
    <t>Röksä</t>
  </si>
  <si>
    <t>Sorsakoski</t>
  </si>
  <si>
    <t>Rönni</t>
  </si>
  <si>
    <t>Saamaiskylä</t>
  </si>
  <si>
    <t>Tuppurinmäki</t>
  </si>
  <si>
    <t>Valkeamäki</t>
  </si>
  <si>
    <t>Saarenkylä</t>
  </si>
  <si>
    <t>Saaresmäki</t>
  </si>
  <si>
    <t>Saari-Kämä</t>
  </si>
  <si>
    <t>Saariharju</t>
  </si>
  <si>
    <t>Saarikangas</t>
  </si>
  <si>
    <t>Viljolahti</t>
  </si>
  <si>
    <t>Saarikoski</t>
  </si>
  <si>
    <t>Saarilampi</t>
  </si>
  <si>
    <t>Saario</t>
  </si>
  <si>
    <t>Saariselkä</t>
  </si>
  <si>
    <t>Saarivaara</t>
  </si>
  <si>
    <t>Säynetkoski</t>
  </si>
  <si>
    <t>Saija</t>
  </si>
  <si>
    <t>Varistaival</t>
  </si>
  <si>
    <t>Uusi-Valamo</t>
  </si>
  <si>
    <t>Suuraho</t>
  </si>
  <si>
    <t>Sakara</t>
  </si>
  <si>
    <t>Sarvikumpu</t>
  </si>
  <si>
    <t>Vihtari</t>
  </si>
  <si>
    <t>Salmenranta</t>
  </si>
  <si>
    <t>Salmivaara</t>
  </si>
  <si>
    <t>Ylämylly</t>
  </si>
  <si>
    <t>Saloinen</t>
  </si>
  <si>
    <t>Salokylä</t>
  </si>
  <si>
    <t>Salonnenä</t>
  </si>
  <si>
    <t>Sammakkovaara</t>
  </si>
  <si>
    <t>Sammale</t>
  </si>
  <si>
    <t>Sammalvaara</t>
  </si>
  <si>
    <t>Sanginkylä</t>
  </si>
  <si>
    <t>Tienhaara</t>
  </si>
  <si>
    <t>Uimaharju</t>
  </si>
  <si>
    <t>Sarajärvi</t>
  </si>
  <si>
    <t>Ukkola</t>
  </si>
  <si>
    <t>Sarja</t>
  </si>
  <si>
    <t>Sarjanahde</t>
  </si>
  <si>
    <t>Tokrajärvi</t>
  </si>
  <si>
    <t>Sarvinki</t>
  </si>
  <si>
    <t>Tyrjänsaari</t>
  </si>
  <si>
    <t>Vihtakangas</t>
  </si>
  <si>
    <t>Sattanen</t>
  </si>
  <si>
    <t>Sattasvaara</t>
  </si>
  <si>
    <t>Vuonisjärvi</t>
  </si>
  <si>
    <t>Saunavaara</t>
  </si>
  <si>
    <t>Vuonislahti</t>
  </si>
  <si>
    <t>Sikovaara</t>
  </si>
  <si>
    <t>Saviselkä</t>
  </si>
  <si>
    <t>Savolanvaara</t>
  </si>
  <si>
    <t>Tiensuu</t>
  </si>
  <si>
    <t>Vekki</t>
  </si>
  <si>
    <t>Viekijärvi</t>
  </si>
  <si>
    <t>Uskali</t>
  </si>
  <si>
    <t>Vesimo</t>
  </si>
  <si>
    <t>Suhmura</t>
  </si>
  <si>
    <t>Varpasalo</t>
  </si>
  <si>
    <t>Tikkala</t>
  </si>
  <si>
    <t>Seipäjärvi</t>
  </si>
  <si>
    <t>Tolosenmäki</t>
  </si>
  <si>
    <t>Selkoskylä</t>
  </si>
  <si>
    <t>Selkälä</t>
  </si>
  <si>
    <t>Sevettijärvi</t>
  </si>
  <si>
    <t>Sieppijärvi</t>
  </si>
  <si>
    <t>Vihtavaara</t>
  </si>
  <si>
    <t>Siika-Kämä</t>
  </si>
  <si>
    <t>Säyneenkylä</t>
  </si>
  <si>
    <t>Siikaranta</t>
  </si>
  <si>
    <t>Vatala</t>
  </si>
  <si>
    <t>Siivikko</t>
  </si>
  <si>
    <t>Tervavaara</t>
  </si>
  <si>
    <t>Värtsilä</t>
  </si>
  <si>
    <t>Uusi-Värtsilä</t>
  </si>
  <si>
    <t>Simoniemi</t>
  </si>
  <si>
    <t>Tuupovaara</t>
  </si>
  <si>
    <t>Öllölä</t>
  </si>
  <si>
    <t>Sinettä</t>
  </si>
  <si>
    <t>Sipola</t>
  </si>
  <si>
    <t>Sirkka</t>
  </si>
  <si>
    <t>Sirkkakoski</t>
  </si>
  <si>
    <t>Sirniö</t>
  </si>
  <si>
    <t>Sonkaja</t>
  </si>
  <si>
    <t>Siurunmaa</t>
  </si>
  <si>
    <t>Soikko</t>
  </si>
  <si>
    <t>Tutjunniemi</t>
  </si>
  <si>
    <t>Soivio</t>
  </si>
  <si>
    <t>Sola</t>
  </si>
  <si>
    <t>Somerkylä</t>
  </si>
  <si>
    <t>Viinijärvi</t>
  </si>
  <si>
    <t>Sonka</t>
  </si>
  <si>
    <t>Vaivio</t>
  </si>
  <si>
    <t>Viuruniemi</t>
  </si>
  <si>
    <t>Varislahti</t>
  </si>
  <si>
    <t>Sossonniemi</t>
  </si>
  <si>
    <t>Sotkajärvi</t>
  </si>
  <si>
    <t>Suojapuro</t>
  </si>
  <si>
    <t>Sotkia</t>
  </si>
  <si>
    <t>Sotkuma</t>
  </si>
  <si>
    <t>Sulaoja</t>
  </si>
  <si>
    <t>Timovaara</t>
  </si>
  <si>
    <t>Vihtasuo</t>
  </si>
  <si>
    <t>Vuokko</t>
  </si>
  <si>
    <t>Välilä</t>
  </si>
  <si>
    <t>Tuopanjoki</t>
  </si>
  <si>
    <t>Suolijärvi</t>
  </si>
  <si>
    <t>Suomulahti</t>
  </si>
  <si>
    <t>Suonnankylä</t>
  </si>
  <si>
    <t>Vasankari</t>
  </si>
  <si>
    <t>Tynkä</t>
  </si>
  <si>
    <t>Suorsa</t>
  </si>
  <si>
    <t>Typpö</t>
  </si>
  <si>
    <t>Sutela</t>
  </si>
  <si>
    <t>Yli-Kääntä</t>
  </si>
  <si>
    <t>Talus</t>
  </si>
  <si>
    <t>Vääräjoki</t>
  </si>
  <si>
    <t>Suvanto</t>
  </si>
  <si>
    <t>Syväjärvi</t>
  </si>
  <si>
    <t>Säikkä</t>
  </si>
  <si>
    <t>Tulppo</t>
  </si>
  <si>
    <t>Säkkilänvaara</t>
  </si>
  <si>
    <t>Särkijärvi</t>
  </si>
  <si>
    <t>Tolpankangas</t>
  </si>
  <si>
    <t>Säräisniemi</t>
  </si>
  <si>
    <t>Yppäri</t>
  </si>
  <si>
    <t>Säynäjä</t>
  </si>
  <si>
    <t>Ylipää</t>
  </si>
  <si>
    <t>Sääskilahti</t>
  </si>
  <si>
    <t>Taapajärvi</t>
  </si>
  <si>
    <t>Vatjusjärvi</t>
  </si>
  <si>
    <t>Tainionjoki</t>
  </si>
  <si>
    <t>Taipaleenharju</t>
  </si>
  <si>
    <t>Venetpalo</t>
  </si>
  <si>
    <t>Takalo</t>
  </si>
  <si>
    <t>Takkusalmi</t>
  </si>
  <si>
    <t>Vesikoski</t>
  </si>
  <si>
    <t>Vuohtamäki</t>
  </si>
  <si>
    <t>Väliaho</t>
  </si>
  <si>
    <t>Tuhkala</t>
  </si>
  <si>
    <t>Vuottolahti</t>
  </si>
  <si>
    <t>Uva</t>
  </si>
  <si>
    <t>Vuokatti</t>
  </si>
  <si>
    <t>Vuokatin</t>
  </si>
  <si>
    <t>Tanhua</t>
  </si>
  <si>
    <t>Yli-Vieksi</t>
  </si>
  <si>
    <t>Tankavaara</t>
  </si>
  <si>
    <t>Tannila</t>
  </si>
  <si>
    <t>Tapio</t>
  </si>
  <si>
    <t>Törmänmäki</t>
  </si>
  <si>
    <t>Tapionniemi</t>
  </si>
  <si>
    <t>Tapojärvi</t>
  </si>
  <si>
    <t>Väyrylänkylä</t>
  </si>
  <si>
    <t>Tavastkenkä</t>
  </si>
  <si>
    <t>Teeriranta</t>
  </si>
  <si>
    <t>Ämmänsaari</t>
  </si>
  <si>
    <t>Temmes</t>
  </si>
  <si>
    <t>Tennirova</t>
  </si>
  <si>
    <t>Tepasto</t>
  </si>
  <si>
    <t>Tepsa</t>
  </si>
  <si>
    <t>Vaaranniva</t>
  </si>
  <si>
    <t>Yli-Vuokki</t>
  </si>
  <si>
    <t>Tiainen</t>
  </si>
  <si>
    <t>Varjakka</t>
  </si>
  <si>
    <t>Tikkalankangas</t>
  </si>
  <si>
    <t>Tolja</t>
  </si>
  <si>
    <t>Tolva</t>
  </si>
  <si>
    <t>Yli-Olhava</t>
  </si>
  <si>
    <t>Tonkopuro</t>
  </si>
  <si>
    <t>Yli-Tannila</t>
  </si>
  <si>
    <t>Vepsänkylä</t>
  </si>
  <si>
    <t>Torvinen</t>
  </si>
  <si>
    <t>Totonvaara</t>
  </si>
  <si>
    <t>Ängeslevä</t>
  </si>
  <si>
    <t>Tupos</t>
  </si>
  <si>
    <t>Tuohikylä</t>
  </si>
  <si>
    <t>Tuomioja</t>
  </si>
  <si>
    <t>Äyrinmäki</t>
  </si>
  <si>
    <t>Vorna</t>
  </si>
  <si>
    <t>Veneheitto</t>
  </si>
  <si>
    <t>Uutela</t>
  </si>
  <si>
    <t>Yli-Kollaja</t>
  </si>
  <si>
    <t>Turtola</t>
  </si>
  <si>
    <t>Yli-Siurua</t>
  </si>
  <si>
    <t>Tuuliharju</t>
  </si>
  <si>
    <t>Uhkala</t>
  </si>
  <si>
    <t>Tyröjärvi</t>
  </si>
  <si>
    <t>Tyrövaara</t>
  </si>
  <si>
    <t>Törmä</t>
  </si>
  <si>
    <t>Vanhala</t>
  </si>
  <si>
    <t>Törmäsenvaara</t>
  </si>
  <si>
    <t>Törmäsjärvi</t>
  </si>
  <si>
    <t>Vasaraperä</t>
  </si>
  <si>
    <t>Unari</t>
  </si>
  <si>
    <t>Unarin-Luusua</t>
  </si>
  <si>
    <t>Vuotunki</t>
  </si>
  <si>
    <t>Vaalajärvi</t>
  </si>
  <si>
    <t>Viantie</t>
  </si>
  <si>
    <t>Vilmi</t>
  </si>
  <si>
    <t>Yli-Martimo</t>
  </si>
  <si>
    <t>Yli-Kärppä</t>
  </si>
  <si>
    <t>Vaattojärvi</t>
  </si>
  <si>
    <t>Yli-Hosio</t>
  </si>
  <si>
    <t>Varejoki</t>
  </si>
  <si>
    <t>Yli-Paakkola</t>
  </si>
  <si>
    <t>Vallovaara</t>
  </si>
  <si>
    <t>Väylänpää</t>
  </si>
  <si>
    <t>Venejärvenkylä</t>
  </si>
  <si>
    <t>Äkäsjoensuu</t>
  </si>
  <si>
    <t>Vanttauskoski</t>
  </si>
  <si>
    <t>Äkäslompolo</t>
  </si>
  <si>
    <t>Vikajärvi</t>
  </si>
  <si>
    <t>Yli-Nampa</t>
  </si>
  <si>
    <t>Viiri</t>
  </si>
  <si>
    <t>Yli-Simo</t>
  </si>
  <si>
    <t>Vuostimo</t>
  </si>
  <si>
    <t>Vuostimojärvi</t>
  </si>
  <si>
    <t>Vittakumpu</t>
  </si>
  <si>
    <t>Värriö</t>
  </si>
  <si>
    <t>Vuontisjärvi</t>
  </si>
  <si>
    <t>Vuotso</t>
  </si>
  <si>
    <t>Yli-Muonio</t>
  </si>
  <si>
    <t>Yli-Kitinen</t>
  </si>
  <si>
    <t>Ylä Luosta</t>
  </si>
  <si>
    <t>VIRHE</t>
  </si>
</sst>
</file>

<file path=xl/styles.xml><?xml version="1.0" encoding="utf-8"?>
<styleSheet xmlns="http://schemas.openxmlformats.org/spreadsheetml/2006/main">
  <numFmts count="160">
    <numFmt numFmtId="164" formatCode="GENERAL"/>
    <numFmt numFmtId="165" formatCode="#,##0.0\ [$brm2-40B];[RED]\-#,##0.0\ [$brm2-40B]"/>
    <numFmt numFmtId="166" formatCode="#,##0&quot; kWh/v&quot;"/>
    <numFmt numFmtId="167" formatCode="#,##0.00\ [$m2-40B];[RED]\-#,##0.00\ [$m2-40B]"/>
    <numFmt numFmtId="168" formatCode="#,##0.0\ [$m3-40B];[RED]\-#,##0.0\ [$m3-40B]"/>
    <numFmt numFmtId="169" formatCode="#,##0.00\ [$kW-40B];[RED]\-#,##0.00\ [$kW-40B]"/>
    <numFmt numFmtId="170" formatCode="#,##0"/>
    <numFmt numFmtId="171" formatCode="DD/MM/YYYY"/>
    <numFmt numFmtId="172" formatCode="#,##0.0\ [$m2-40B];[RED]\-#,##0.0\ [$m2-40B]"/>
    <numFmt numFmtId="173" formatCode="0.000&quot; m&quot;"/>
    <numFmt numFmtId="174" formatCode="#,##0&quot; kWh&quot;"/>
    <numFmt numFmtId="175" formatCode="#,##0\ [$€-40B];[RED]\-#,##0\ [$€-40B]"/>
    <numFmt numFmtId="176" formatCode="0&quot; kWh&quot;;\-0&quot; kWh&quot;"/>
    <numFmt numFmtId="177" formatCode="0%"/>
    <numFmt numFmtId="178" formatCode="#,##0\ [$kWh/v-40B]"/>
    <numFmt numFmtId="179" formatCode="#,##0.00\ [$kW-40B];\-#,##0.00\ [$kW-40B]"/>
    <numFmt numFmtId="180" formatCode="#,##0\ [$pers-40B];\-#,##0\ [$pers-40B]"/>
    <numFmt numFmtId="181" formatCode="0.000"/>
    <numFmt numFmtId="182" formatCode="0.00\ [$COP-40B];\-0.00\ [$COP-40B]"/>
    <numFmt numFmtId="183" formatCode="#&quot; m2&quot;"/>
    <numFmt numFmtId="184" formatCode="0.0"/>
    <numFmt numFmtId="185" formatCode="#&quot; m3&quot;"/>
    <numFmt numFmtId="186" formatCode="#,##0;[RED]\-#,##0"/>
    <numFmt numFmtId="187" formatCode="0"/>
    <numFmt numFmtId="188" formatCode="#,##0\ [$kWh/m2-40B];\-#,##0\ [$kWh/m2-40B]"/>
    <numFmt numFmtId="189" formatCode="#,##0\ [$kWh/brm-40B];\-#,##0\ [$kWh/brm-40B]"/>
    <numFmt numFmtId="190" formatCode="@"/>
    <numFmt numFmtId="191" formatCode="#,##0\ [$kWh/brm2-40B];\-#,##0\ [$kWh/brm2-40B]"/>
    <numFmt numFmtId="192" formatCode="0\ [$ET-40B];\-0\ [$ET-40B]"/>
    <numFmt numFmtId="193" formatCode="#,##0.0\ [$C-40B];[RED]\-#,##0.0\ [$C-40B]"/>
    <numFmt numFmtId="194" formatCode="#,##0.0\ [$kW-40B];\-#,##0.0\ [$kW-40B]"/>
    <numFmt numFmtId="195" formatCode="#,##0\ [$litraa-40B];[RED]\-#,##0\ [$litraa-40B]"/>
    <numFmt numFmtId="196" formatCode="#,##0.000\ [$€/ltr-40B];[RED]\-#,##0.000\ [$€/ltr-40B]"/>
    <numFmt numFmtId="197" formatCode="0.00%"/>
    <numFmt numFmtId="198" formatCode="#,##0.000\ [$kW-40B];[RED]\-#,##0.000\ [$kW-40B]"/>
    <numFmt numFmtId="199" formatCode="0.0\ [$COP-40B];\-0.0\ [$COP-40B]"/>
    <numFmt numFmtId="200" formatCode="#,##0.00\ [$€/m3-40B];[RED]\-#,##0.00\ [$€/m3-40B]"/>
    <numFmt numFmtId="201" formatCode="#,##0.000\ [$€/kWh-40B];[RED]\-#,##0.000\ [$€/kWh-40B]"/>
    <numFmt numFmtId="202" formatCode="#&quot; br m2&quot;"/>
    <numFmt numFmtId="203" formatCode="0.00\ [$m-40B];\-0.00\ [$m-40B]"/>
    <numFmt numFmtId="204" formatCode="#,##0.000\ [$€-40B];[RED]\-#,##0.000\ [$€-40B]"/>
    <numFmt numFmtId="205" formatCode="0.0%"/>
    <numFmt numFmtId="206" formatCode="#,##0.00\ [$€-40B];[RED]\-#,##0.00\ [$€-40B]"/>
    <numFmt numFmtId="207" formatCode="#,##0\ [$ltr-40B];[RED]\-#,##0\ [$ltr-40B]"/>
    <numFmt numFmtId="208" formatCode="0.0&quot; tonnia/vuosi&quot;"/>
    <numFmt numFmtId="209" formatCode="#&quot; m3/vuosi&quot;"/>
    <numFmt numFmtId="210" formatCode="#,##0\ [$kWh-40B]"/>
    <numFmt numFmtId="211" formatCode="#,##0\ [$hlö-40B];\-#,##0\ [$hlö-40B]"/>
    <numFmt numFmtId="212" formatCode="#,##0.0&quot; kWh/m&quot;;\-#,##0.0&quot; kWh/m&quot;"/>
    <numFmt numFmtId="213" formatCode="0\ [$m-40B];\-0\ [$m-40B]"/>
    <numFmt numFmtId="214" formatCode="0.0\ [$m-40B];\-0.0\ [$m-40B]"/>
    <numFmt numFmtId="215" formatCode="0\ [$kaivo(a)-40B];\-0\ [$kaivo(a)-40B]"/>
    <numFmt numFmtId="216" formatCode="#,##0.0&quot; C&quot;;[RED]\-0.0&quot; C&quot;"/>
    <numFmt numFmtId="217" formatCode="#,##0.00&quot; mK/m&quot;"/>
    <numFmt numFmtId="218" formatCode="#,##0.0&quot; W/m&quot;;\-#,##0.0&quot; W/m&quot;"/>
    <numFmt numFmtId="219" formatCode="0.0\ [$kWh/m-40B];\-0.0\ [$kWh/m-40B]"/>
    <numFmt numFmtId="220" formatCode="#,##0.0000\ [$K/m-40B];[RED]\-#,##0.0000\ [$K/m-40B]"/>
    <numFmt numFmtId="221" formatCode="#,##0\ [$kWh-40B];[RED]\-#,##0\ [$kWh-40B]"/>
    <numFmt numFmtId="222" formatCode="0.0&quot; W/m&quot;"/>
    <numFmt numFmtId="223" formatCode="0.0&quot; W / (mK)&quot;"/>
    <numFmt numFmtId="224" formatCode="0.00"/>
    <numFmt numFmtId="225" formatCode="#,##0.00&quot; kerroin&quot;"/>
    <numFmt numFmtId="226" formatCode="#,##0\C;\-#,##0\C"/>
    <numFmt numFmtId="227" formatCode="#,##0.000;[RED]\-#,##0.000"/>
    <numFmt numFmtId="228" formatCode="#,##0.00\ [$C-40B];[RED]\-#,##0.00\ [$C-40B]"/>
    <numFmt numFmtId="229" formatCode="#,##0\ [$C-40B];[RED]\-#,##0\ [$C-40B]"/>
    <numFmt numFmtId="230" formatCode="#,##0.0&quot;kW&quot;;\-#,##0.0&quot;kW&quot;"/>
    <numFmt numFmtId="231" formatCode="#&quot; m&quot;"/>
    <numFmt numFmtId="232" formatCode="#,##0\ [$kWh/kW-40B];[RED]\-#,##0\ [$kWh/kW-40B]"/>
    <numFmt numFmtId="233" formatCode="#,##0;\-#,##0"/>
    <numFmt numFmtId="234" formatCode="#.0&quot; kW&quot;"/>
    <numFmt numFmtId="235" formatCode="#,##0\ [$h-40B];\-#,##0\ [$h-40B]"/>
    <numFmt numFmtId="236" formatCode="0.000&quot; x&quot;"/>
    <numFmt numFmtId="237" formatCode="#,##0.000\ [$x-40B]"/>
    <numFmt numFmtId="238" formatCode="0.0000000"/>
    <numFmt numFmtId="239" formatCode="#,##0.0\ [$kWh/d-40B];[RED]\-#,##0.0\ [$kWh/d-40B]"/>
    <numFmt numFmtId="240" formatCode="0\ [$AP-40B];\-0\ [$AP-40B]"/>
    <numFmt numFmtId="241" formatCode="#,##0.0\ [$kW-40B];[RED]\-#,##0.0\ [$kW-40B]"/>
    <numFmt numFmtId="242" formatCode="0.0000"/>
    <numFmt numFmtId="243" formatCode="#,##0.00;[RED]\-#,##0.00"/>
    <numFmt numFmtId="244" formatCode="0.00\ [$x-40B];\-0.00\ [$x-40B]"/>
    <numFmt numFmtId="245" formatCode="#,##0.00;\-#,##0.00"/>
    <numFmt numFmtId="246" formatCode="#,##0.00&quot; kW&quot;;\-#,##0.00&quot; kW&quot;"/>
    <numFmt numFmtId="247" formatCode="#,##0.000"/>
    <numFmt numFmtId="248" formatCode="#,##0.0;[RED]\-#,##0.0"/>
    <numFmt numFmtId="249" formatCode="#,##0.0000&quot; Ap&quot;"/>
    <numFmt numFmtId="250" formatCode="#,##0.00000\ [$kW-40B];[RED]\-#,##0.00000\ [$kW-40B]"/>
    <numFmt numFmtId="251" formatCode="0&quot; max&quot;"/>
    <numFmt numFmtId="252" formatCode="0.0\ [$C-40B];\-0.0\ [$C-40B]"/>
    <numFmt numFmtId="253" formatCode="#,##0&quot; m&quot;;[RED]\-#,##0&quot; m&quot;"/>
    <numFmt numFmtId="254" formatCode="#,##0.000&quot; C&quot;;[RED]\-#,##0.000&quot; C&quot;"/>
    <numFmt numFmtId="255" formatCode="0.000000000"/>
    <numFmt numFmtId="256" formatCode="#.00&quot; KerroinP&quot;"/>
    <numFmt numFmtId="257" formatCode="#,##0&quot; C&quot;;\-#,##0&quot; C&quot;"/>
    <numFmt numFmtId="258" formatCode="#,##0.00"/>
    <numFmt numFmtId="259" formatCode="0&quot; m&quot;"/>
    <numFmt numFmtId="260" formatCode="0&quot; metriä&quot;"/>
    <numFmt numFmtId="261" formatCode="0.0&quot; mK/m&quot;"/>
    <numFmt numFmtId="262" formatCode="#,##0.0\ [$mK/m-40B];[RED]\-#,##0.0\ [$mK/m-40B]"/>
    <numFmt numFmtId="263" formatCode="#,##0.000&quot; K/m&quot;;[RED]\-#,##0.000&quot; K/m&quot;"/>
    <numFmt numFmtId="264" formatCode="0.00&quot; W/m/K&quot;"/>
    <numFmt numFmtId="265" formatCode="#,##0&quot; kWh&quot;;[RED]\-#,##0&quot; kWh&quot;"/>
    <numFmt numFmtId="266" formatCode="0.0&quot; kWh/m&quot;"/>
    <numFmt numFmtId="267" formatCode="#,##0.000\ [$C-40B];[RED]\-#,##0.000\ [$C-40B]"/>
    <numFmt numFmtId="268" formatCode="#,##0&quot; kWh&quot;;[RED]\-#,##0&quot; kwh&quot;"/>
    <numFmt numFmtId="269" formatCode="#,##0.0&quot; kWh/m/K&quot;;[RED]\-#,##0.0&quot; kWh/m/K&quot;"/>
    <numFmt numFmtId="270" formatCode="#,##0.0&quot; COP&quot;;[RED]\-0.0&quot; COP&quot;"/>
    <numFmt numFmtId="271" formatCode="#,##0.00&quot; W/m&quot;;[RED]\-#,##0.00&quot; W/m&quot;"/>
    <numFmt numFmtId="272" formatCode="0.00&quot; W / (mK)&quot;"/>
    <numFmt numFmtId="273" formatCode="0.00&quot; W/m&quot;"/>
    <numFmt numFmtId="274" formatCode="0.00000"/>
    <numFmt numFmtId="275" formatCode="0.000\ [$COP-40B];\-0.000\ [$COP-40B]"/>
    <numFmt numFmtId="276" formatCode="0.0&quot; kWh/m/v&quot;"/>
    <numFmt numFmtId="277" formatCode="#,##0&quot; kWh/vuosi&quot;"/>
    <numFmt numFmtId="278" formatCode="#,##0.00&quot; mK/m&quot;;[RED]\-#,##0.00&quot; mK/m&quot;"/>
    <numFmt numFmtId="279" formatCode="&quot;TOSI&quot;;&quot;TOSI&quot;;&quot;EPÄTOSI&quot;"/>
    <numFmt numFmtId="280" formatCode="#,##0.0000\ [$x-40B]"/>
    <numFmt numFmtId="281" formatCode="0.0000&quot; x&quot;"/>
    <numFmt numFmtId="282" formatCode="0\ [$metriä-40B];\-0\ [$metriä-40B]"/>
    <numFmt numFmtId="283" formatCode="0.0000&quot; W / (mK)&quot;"/>
    <numFmt numFmtId="284" formatCode="#.0&quot; W/mK&quot;"/>
    <numFmt numFmtId="285" formatCode="#,##0.00000&quot; K/m&quot;"/>
    <numFmt numFmtId="286" formatCode="#,##0.00\ [$W-40B];[RED]\-#,##0.00\ [$W-40B]"/>
    <numFmt numFmtId="287" formatCode="#&quot; max syvyys&quot;"/>
    <numFmt numFmtId="288" formatCode="#,##0.0\ [$kWh-40B];[RED]\-#,##0.0\ [$kWh-40B]"/>
    <numFmt numFmtId="289" formatCode="#,##0.0000;[RED]\-#,##0.0000"/>
    <numFmt numFmtId="290" formatCode="#,##0.0&quot; kWh&quot;;[RED]\-#,##0.0&quot; kWh&quot;"/>
    <numFmt numFmtId="291" formatCode="#,##0.0&quot; C&quot;"/>
    <numFmt numFmtId="292" formatCode="#,##0.00\ [$U-40B]"/>
    <numFmt numFmtId="293" formatCode="#,##0.00\ [$m-40B];[RED]\-#,##0.00\ [$m-40B]"/>
    <numFmt numFmtId="294" formatCode="#,##0.00&quot; kertaa/h&quot;"/>
    <numFmt numFmtId="295" formatCode="#&quot; l/sek&quot;"/>
    <numFmt numFmtId="296" formatCode="0.0&quot; l/sek&quot;"/>
    <numFmt numFmtId="297" formatCode="#,##0.0&quot; Pa&quot;"/>
    <numFmt numFmtId="298" formatCode="0.0&quot; 1/h&quot;"/>
    <numFmt numFmtId="299" formatCode="0.0&quot; m3/h&quot;"/>
    <numFmt numFmtId="300" formatCode="#,##0.00&quot; x / h&quot;"/>
    <numFmt numFmtId="301" formatCode="0.00&quot; 1/h&quot;"/>
    <numFmt numFmtId="302" formatCode="#,##0.00\ [$m2-40B]"/>
    <numFmt numFmtId="303" formatCode="0.0\ [$Wh/m-40B];\-0.0\ [$Wh/m-40B]"/>
    <numFmt numFmtId="304" formatCode="#,##0.000\ [$U-40B]"/>
    <numFmt numFmtId="305" formatCode="#,##0.0\ [$C-40B];\-#,##0.0\ [$C-40B]"/>
    <numFmt numFmtId="306" formatCode="#,##0.000\ [$W/mK-40B];[RED]\-#,##0.000\ [$W/mK-40B]"/>
    <numFmt numFmtId="307" formatCode="#,##0.0\ [$W/Ap/m3-40B]"/>
    <numFmt numFmtId="308" formatCode="#,##0.0\ [$W/Ap/m3/v-40B]"/>
    <numFmt numFmtId="309" formatCode="#,##0.0\ [$W/K-40B]"/>
    <numFmt numFmtId="310" formatCode="#,##0\ [$kWh/m3-40B]"/>
    <numFmt numFmtId="311" formatCode="0.0\ [$m2-40B];\-0.0\ [$m2-40B]"/>
    <numFmt numFmtId="312" formatCode="#,##0.00\ [$U-40B];[RED]\-#,##0.00\ [$U-40B]"/>
    <numFmt numFmtId="313" formatCode="#,##0.000\ [$U-40B];[RED]\-#,##0.000\ [$U-40B]"/>
    <numFmt numFmtId="314" formatCode="#,##0\ [$RAK v-40B]"/>
    <numFmt numFmtId="315" formatCode="#,##0.00\ [$m-40B]"/>
    <numFmt numFmtId="316" formatCode="#,##0\ [$kWh/m3/v-40B]"/>
    <numFmt numFmtId="317" formatCode="#,##0\ [$kWh/m2/v-40B]"/>
    <numFmt numFmtId="318" formatCode="#,##0.00\ [$kWmax-40B];[RED]\-#,##0.00\ [$kWmax-40B]"/>
    <numFmt numFmtId="319" formatCode="#,##0.0\ [$W/m3-40B]"/>
    <numFmt numFmtId="320" formatCode="#,##0.0\ [$W/m2-40B]"/>
    <numFmt numFmtId="321" formatCode="#,##0.000&quot; Celsius/m&quot;;[RED]\-#,##0.000&quot; Celsius/m&quot;"/>
    <numFmt numFmtId="322" formatCode="#,##0.0&quot; W/m&quot;;[RED]\-#,##0.0&quot; W/m&quot;"/>
    <numFmt numFmtId="323" formatCode="0.00&quot; W/m /K&quot;"/>
  </numFmts>
  <fonts count="55">
    <font>
      <sz val="10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3"/>
      <name val="Arial"/>
      <family val="2"/>
    </font>
    <font>
      <b val="true"/>
      <sz val="10"/>
      <name val="Arial"/>
      <family val="2"/>
    </font>
    <font>
      <b val="true"/>
      <sz val="10"/>
      <color rgb="FF0000FF"/>
      <name val="Arial"/>
      <family val="2"/>
    </font>
    <font>
      <b val="true"/>
      <sz val="16"/>
      <name val="Arial"/>
      <family val="2"/>
    </font>
    <font>
      <vertAlign val="superscript"/>
      <sz val="10"/>
      <name val="Arial"/>
      <family val="2"/>
    </font>
    <font>
      <sz val="10"/>
      <color rgb="FF808080"/>
      <name val="Arial"/>
      <family val="2"/>
    </font>
    <font>
      <sz val="10"/>
      <color rgb="FF0000FF"/>
      <name val="Arial"/>
      <family val="2"/>
    </font>
    <font>
      <vertAlign val="superscript"/>
      <sz val="12"/>
      <name val="Arial"/>
      <family val="2"/>
    </font>
    <font>
      <sz val="12"/>
      <name val="Arial"/>
      <family val="2"/>
    </font>
    <font>
      <b val="true"/>
      <vertAlign val="superscript"/>
      <sz val="10"/>
      <name val="Arial"/>
      <family val="2"/>
    </font>
    <font>
      <sz val="10"/>
      <color rgb="FFCFE7F5"/>
      <name val="Arial"/>
      <family val="2"/>
    </font>
    <font>
      <b val="true"/>
      <sz val="12"/>
      <name val="Arial"/>
      <family val="2"/>
    </font>
    <font>
      <sz val="10"/>
      <color rgb="FFC0C0C0"/>
      <name val="Arial"/>
      <family val="2"/>
    </font>
    <font>
      <sz val="10"/>
      <color rgb="FF000000"/>
      <name val="Arial"/>
      <family val="2"/>
    </font>
    <font>
      <sz val="10"/>
      <color rgb="FFDD4814"/>
      <name val="Arial"/>
      <family val="2"/>
    </font>
    <font>
      <b val="true"/>
      <sz val="10"/>
      <color rgb="FFB3B3B3"/>
      <name val="Arial"/>
      <family val="2"/>
    </font>
    <font>
      <b val="true"/>
      <sz val="10"/>
      <color rgb="FFDD4814"/>
      <name val="Arial"/>
      <family val="2"/>
    </font>
    <font>
      <sz val="10"/>
      <color rgb="FF23B8DC"/>
      <name val="Arial"/>
      <family val="2"/>
    </font>
    <font>
      <sz val="10"/>
      <color rgb="FFCCCCCC"/>
      <name val="Arial"/>
      <family val="2"/>
    </font>
    <font>
      <sz val="10"/>
      <color rgb="FF99CCFF"/>
      <name val="Arial"/>
      <family val="2"/>
    </font>
    <font>
      <b val="true"/>
      <sz val="10"/>
      <color rgb="FF000000"/>
      <name val="Arial"/>
      <family val="2"/>
    </font>
    <font>
      <sz val="10"/>
      <color rgb="FF00B8FF"/>
      <name val="Arial"/>
      <family val="2"/>
    </font>
    <font>
      <b val="true"/>
      <sz val="10"/>
      <color rgb="FFFF0000"/>
      <name val="Arial"/>
      <family val="2"/>
    </font>
    <font>
      <b val="true"/>
      <sz val="10"/>
      <color rgb="FFC0C0C0"/>
      <name val="Arial"/>
      <family val="2"/>
    </font>
    <font>
      <b val="true"/>
      <sz val="10"/>
      <name val="Times New Roman"/>
      <family val="1"/>
    </font>
    <font>
      <sz val="10"/>
      <name val="Times New Roman"/>
      <family val="1"/>
    </font>
    <font>
      <sz val="10"/>
      <color rgb="FF00FFFF"/>
      <name val="Arial"/>
      <family val="2"/>
    </font>
    <font>
      <sz val="12"/>
      <color rgb="FF0000FF"/>
      <name val="Arial"/>
      <family val="2"/>
    </font>
    <font>
      <sz val="10"/>
      <color rgb="FFE6FF00"/>
      <name val="Arial"/>
      <family val="2"/>
    </font>
    <font>
      <b val="true"/>
      <sz val="14"/>
      <color rgb="FF000000"/>
      <name val="Arial"/>
      <family val="2"/>
    </font>
    <font>
      <sz val="8"/>
      <name val="Arial"/>
      <family val="2"/>
    </font>
    <font>
      <sz val="10"/>
      <color rgb="FF00DCFF"/>
      <name val="Arial"/>
      <family val="2"/>
    </font>
    <font>
      <sz val="10"/>
      <color rgb="FFFF0000"/>
      <name val="Arial"/>
      <family val="2"/>
    </font>
    <font>
      <sz val="10"/>
      <color rgb="FFFF420E"/>
      <name val="Arial"/>
      <family val="2"/>
    </font>
    <font>
      <sz val="9"/>
      <name val="Arial"/>
      <family val="2"/>
    </font>
    <font>
      <b val="true"/>
      <sz val="18"/>
      <name val="Arial"/>
      <family val="2"/>
    </font>
    <font>
      <sz val="18"/>
      <name val="Arial"/>
      <family val="2"/>
    </font>
    <font>
      <b val="true"/>
      <sz val="18"/>
      <color rgb="FF000000"/>
      <name val="Arial"/>
      <family val="2"/>
    </font>
    <font>
      <b val="true"/>
      <sz val="14"/>
      <name val="Arial"/>
      <family val="2"/>
    </font>
    <font>
      <sz val="8"/>
      <color rgb="FF000000"/>
      <name val="Arial"/>
      <family val="2"/>
    </font>
    <font>
      <sz val="8"/>
      <color rgb="FFFFFFFF"/>
      <name val="Arial"/>
      <family val="2"/>
    </font>
    <font>
      <sz val="10"/>
      <color rgb="FFFFFFFF"/>
      <name val="Arial"/>
      <family val="2"/>
    </font>
    <font>
      <sz val="10"/>
      <color rgb="FFFFFFFF"/>
      <name val="Verdana"/>
      <family val="2"/>
    </font>
    <font>
      <b val="true"/>
      <sz val="10"/>
      <color rgb="FFFFFFFF"/>
      <name val="Verdana"/>
      <family val="2"/>
    </font>
    <font>
      <b val="true"/>
      <sz val="12"/>
      <name val="Comic Sans MS"/>
      <family val="4"/>
    </font>
    <font>
      <sz val="10"/>
      <name val="Comic Sans MS"/>
      <family val="4"/>
    </font>
    <font>
      <sz val="12"/>
      <name val="Comic Sans MS"/>
      <family val="4"/>
    </font>
    <font>
      <b val="true"/>
      <sz val="12"/>
      <color rgb="FF000000"/>
      <name val="Comic Sans MS"/>
      <family val="4"/>
    </font>
    <font>
      <b val="true"/>
      <sz val="10"/>
      <color rgb="FF000000"/>
      <name val="Comic Sans MS"/>
      <family val="4"/>
    </font>
    <font>
      <sz val="10"/>
      <color rgb="FF000000"/>
      <name val="Comic Sans MS"/>
      <family val="4"/>
    </font>
    <font>
      <sz val="12"/>
      <color rgb="FF000000"/>
      <name val="Comic Sans MS"/>
      <family val="4"/>
    </font>
  </fonts>
  <fills count="34">
    <fill>
      <patternFill patternType="none"/>
    </fill>
    <fill>
      <patternFill patternType="gray125"/>
    </fill>
    <fill>
      <patternFill patternType="solid">
        <fgColor rgb="FF00FFFF"/>
        <bgColor rgb="FF00DCFF"/>
      </patternFill>
    </fill>
    <fill>
      <patternFill patternType="solid">
        <fgColor rgb="FFFFCC99"/>
        <bgColor rgb="FFCCCCCC"/>
      </patternFill>
    </fill>
    <fill>
      <patternFill patternType="solid">
        <fgColor rgb="FFFFFF00"/>
        <bgColor rgb="FFE6FF00"/>
      </patternFill>
    </fill>
    <fill>
      <patternFill patternType="solid">
        <fgColor rgb="FFFFFFCC"/>
        <bgColor rgb="FFFFFFFF"/>
      </patternFill>
    </fill>
    <fill>
      <patternFill patternType="solid">
        <fgColor rgb="FFFF9966"/>
        <bgColor rgb="FFFF950E"/>
      </patternFill>
    </fill>
    <fill>
      <patternFill patternType="solid">
        <fgColor rgb="FFFFFFFF"/>
        <bgColor rgb="FFFFFFCC"/>
      </patternFill>
    </fill>
    <fill>
      <patternFill patternType="solid">
        <fgColor rgb="FF00FF00"/>
        <bgColor rgb="FF23FF23"/>
      </patternFill>
    </fill>
    <fill>
      <patternFill patternType="solid">
        <fgColor rgb="FFFFFF66"/>
        <bgColor rgb="FFFFFF99"/>
      </patternFill>
    </fill>
    <fill>
      <patternFill patternType="solid">
        <fgColor rgb="FFAECF00"/>
        <bgColor rgb="FFCCCC00"/>
      </patternFill>
    </fill>
    <fill>
      <patternFill patternType="solid">
        <fgColor rgb="FFFFFF99"/>
        <bgColor rgb="FFFFFFCC"/>
      </patternFill>
    </fill>
    <fill>
      <patternFill patternType="solid">
        <fgColor rgb="FFE6E6FF"/>
        <bgColor rgb="FFE6E6E6"/>
      </patternFill>
    </fill>
    <fill>
      <patternFill patternType="solid">
        <fgColor rgb="FF23FF23"/>
        <bgColor rgb="FF00FF00"/>
      </patternFill>
    </fill>
    <fill>
      <patternFill patternType="solid">
        <fgColor rgb="FF3DEB3D"/>
        <bgColor rgb="FF23FF23"/>
      </patternFill>
    </fill>
    <fill>
      <patternFill patternType="solid">
        <fgColor rgb="FFCCCC00"/>
        <bgColor rgb="FFAECF00"/>
      </patternFill>
    </fill>
    <fill>
      <patternFill patternType="solid">
        <fgColor rgb="FFCC6633"/>
        <bgColor rgb="FFDD4814"/>
      </patternFill>
    </fill>
    <fill>
      <patternFill patternType="solid">
        <fgColor rgb="FFE6E6E6"/>
        <bgColor rgb="FFE6E6FF"/>
      </patternFill>
    </fill>
    <fill>
      <patternFill patternType="solid">
        <fgColor rgb="FFFF0000"/>
        <bgColor rgb="FFFF420E"/>
      </patternFill>
    </fill>
    <fill>
      <patternFill patternType="solid">
        <fgColor rgb="FFFFD320"/>
        <bgColor rgb="FFE6E64C"/>
      </patternFill>
    </fill>
    <fill>
      <patternFill patternType="solid">
        <fgColor rgb="FFCCFFFF"/>
        <bgColor rgb="FFCFE7F5"/>
      </patternFill>
    </fill>
    <fill>
      <patternFill patternType="solid">
        <fgColor rgb="FF00DCFF"/>
        <bgColor rgb="FF00FFFF"/>
      </patternFill>
    </fill>
    <fill>
      <patternFill patternType="solid">
        <fgColor rgb="FFFF00FF"/>
        <bgColor rgb="FFFF00FF"/>
      </patternFill>
    </fill>
    <fill>
      <patternFill patternType="solid">
        <fgColor rgb="FF7DA647"/>
        <bgColor rgb="FF94BD5E"/>
      </patternFill>
    </fill>
    <fill>
      <patternFill patternType="solid">
        <fgColor rgb="FF33CC66"/>
        <bgColor rgb="FF3DEB3D"/>
      </patternFill>
    </fill>
    <fill>
      <patternFill patternType="solid">
        <fgColor rgb="FF94BD5E"/>
        <bgColor rgb="FF7DA647"/>
      </patternFill>
    </fill>
    <fill>
      <patternFill patternType="solid">
        <fgColor rgb="FFB3B300"/>
        <bgColor rgb="FFAECF00"/>
      </patternFill>
    </fill>
    <fill>
      <patternFill patternType="solid">
        <fgColor rgb="FFCCCCCC"/>
        <bgColor rgb="FFC0C0C0"/>
      </patternFill>
    </fill>
    <fill>
      <patternFill patternType="solid">
        <fgColor rgb="FF579D1C"/>
        <bgColor rgb="FF7DA647"/>
      </patternFill>
    </fill>
    <fill>
      <patternFill patternType="solid">
        <fgColor rgb="FFCFE7F5"/>
        <bgColor rgb="FFE6E6FF"/>
      </patternFill>
    </fill>
    <fill>
      <patternFill patternType="solid">
        <fgColor rgb="FFE6E64C"/>
        <bgColor rgb="FFFFD320"/>
      </patternFill>
    </fill>
    <fill>
      <patternFill patternType="solid">
        <fgColor rgb="FF0099FF"/>
        <bgColor rgb="FF00B8FF"/>
      </patternFill>
    </fill>
    <fill>
      <patternFill patternType="solid">
        <fgColor rgb="FF99CCFF"/>
        <bgColor rgb="FFC0C0C0"/>
      </patternFill>
    </fill>
    <fill>
      <patternFill patternType="solid">
        <fgColor rgb="FFFF950E"/>
        <bgColor rgb="FFFF9966"/>
      </patternFill>
    </fill>
  </fills>
  <borders count="32">
    <border diagonalUp="false" diagonalDown="false">
      <left/>
      <right/>
      <top/>
      <bottom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 style="hair"/>
      <right/>
      <top style="hair"/>
      <bottom style="hair"/>
      <diagonal/>
    </border>
    <border diagonalUp="false" diagonalDown="false">
      <left/>
      <right/>
      <top style="hair"/>
      <bottom style="hair"/>
      <diagonal/>
    </border>
    <border diagonalUp="false" diagonalDown="false">
      <left/>
      <right style="hair"/>
      <top style="hair"/>
      <bottom style="hair"/>
      <diagonal/>
    </border>
    <border diagonalUp="false" diagonalDown="false">
      <left/>
      <right style="hair"/>
      <top/>
      <bottom/>
      <diagonal/>
    </border>
    <border diagonalUp="false" diagonalDown="false">
      <left style="hair"/>
      <right/>
      <top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hair"/>
      <right style="hair"/>
      <top style="thin"/>
      <bottom style="hair"/>
      <diagonal/>
    </border>
    <border diagonalUp="false" diagonalDown="false">
      <left style="thin"/>
      <right style="thin"/>
      <top style="thin"/>
      <bottom style="hair"/>
      <diagonal/>
    </border>
    <border diagonalUp="false" diagonalDown="false">
      <left style="hair"/>
      <right style="hair"/>
      <top/>
      <bottom style="hair"/>
      <diagonal/>
    </border>
    <border diagonalUp="false" diagonalDown="false">
      <left style="thin"/>
      <right style="hair"/>
      <top style="hair"/>
      <bottom style="hair"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hair"/>
      <right style="thin"/>
      <top style="hair"/>
      <bottom style="hair"/>
      <diagonal/>
    </border>
    <border diagonalUp="false" diagonalDown="false">
      <left style="thin"/>
      <right style="thin"/>
      <top style="hair"/>
      <bottom style="hair"/>
      <diagonal/>
    </border>
    <border diagonalUp="false" diagonalDown="false">
      <left style="thin"/>
      <right style="thin"/>
      <top/>
      <bottom/>
      <diagonal/>
    </border>
    <border diagonalUp="false" diagonalDown="false">
      <left style="hair"/>
      <right style="hair"/>
      <top style="hair"/>
      <bottom/>
      <diagonal/>
    </border>
    <border diagonalUp="false" diagonalDown="false">
      <left style="hair"/>
      <right style="hair"/>
      <top/>
      <bottom/>
      <diagonal/>
    </border>
    <border diagonalUp="false" diagonalDown="false">
      <left style="hair"/>
      <right style="hair"/>
      <top style="hair"/>
      <bottom style="thin"/>
      <diagonal/>
    </border>
    <border diagonalUp="false" diagonalDown="false">
      <left style="thin"/>
      <right style="hair"/>
      <top style="hair"/>
      <bottom style="thin"/>
      <diagonal/>
    </border>
    <border diagonalUp="false" diagonalDown="false">
      <left style="thin"/>
      <right style="thin"/>
      <top style="hair"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 style="hair"/>
      <bottom style="hair"/>
      <diagonal/>
    </border>
    <border diagonalUp="false" diagonalDown="false">
      <left/>
      <right style="hair"/>
      <top style="hair"/>
      <bottom/>
      <diagonal/>
    </border>
    <border diagonalUp="false" diagonalDown="false">
      <left style="hair"/>
      <right/>
      <top style="hair"/>
      <bottom/>
      <diagonal/>
    </border>
    <border diagonalUp="false" diagonalDown="false">
      <left/>
      <right/>
      <top style="hair"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21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0" fillId="0" borderId="0" xfId="0" applyFont="true" applyBorder="false" applyAlignment="true" applyProtection="true">
      <alignment horizontal="left" vertical="bottom" textRotation="0" wrapText="false" indent="0" shrinkToFit="false"/>
      <protection locked="true" hidden="tru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5" fontId="0" fillId="3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3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0" fillId="2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0" xfId="0" applyFont="true" applyBorder="false" applyAlignment="true" applyProtection="true">
      <alignment horizontal="left" vertical="bottom" textRotation="0" wrapText="false" indent="0" shrinkToFit="false"/>
      <protection locked="true" hidden="true"/>
    </xf>
    <xf numFmtId="164" fontId="0" fillId="4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4" fillId="4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0" fillId="5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6" fontId="0" fillId="5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7" fontId="0" fillId="5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5" fontId="0" fillId="5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8" fontId="0" fillId="5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9" fontId="0" fillId="5" borderId="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5" fillId="4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5" fillId="6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" fillId="6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0" fillId="7" borderId="2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0" fillId="7" borderId="3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0" fillId="7" borderId="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0" fillId="5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5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7" borderId="2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70" fontId="0" fillId="0" borderId="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7" borderId="3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71" fontId="0" fillId="7" borderId="4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0" fillId="2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66" fontId="0" fillId="5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7" borderId="1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0" fillId="7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5" fillId="4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4" fontId="5" fillId="5" borderId="1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4" fillId="5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0" fillId="8" borderId="1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0" fillId="8" borderId="1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7" fontId="0" fillId="8" borderId="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5" fontId="0" fillId="8" borderId="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8" fontId="0" fillId="8" borderId="1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0" fillId="8" borderId="1" xfId="0" applyFont="true" applyBorder="true" applyAlignment="false" applyProtection="true">
      <alignment horizontal="general" vertical="bottom" textRotation="0" wrapText="false" indent="0" shrinkToFit="false"/>
      <protection locked="false" hidden="true"/>
    </xf>
    <xf numFmtId="164" fontId="5" fillId="7" borderId="1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9" fontId="5" fillId="7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5" fillId="7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4" fontId="0" fillId="5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0" fillId="4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4" fontId="4" fillId="3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6" fontId="0" fillId="3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7" fontId="0" fillId="3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8" fontId="0" fillId="3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9" fontId="0" fillId="3" borderId="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77" fontId="0" fillId="7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4" fontId="0" fillId="7" borderId="1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7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1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0" fillId="3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9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10" borderId="1" xfId="0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79" fontId="5" fillId="7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80" fontId="0" fillId="7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9" fontId="5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81" fontId="5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82" fontId="5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0" fillId="7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84" fontId="5" fillId="7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1" fontId="0" fillId="7" borderId="1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84" fontId="5" fillId="4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9" fillId="11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0" fillId="11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0" fillId="12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2" borderId="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85" fontId="0" fillId="12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84" fontId="5" fillId="12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1" fontId="0" fillId="12" borderId="1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5" fillId="13" borderId="1" xfId="0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64" fontId="5" fillId="5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5" fillId="1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86" fontId="5" fillId="7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85" fontId="0" fillId="12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84" fontId="5" fillId="12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12" borderId="1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0" fillId="8" borderId="1" xfId="0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64" fontId="0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5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83" fontId="0" fillId="0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87" fontId="5" fillId="0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88" fontId="5" fillId="0" borderId="1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89" fontId="0" fillId="4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5" borderId="1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90" fontId="0" fillId="8" borderId="1" xfId="0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65" fontId="0" fillId="0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74" fontId="0" fillId="0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74" fontId="0" fillId="0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91" fontId="0" fillId="4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5" borderId="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70" fontId="0" fillId="8" borderId="1" xfId="0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87" fontId="0" fillId="4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92" fontId="5" fillId="7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5" fillId="14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90" fontId="0" fillId="8" borderId="1" xfId="0" applyFont="true" applyBorder="true" applyAlignment="true" applyProtection="true">
      <alignment horizontal="center" vertical="center" textRotation="0" wrapText="true" indent="0" shrinkToFit="false"/>
      <protection locked="false" hidden="true"/>
    </xf>
    <xf numFmtId="164" fontId="0" fillId="7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93" fontId="0" fillId="7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7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0" fillId="7" borderId="5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5" fillId="15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81" fontId="14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5" fillId="6" borderId="2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94" fontId="5" fillId="6" borderId="3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0" fillId="6" borderId="3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6" borderId="4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5" fillId="11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2" borderId="0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5" fillId="7" borderId="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5" fillId="7" borderId="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95" fontId="5" fillId="7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96" fontId="5" fillId="7" borderId="1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75" fontId="5" fillId="7" borderId="1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97" fontId="5" fillId="7" borderId="1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4" fontId="5" fillId="4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9" fontId="0" fillId="2" borderId="0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98" fontId="0" fillId="2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9" fontId="0" fillId="2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0" fillId="0" borderId="1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87" fontId="0" fillId="15" borderId="1" xfId="0" applyFont="true" applyBorder="true" applyAlignment="true" applyProtection="true">
      <alignment horizontal="center" vertical="bottom" textRotation="0" wrapText="false" indent="0" shrinkToFit="false"/>
      <protection locked="false" hidden="true"/>
    </xf>
    <xf numFmtId="199" fontId="5" fillId="0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85" fontId="5" fillId="7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00" fontId="5" fillId="7" borderId="1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4" fontId="5" fillId="6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84" fontId="16" fillId="7" borderId="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83" fontId="0" fillId="13" borderId="1" xfId="0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74" fontId="5" fillId="0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01" fontId="5" fillId="7" borderId="1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82" fontId="5" fillId="7" borderId="1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4" fontId="5" fillId="16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84" fontId="16" fillId="7" borderId="4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02" fontId="0" fillId="13" borderId="1" xfId="0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65" fontId="0" fillId="7" borderId="5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5" fillId="17" borderId="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5" fillId="17" borderId="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4" fontId="5" fillId="17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01" fontId="5" fillId="17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75" fontId="5" fillId="17" borderId="1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82" fontId="5" fillId="17" borderId="1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4" fontId="5" fillId="18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03" fontId="0" fillId="8" borderId="1" xfId="0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85" fontId="0" fillId="13" borderId="1" xfId="0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85" fontId="0" fillId="7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4" fontId="5" fillId="17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03" fontId="16" fillId="7" borderId="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04" fontId="0" fillId="13" borderId="1" xfId="0" applyFont="true" applyBorder="true" applyAlignment="true" applyProtection="true">
      <alignment horizontal="center" vertical="bottom" textRotation="0" wrapText="false" indent="0" shrinkToFit="false"/>
      <protection locked="false" hidden="true"/>
    </xf>
    <xf numFmtId="204" fontId="5" fillId="7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76" fontId="5" fillId="0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74" fontId="5" fillId="0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205" fontId="5" fillId="0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74" fontId="5" fillId="7" borderId="1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206" fontId="0" fillId="13" borderId="1" xfId="0" applyFont="true" applyBorder="true" applyAlignment="true" applyProtection="true">
      <alignment horizontal="center" vertical="bottom" textRotation="0" wrapText="false" indent="0" shrinkToFit="false"/>
      <protection locked="false" hidden="true"/>
    </xf>
    <xf numFmtId="206" fontId="5" fillId="7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05" fontId="5" fillId="0" borderId="1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74" fontId="5" fillId="0" borderId="1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75" fontId="5" fillId="0" borderId="1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4" fontId="5" fillId="19" borderId="1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207" fontId="0" fillId="8" borderId="1" xfId="0" applyFont="true" applyBorder="true" applyAlignment="true" applyProtection="true">
      <alignment horizontal="center" vertical="bottom" textRotation="0" wrapText="false" indent="0" shrinkToFit="false"/>
      <protection locked="false" hidden="true"/>
    </xf>
    <xf numFmtId="174" fontId="0" fillId="19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4" fontId="5" fillId="12" borderId="1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205" fontId="5" fillId="12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74" fontId="5" fillId="12" borderId="1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75" fontId="5" fillId="12" borderId="1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208" fontId="0" fillId="8" borderId="1" xfId="0" applyFont="true" applyBorder="true" applyAlignment="true" applyProtection="true">
      <alignment horizontal="center" vertical="bottom" textRotation="0" wrapText="false" indent="0" shrinkToFit="false"/>
      <protection locked="false" hidden="true"/>
    </xf>
    <xf numFmtId="174" fontId="0" fillId="19" borderId="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209" fontId="0" fillId="8" borderId="1" xfId="0" applyFont="true" applyBorder="true" applyAlignment="true" applyProtection="true">
      <alignment horizontal="center" vertical="bottom" textRotation="0" wrapText="false" indent="0" shrinkToFit="false"/>
      <protection locked="false" hidden="true"/>
    </xf>
    <xf numFmtId="174" fontId="0" fillId="8" borderId="1" xfId="0" applyFont="true" applyBorder="true" applyAlignment="true" applyProtection="true">
      <alignment horizontal="center" vertical="bottom" textRotation="0" wrapText="false" indent="0" shrinkToFit="false"/>
      <protection locked="false" hidden="true"/>
    </xf>
    <xf numFmtId="164" fontId="5" fillId="3" borderId="1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210" fontId="5" fillId="3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82" fontId="0" fillId="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4" fontId="17" fillId="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0" fontId="5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5" fontId="5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4" fontId="5" fillId="3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210" fontId="5" fillId="0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82" fontId="0" fillId="0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4" fontId="17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0" fontId="18" fillId="2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10" fontId="5" fillId="7" borderId="1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4" fontId="5" fillId="20" borderId="1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74" fontId="0" fillId="13" borderId="1" xfId="0" applyFont="true" applyBorder="true" applyAlignment="true" applyProtection="true">
      <alignment horizontal="center" vertical="bottom" textRotation="0" wrapText="false" indent="0" shrinkToFit="false"/>
      <protection locked="false" hidden="true"/>
    </xf>
    <xf numFmtId="174" fontId="5" fillId="20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74" fontId="19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0" fillId="20" borderId="1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210" fontId="20" fillId="20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82" fontId="18" fillId="2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4" fontId="18" fillId="2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0" fontId="20" fillId="20" borderId="1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87" fontId="20" fillId="2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10" fontId="5" fillId="7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10" fontId="18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5" fillId="5" borderId="1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206" fontId="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9" fontId="0" fillId="5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99" fontId="5" fillId="0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74" fontId="5" fillId="6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11" fontId="0" fillId="13" borderId="1" xfId="0" applyFont="true" applyBorder="true" applyAlignment="true" applyProtection="true">
      <alignment horizontal="center" vertical="bottom" textRotation="0" wrapText="false" indent="0" shrinkToFit="false"/>
      <protection locked="false" hidden="true"/>
    </xf>
    <xf numFmtId="211" fontId="0" fillId="7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4" fontId="5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0" fillId="5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74" fontId="5" fillId="7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212" fontId="0" fillId="5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13" fontId="5" fillId="5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14" fontId="5" fillId="5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74" fontId="5" fillId="5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5" fillId="3" borderId="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13" fontId="5" fillId="3" borderId="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5" fillId="3" borderId="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15" fontId="5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13" fontId="5" fillId="4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5" fillId="15" borderId="1" xfId="0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99" fontId="5" fillId="5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5" fillId="0" borderId="2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216" fontId="5" fillId="0" borderId="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17" fontId="5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94" fontId="5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18" fontId="5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1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7" borderId="1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93" fontId="5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19" fontId="5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12" fontId="0" fillId="0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220" fontId="0" fillId="9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77" fontId="5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21" fontId="5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22" fontId="5" fillId="5" borderId="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23" fontId="5" fillId="5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5" borderId="2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13" fontId="17" fillId="5" borderId="4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4" fontId="0" fillId="6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5" fillId="0" borderId="1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74" fontId="5" fillId="7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82" fontId="5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4" fontId="5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5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3" fontId="17" fillId="5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15" borderId="1" xfId="0" applyFont="true" applyBorder="true" applyAlignment="true" applyProtection="true">
      <alignment horizontal="center" vertical="bottom" textRotation="0" wrapText="false" indent="0" shrinkToFit="false"/>
      <protection locked="false" hidden="true"/>
    </xf>
    <xf numFmtId="224" fontId="22" fillId="0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225" fontId="22" fillId="0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4" fontId="5" fillId="6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5" fillId="6" borderId="6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4" fontId="5" fillId="6" borderId="0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4" fontId="5" fillId="6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26" fontId="5" fillId="6" borderId="5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0" fillId="0" borderId="2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86" fontId="22" fillId="0" borderId="3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27" fontId="22" fillId="0" borderId="4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28" fontId="0" fillId="7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12" fontId="0" fillId="0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229" fontId="5" fillId="0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30" fontId="5" fillId="7" borderId="1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94" fontId="5" fillId="7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6" fontId="0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0" fillId="3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0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31" fontId="5" fillId="3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14" fontId="5" fillId="3" borderId="5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24" fontId="23" fillId="2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9" fontId="0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232" fontId="0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0" fillId="21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33" fontId="5" fillId="15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6" fontId="5" fillId="3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224" fontId="23" fillId="2" borderId="0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234" fontId="5" fillId="7" borderId="1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235" fontId="0" fillId="2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21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76" fontId="0" fillId="7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82" fontId="0" fillId="7" borderId="4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23" fillId="2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236" fontId="0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237" fontId="0" fillId="2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94" fontId="0" fillId="7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4" fontId="0" fillId="7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87" fontId="0" fillId="2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234" fontId="0" fillId="7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2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216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0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5" fillId="0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34" fontId="5" fillId="4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38" fontId="0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17" fillId="2" borderId="0" xfId="0" applyFont="true" applyBorder="false" applyAlignment="true" applyProtection="true">
      <alignment horizontal="right" vertical="bottom" textRotation="0" wrapText="false" indent="0" shrinkToFit="false"/>
      <protection locked="true" hidden="true"/>
    </xf>
    <xf numFmtId="164" fontId="15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34" fontId="15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34" fontId="5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39" fontId="17" fillId="2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0" fillId="0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9" fontId="5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93" fontId="5" fillId="4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07" fontId="17" fillId="2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240" fontId="0" fillId="7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5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24" fontId="0" fillId="5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240" fontId="0" fillId="5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224" fontId="0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237" fontId="0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94" fontId="24" fillId="13" borderId="1" xfId="0" applyFont="true" applyBorder="true" applyAlignment="true" applyProtection="true">
      <alignment horizontal="center" vertical="bottom" textRotation="0" wrapText="false" indent="0" shrinkToFit="false"/>
      <protection locked="false" hidden="true"/>
    </xf>
    <xf numFmtId="241" fontId="5" fillId="3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9" fontId="0" fillId="22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9" fontId="0" fillId="4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93" fontId="24" fillId="4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41" fontId="5" fillId="4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31" fontId="22" fillId="2" borderId="0" xfId="0" applyFont="true" applyBorder="false" applyAlignment="true" applyProtection="true">
      <alignment horizontal="left" vertical="bottom" textRotation="0" wrapText="false" indent="0" shrinkToFit="false"/>
      <protection locked="true" hidden="true"/>
    </xf>
    <xf numFmtId="184" fontId="23" fillId="2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97" fontId="5" fillId="4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9" fontId="5" fillId="4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42" fontId="0" fillId="2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228" fontId="17" fillId="4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28" fontId="0" fillId="4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2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6" borderId="7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3" borderId="8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7" fillId="6" borderId="9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9" fontId="17" fillId="22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241" fontId="0" fillId="7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23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0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9" fontId="25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17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7" fillId="6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7" fillId="3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7" fillId="2" borderId="0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243" fontId="17" fillId="2" borderId="12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244" fontId="17" fillId="23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17" fillId="2" borderId="13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9" fontId="17" fillId="6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7" fillId="6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45" fontId="23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6" borderId="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17" fillId="2" borderId="0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9" fontId="17" fillId="6" borderId="11" xfId="0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9" fontId="0" fillId="6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4" fontId="17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0" fillId="2" borderId="1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3" fontId="17" fillId="6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9" fontId="17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21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17" fillId="21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0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29" fontId="0" fillId="3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9" fontId="17" fillId="3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7" fillId="6" borderId="7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9" fontId="17" fillId="3" borderId="1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4" fontId="17" fillId="3" borderId="1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4" fontId="0" fillId="6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43" fontId="17" fillId="24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6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37" fontId="17" fillId="6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7" fillId="6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21" borderId="0" xfId="0" applyFont="true" applyBorder="false" applyAlignment="true" applyProtection="true">
      <alignment horizontal="right" vertical="bottom" textRotation="0" wrapText="false" indent="0" shrinkToFit="false"/>
      <protection locked="true" hidden="true"/>
    </xf>
    <xf numFmtId="193" fontId="0" fillId="2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243" fontId="0" fillId="3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77" fontId="0" fillId="3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35" fontId="0" fillId="3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74" fontId="0" fillId="3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74" fontId="0" fillId="3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241" fontId="0" fillId="3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246" fontId="0" fillId="3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76" fontId="0" fillId="3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93" fontId="0" fillId="3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24" fontId="17" fillId="6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7" fillId="6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9" fontId="17" fillId="3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9" fontId="17" fillId="3" borderId="15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36" fontId="17" fillId="6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43" fontId="17" fillId="6" borderId="14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43" fontId="17" fillId="6" borderId="1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37" fontId="17" fillId="6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9" fontId="0" fillId="6" borderId="1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9" fontId="17" fillId="6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4" fontId="17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93" fontId="17" fillId="25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93" fontId="17" fillId="21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70" fontId="0" fillId="7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77" fontId="0" fillId="7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35" fontId="0" fillId="7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74" fontId="0" fillId="7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41" fontId="0" fillId="7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46" fontId="0" fillId="7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97" fontId="0" fillId="7" borderId="1" xfId="0" applyFont="true" applyBorder="true" applyAlignment="true" applyProtection="true">
      <alignment horizontal="center" vertical="bottom" textRotation="0" wrapText="true" indent="0" shrinkToFit="false"/>
      <protection locked="true" hidden="true"/>
    </xf>
    <xf numFmtId="176" fontId="0" fillId="7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87" fontId="0" fillId="7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0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46" fontId="17" fillId="5" borderId="0" xfId="0" applyFont="true" applyBorder="false" applyAlignment="true" applyProtection="true">
      <alignment horizontal="right" vertical="bottom" textRotation="0" wrapText="false" indent="0" shrinkToFit="false"/>
      <protection locked="true" hidden="true"/>
    </xf>
    <xf numFmtId="227" fontId="17" fillId="5" borderId="16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246" fontId="17" fillId="5" borderId="13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74" fontId="17" fillId="4" borderId="0" xfId="0" applyFont="true" applyBorder="false" applyAlignment="true" applyProtection="true">
      <alignment horizontal="right" vertical="bottom" textRotation="0" wrapText="false" indent="0" shrinkToFit="false"/>
      <protection locked="true" hidden="true"/>
    </xf>
    <xf numFmtId="246" fontId="17" fillId="5" borderId="0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221" fontId="17" fillId="13" borderId="12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221" fontId="17" fillId="2" borderId="0" xfId="0" applyFont="true" applyBorder="false" applyAlignment="true" applyProtection="true">
      <alignment horizontal="right" vertical="bottom" textRotation="0" wrapText="false" indent="0" shrinkToFit="false"/>
      <protection locked="true" hidden="true"/>
    </xf>
    <xf numFmtId="221" fontId="17" fillId="13" borderId="13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246" fontId="17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10" fontId="17" fillId="2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8" fontId="17" fillId="2" borderId="17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93" fontId="17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47" fontId="17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247" fontId="17" fillId="2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248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27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42" fontId="26" fillId="2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246" fontId="17" fillId="6" borderId="0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98" fontId="17" fillId="2" borderId="18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243" fontId="0" fillId="2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70" fontId="0" fillId="5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77" fontId="0" fillId="5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35" fontId="0" fillId="5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74" fontId="0" fillId="5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74" fontId="0" fillId="5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241" fontId="0" fillId="5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46" fontId="0" fillId="5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97" fontId="0" fillId="5" borderId="1" xfId="0" applyFont="true" applyBorder="true" applyAlignment="true" applyProtection="true">
      <alignment horizontal="center" vertical="bottom" textRotation="0" wrapText="true" indent="0" shrinkToFit="false"/>
      <protection locked="true" hidden="true"/>
    </xf>
    <xf numFmtId="176" fontId="0" fillId="5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93" fontId="0" fillId="5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87" fontId="0" fillId="5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7" fillId="7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93" fontId="0" fillId="0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9" fontId="27" fillId="7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5" fillId="6" borderId="1" xfId="0" applyFont="true" applyBorder="true" applyAlignment="true" applyProtection="true">
      <alignment horizontal="center" vertical="bottom" textRotation="0" wrapText="true" indent="0" shrinkToFit="false"/>
      <protection locked="true" hidden="true"/>
    </xf>
    <xf numFmtId="164" fontId="28" fillId="0" borderId="1" xfId="0" applyFont="true" applyBorder="true" applyAlignment="true" applyProtection="true">
      <alignment horizontal="center" vertical="bottom" textRotation="0" wrapText="true" indent="0" shrinkToFit="false"/>
      <protection locked="true" hidden="true"/>
    </xf>
    <xf numFmtId="240" fontId="29" fillId="0" borderId="1" xfId="0" applyFont="true" applyBorder="true" applyAlignment="true" applyProtection="true">
      <alignment horizontal="center" vertical="bottom" textRotation="0" wrapText="true" indent="0" shrinkToFit="false"/>
      <protection locked="true" hidden="true"/>
    </xf>
    <xf numFmtId="228" fontId="0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28" fillId="12" borderId="1" xfId="0" applyFont="true" applyBorder="true" applyAlignment="true" applyProtection="true">
      <alignment horizontal="center" vertical="bottom" textRotation="0" wrapText="true" indent="0" shrinkToFit="false"/>
      <protection locked="true" hidden="true"/>
    </xf>
    <xf numFmtId="240" fontId="29" fillId="12" borderId="1" xfId="0" applyFont="true" applyBorder="true" applyAlignment="true" applyProtection="true">
      <alignment horizontal="center" vertical="bottom" textRotation="0" wrapText="true" indent="0" shrinkToFit="false"/>
      <protection locked="true" hidden="true"/>
    </xf>
    <xf numFmtId="193" fontId="0" fillId="12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28" fontId="0" fillId="12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98" fontId="17" fillId="2" borderId="10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4" fontId="30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7" fontId="0" fillId="3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27" fontId="17" fillId="3" borderId="15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227" fontId="17" fillId="3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4" fontId="17" fillId="3" borderId="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221" fontId="17" fillId="3" borderId="14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221" fontId="17" fillId="3" borderId="19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221" fontId="17" fillId="3" borderId="20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79" fontId="17" fillId="3" borderId="19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98" fontId="17" fillId="3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4" fontId="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3" fontId="17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46" fontId="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27" fontId="0" fillId="3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49" fontId="0" fillId="3" borderId="15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250" fontId="0" fillId="3" borderId="1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243" fontId="0" fillId="2" borderId="12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250" fontId="0" fillId="3" borderId="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98" fontId="0" fillId="3" borderId="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227" fontId="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81" fontId="17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2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251" fontId="0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9" fontId="0" fillId="3" borderId="1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93" fontId="17" fillId="2" borderId="0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50" fontId="17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37" fontId="0" fillId="8" borderId="2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2" borderId="22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2" borderId="23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243" fontId="0" fillId="2" borderId="24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28" fillId="4" borderId="1" xfId="0" applyFont="true" applyBorder="true" applyAlignment="true" applyProtection="true">
      <alignment horizontal="center" vertical="bottom" textRotation="0" wrapText="true" indent="0" shrinkToFit="false"/>
      <protection locked="true" hidden="true"/>
    </xf>
    <xf numFmtId="240" fontId="29" fillId="4" borderId="1" xfId="0" applyFont="true" applyBorder="true" applyAlignment="true" applyProtection="true">
      <alignment horizontal="center" vertical="bottom" textRotation="0" wrapText="true" indent="0" shrinkToFit="false"/>
      <protection locked="true" hidden="true"/>
    </xf>
    <xf numFmtId="193" fontId="0" fillId="4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28" fontId="0" fillId="4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52" fontId="30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240" fontId="0" fillId="3" borderId="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237" fontId="0" fillId="6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74" fontId="17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42" fontId="17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228" fontId="17" fillId="2" borderId="0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2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227" fontId="0" fillId="2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252" fontId="17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253" fontId="17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253" fontId="0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254" fontId="0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0" fillId="2" borderId="25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2" borderId="2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6" borderId="8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2" borderId="2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8" borderId="13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8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0" fillId="8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0" fillId="2" borderId="12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5" borderId="13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38" fontId="0" fillId="5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238" fontId="0" fillId="5" borderId="0" xfId="0" applyFont="true" applyBorder="false" applyAlignment="true" applyProtection="true">
      <alignment horizontal="right" vertical="bottom" textRotation="0" wrapText="false" indent="0" shrinkToFit="false"/>
      <protection locked="true" hidden="true"/>
    </xf>
    <xf numFmtId="255" fontId="0" fillId="2" borderId="12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5" borderId="0" xfId="0" applyFont="true" applyBorder="false" applyAlignment="true" applyProtection="true">
      <alignment horizontal="right" vertical="bottom" textRotation="0" wrapText="false" indent="0" shrinkToFit="false"/>
      <protection locked="true" hidden="true"/>
    </xf>
    <xf numFmtId="164" fontId="5" fillId="2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1" fillId="4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2" borderId="22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2" borderId="23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2" borderId="23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255" fontId="0" fillId="2" borderId="24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5" fillId="4" borderId="1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87" fontId="5" fillId="24" borderId="1" xfId="0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77" fontId="5" fillId="4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0" fillId="4" borderId="17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22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7" fontId="0" fillId="2" borderId="0" xfId="0" applyFont="true" applyBorder="false" applyAlignment="true" applyProtection="true">
      <alignment horizontal="right" vertical="bottom" textRotation="0" wrapText="false" indent="0" shrinkToFit="false"/>
      <protection locked="true" hidden="true"/>
    </xf>
    <xf numFmtId="187" fontId="0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84" fontId="5" fillId="24" borderId="1" xfId="0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99" fontId="5" fillId="4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4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14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256" fontId="17" fillId="14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17" fillId="14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0" fillId="14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0" fillId="14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0" fillId="14" borderId="0" xfId="0" applyFont="true" applyBorder="false" applyAlignment="true" applyProtection="true">
      <alignment horizontal="right" vertical="bottom" textRotation="0" wrapText="false" indent="0" shrinkToFit="false"/>
      <protection locked="true" hidden="true"/>
    </xf>
    <xf numFmtId="224" fontId="17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0" fillId="2" borderId="0" xfId="0" applyFont="true" applyBorder="false" applyAlignment="true" applyProtection="true">
      <alignment horizontal="right" vertical="bottom" textRotation="0" wrapText="false" indent="0" shrinkToFit="false"/>
      <protection locked="true" hidden="true"/>
    </xf>
    <xf numFmtId="248" fontId="0" fillId="2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93" fontId="5" fillId="4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29" fontId="0" fillId="4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57" fontId="32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258" fontId="17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17" fillId="2" borderId="0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231" fontId="5" fillId="8" borderId="1" xfId="0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259" fontId="5" fillId="4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0" fillId="14" borderId="0" xfId="0" applyFont="true" applyBorder="false" applyAlignment="true" applyProtection="true">
      <alignment horizontal="left" vertical="bottom" textRotation="0" wrapText="false" indent="0" shrinkToFit="false"/>
      <protection locked="true" hidden="true"/>
    </xf>
    <xf numFmtId="193" fontId="0" fillId="14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223" fontId="5" fillId="26" borderId="1" xfId="0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223" fontId="5" fillId="4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4" fontId="0" fillId="5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260" fontId="0" fillId="5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223" fontId="0" fillId="26" borderId="1" xfId="0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223" fontId="5" fillId="2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48" fontId="0" fillId="14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5" fillId="4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84" fontId="0" fillId="26" borderId="1" xfId="0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64" fontId="0" fillId="6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54" fontId="0" fillId="13" borderId="1" xfId="0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254" fontId="5" fillId="4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54" fontId="0" fillId="4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261" fontId="5" fillId="26" borderId="1" xfId="0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217" fontId="5" fillId="2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31" fontId="0" fillId="4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84" fontId="30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262" fontId="5" fillId="5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63" fontId="0" fillId="5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5" fillId="27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23" fontId="5" fillId="27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63" fontId="0" fillId="27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7" fillId="2" borderId="0" xfId="0" applyFont="true" applyBorder="false" applyAlignment="true" applyProtection="true">
      <alignment horizontal="left" vertical="bottom" textRotation="0" wrapText="false" indent="0" shrinkToFit="false"/>
      <protection locked="true" hidden="true"/>
    </xf>
    <xf numFmtId="193" fontId="17" fillId="2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253" fontId="0" fillId="13" borderId="1" xfId="0" applyFont="false" applyBorder="true" applyAlignment="true" applyProtection="true">
      <alignment horizontal="center" vertical="bottom" textRotation="0" wrapText="false" indent="0" shrinkToFit="false"/>
      <protection locked="false" hidden="true"/>
    </xf>
    <xf numFmtId="213" fontId="5" fillId="2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54" fontId="0" fillId="20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264" fontId="0" fillId="3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64" fontId="5" fillId="6" borderId="1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253" fontId="0" fillId="6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13" fontId="5" fillId="6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54" fontId="0" fillId="6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64" fontId="0" fillId="6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74" fontId="5" fillId="4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84" fontId="0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253" fontId="0" fillId="5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213" fontId="5" fillId="5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65" fontId="0" fillId="5" borderId="1" xfId="0" applyFont="false" applyBorder="true" applyAlignment="true" applyProtection="true">
      <alignment horizontal="right" vertical="bottom" textRotation="0" wrapText="false" indent="0" shrinkToFit="false"/>
      <protection locked="true" hidden="true"/>
    </xf>
    <xf numFmtId="266" fontId="0" fillId="5" borderId="1" xfId="0" applyFont="false" applyBorder="true" applyAlignment="true" applyProtection="true">
      <alignment horizontal="right" vertical="bottom" textRotation="0" wrapText="false" indent="0" shrinkToFit="false"/>
      <protection locked="true" hidden="true"/>
    </xf>
    <xf numFmtId="213" fontId="7" fillId="4" borderId="5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4" fillId="2" borderId="0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24" fillId="2" borderId="0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265" fontId="0" fillId="5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243" fontId="24" fillId="2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24" fontId="17" fillId="14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267" fontId="0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253" fontId="0" fillId="3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213" fontId="5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65" fontId="0" fillId="3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266" fontId="0" fillId="3" borderId="1" xfId="0" applyFont="false" applyBorder="true" applyAlignment="true" applyProtection="true">
      <alignment horizontal="right" vertical="bottom" textRotation="0" wrapText="false" indent="0" shrinkToFit="false"/>
      <protection locked="true" hidden="true"/>
    </xf>
    <xf numFmtId="164" fontId="0" fillId="2" borderId="0" xfId="0" applyFont="fals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0" fillId="5" borderId="2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5" borderId="3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5" borderId="4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253" fontId="0" fillId="6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268" fontId="0" fillId="6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266" fontId="0" fillId="6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17" fontId="0" fillId="6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68" fontId="0" fillId="3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266" fontId="0" fillId="3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222" fontId="0" fillId="3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64" fontId="5" fillId="2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53" fontId="0" fillId="20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268" fontId="5" fillId="2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66" fontId="0" fillId="20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222" fontId="0" fillId="20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254" fontId="0" fillId="20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68" fontId="5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69" fontId="0" fillId="3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33" fillId="4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270" fontId="0" fillId="4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234" fontId="5" fillId="4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71" fontId="0" fillId="4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272" fontId="0" fillId="4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65" fontId="0" fillId="3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273" fontId="0" fillId="3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272" fontId="0" fillId="3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81" fontId="17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0" fillId="6" borderId="9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5" fillId="4" borderId="11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7" fillId="4" borderId="1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1" fontId="17" fillId="2" borderId="0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5" fillId="5" borderId="11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274" fontId="17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76" fontId="17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99" fontId="17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29" fillId="2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213" fontId="7" fillId="4" borderId="1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75" fontId="17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0" fillId="2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2" borderId="1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4" fontId="0" fillId="2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4" fontId="5" fillId="3" borderId="11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265" fontId="0" fillId="3" borderId="1" xfId="0" applyFont="false" applyBorder="true" applyAlignment="true" applyProtection="true">
      <alignment horizontal="right" vertical="bottom" textRotation="0" wrapText="false" indent="0" shrinkToFit="false"/>
      <protection locked="true" hidden="true"/>
    </xf>
    <xf numFmtId="164" fontId="0" fillId="5" borderId="28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265" fontId="0" fillId="11" borderId="3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5" fillId="4" borderId="1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6" borderId="14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5" fillId="3" borderId="1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3" borderId="14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5" fillId="20" borderId="1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54" fontId="0" fillId="20" borderId="14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84" fontId="17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87" fontId="17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86" fontId="17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87" fontId="17" fillId="2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97" fontId="17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5" fillId="3" borderId="2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65" fontId="0" fillId="3" borderId="19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234" fontId="5" fillId="3" borderId="19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73" fontId="0" fillId="3" borderId="19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272" fontId="0" fillId="3" borderId="19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3" borderId="17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53" fontId="0" fillId="5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267" fontId="0" fillId="5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76" fontId="0" fillId="5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277" fontId="0" fillId="5" borderId="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3" borderId="10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62" fontId="0" fillId="5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278" fontId="0" fillId="5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53" fontId="0" fillId="4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267" fontId="0" fillId="4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76" fontId="0" fillId="4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277" fontId="0" fillId="4" borderId="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262" fontId="0" fillId="4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278" fontId="0" fillId="4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62" fontId="0" fillId="9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64" fontId="34" fillId="2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34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34" fillId="2" borderId="0" xfId="0" applyFont="true" applyBorder="false" applyAlignment="true" applyProtection="true">
      <alignment horizontal="left" vertical="bottom" textRotation="0" wrapText="false" indent="0" shrinkToFit="false"/>
      <protection locked="true" hidden="true"/>
    </xf>
    <xf numFmtId="253" fontId="0" fillId="3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267" fontId="0" fillId="3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76" fontId="0" fillId="3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277" fontId="0" fillId="3" borderId="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262" fontId="0" fillId="3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278" fontId="0" fillId="3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53" fontId="0" fillId="20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267" fontId="0" fillId="20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76" fontId="0" fillId="20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277" fontId="0" fillId="20" borderId="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262" fontId="0" fillId="20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278" fontId="0" fillId="20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78" fontId="0" fillId="6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6" borderId="4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53" fontId="0" fillId="13" borderId="1" xfId="0" applyFont="false" applyBorder="true" applyAlignment="true" applyProtection="true">
      <alignment horizontal="right" vertical="bottom" textRotation="0" wrapText="false" indent="0" shrinkToFit="false"/>
      <protection locked="false" hidden="true"/>
    </xf>
    <xf numFmtId="279" fontId="0" fillId="4" borderId="1" xfId="0" applyFont="false" applyBorder="true" applyAlignment="true" applyProtection="true">
      <alignment horizontal="left" vertical="center" textRotation="0" wrapText="false" indent="0" shrinkToFit="false"/>
      <protection locked="true" hidden="true"/>
    </xf>
    <xf numFmtId="252" fontId="0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228" fontId="0" fillId="2" borderId="0" xfId="0" applyFont="fals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0" fillId="5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5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243" fontId="0" fillId="10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5" borderId="1" xfId="0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4" fontId="0" fillId="10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228" fontId="0" fillId="10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228" fontId="0" fillId="5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272" fontId="35" fillId="2" borderId="0" xfId="0" applyFont="true" applyBorder="false" applyAlignment="true" applyProtection="true">
      <alignment horizontal="center" vertical="bottom" textRotation="0" wrapText="false" indent="0" shrinkToFit="false"/>
      <protection locked="false" hidden="true"/>
    </xf>
    <xf numFmtId="164" fontId="0" fillId="4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0" fillId="4" borderId="0" xfId="0" applyFont="false" applyBorder="false" applyAlignment="true" applyProtection="true">
      <alignment horizontal="center" vertical="bottom" textRotation="0" wrapText="false" indent="0" shrinkToFit="false"/>
      <protection locked="true" hidden="true"/>
    </xf>
    <xf numFmtId="280" fontId="0" fillId="28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36" fillId="4" borderId="0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31" fontId="0" fillId="4" borderId="0" xfId="0" applyFont="false" applyBorder="false" applyAlignment="true" applyProtection="true">
      <alignment horizontal="center" vertical="bottom" textRotation="0" wrapText="false" indent="0" shrinkToFit="false"/>
      <protection locked="true" hidden="true"/>
    </xf>
    <xf numFmtId="281" fontId="0" fillId="28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218" fontId="0" fillId="4" borderId="0" xfId="0" applyFont="false" applyBorder="false" applyAlignment="true" applyProtection="true">
      <alignment horizontal="center" vertical="bottom" textRotation="0" wrapText="false" indent="0" shrinkToFit="false"/>
      <protection locked="true" hidden="true"/>
    </xf>
    <xf numFmtId="280" fontId="0" fillId="2" borderId="0" xfId="0" applyFont="false" applyBorder="false" applyAlignment="true" applyProtection="true">
      <alignment horizontal="center" vertical="bottom" textRotation="0" wrapText="false" indent="0" shrinkToFit="false"/>
      <protection locked="true" hidden="true"/>
    </xf>
    <xf numFmtId="254" fontId="0" fillId="4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82" fontId="37" fillId="4" borderId="0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81" fontId="0" fillId="4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254" fontId="0" fillId="4" borderId="0" xfId="0" applyFont="false" applyBorder="false" applyAlignment="true" applyProtection="true">
      <alignment horizontal="center" vertical="bottom" textRotation="0" wrapText="false" indent="0" shrinkToFit="false"/>
      <protection locked="true" hidden="true"/>
    </xf>
    <xf numFmtId="227" fontId="0" fillId="2" borderId="0" xfId="0" applyFont="fals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0" fillId="5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4" fontId="0" fillId="5" borderId="1" xfId="0" applyFont="false" applyBorder="true" applyAlignment="true" applyProtection="true">
      <alignment horizontal="right" vertical="bottom" textRotation="0" wrapText="false" indent="0" shrinkToFit="false"/>
      <protection locked="true" hidden="true"/>
    </xf>
    <xf numFmtId="231" fontId="0" fillId="5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220" fontId="0" fillId="5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218" fontId="0" fillId="3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282" fontId="17" fillId="5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72" fontId="0" fillId="4" borderId="0" xfId="0" applyFont="false" applyBorder="false" applyAlignment="true" applyProtection="true">
      <alignment horizontal="center" vertical="bottom" textRotation="0" wrapText="false" indent="0" shrinkToFit="false"/>
      <protection locked="true" hidden="true"/>
    </xf>
    <xf numFmtId="267" fontId="0" fillId="2" borderId="0" xfId="0" applyFont="fals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0" fillId="2" borderId="6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65" fontId="0" fillId="4" borderId="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74" fontId="0" fillId="4" borderId="1" xfId="0" applyFont="false" applyBorder="true" applyAlignment="true" applyProtection="true">
      <alignment horizontal="right" vertical="bottom" textRotation="0" wrapText="false" indent="0" shrinkToFit="false"/>
      <protection locked="true" hidden="true"/>
    </xf>
    <xf numFmtId="220" fontId="17" fillId="5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54" fontId="0" fillId="5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83" fontId="0" fillId="3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65" fontId="17" fillId="5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19" fontId="0" fillId="5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5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0" fillId="5" borderId="0" xfId="0" applyFont="false" applyBorder="false" applyAlignment="true" applyProtection="true">
      <alignment horizontal="center" vertical="bottom" textRotation="0" wrapText="false" indent="0" shrinkToFit="false"/>
      <protection locked="true" hidden="true"/>
    </xf>
    <xf numFmtId="174" fontId="0" fillId="3" borderId="1" xfId="0" applyFont="false" applyBorder="true" applyAlignment="true" applyProtection="true">
      <alignment horizontal="right" vertical="bottom" textRotation="0" wrapText="false" indent="0" shrinkToFit="false"/>
      <protection locked="true" hidden="true"/>
    </xf>
    <xf numFmtId="265" fontId="0" fillId="3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31" fontId="0" fillId="3" borderId="1" xfId="0" applyFont="false" applyBorder="true" applyAlignment="true" applyProtection="true">
      <alignment horizontal="right" vertical="bottom" textRotation="0" wrapText="false" indent="0" shrinkToFit="false"/>
      <protection locked="true" hidden="true"/>
    </xf>
    <xf numFmtId="213" fontId="0" fillId="6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84" fontId="17" fillId="6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85" fontId="17" fillId="6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31" fontId="0" fillId="6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76" fontId="0" fillId="6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86" fontId="0" fillId="2" borderId="0" xfId="0" applyFont="fals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0" fillId="5" borderId="6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59" fontId="0" fillId="5" borderId="1" xfId="0" applyFont="false" applyBorder="true" applyAlignment="true" applyProtection="true">
      <alignment horizontal="right" vertical="bottom" textRotation="0" wrapText="false" indent="0" shrinkToFit="false"/>
      <protection locked="true" hidden="true"/>
    </xf>
    <xf numFmtId="219" fontId="0" fillId="19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213" fontId="0" fillId="19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19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287" fontId="0" fillId="19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76" fontId="0" fillId="5" borderId="1" xfId="0" applyFont="false" applyBorder="true" applyAlignment="true" applyProtection="true">
      <alignment horizontal="right" vertical="bottom" textRotation="0" wrapText="false" indent="0" shrinkToFit="false"/>
      <protection locked="true" hidden="true"/>
    </xf>
    <xf numFmtId="176" fontId="0" fillId="5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253" fontId="0" fillId="5" borderId="6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64" fontId="5" fillId="29" borderId="0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13" fontId="0" fillId="29" borderId="0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29" borderId="0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76" fontId="0" fillId="29" borderId="0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74" fontId="0" fillId="5" borderId="0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84" fontId="0" fillId="2" borderId="0" xfId="0" applyFont="false" applyBorder="false" applyAlignment="true" applyProtection="true">
      <alignment horizontal="center" vertical="bottom" textRotation="0" wrapText="false" indent="0" shrinkToFit="false"/>
      <protection locked="true" hidden="true"/>
    </xf>
    <xf numFmtId="213" fontId="0" fillId="29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76" fontId="0" fillId="5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253" fontId="0" fillId="2" borderId="6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259" fontId="0" fillId="3" borderId="1" xfId="0" applyFont="false" applyBorder="true" applyAlignment="true" applyProtection="true">
      <alignment horizontal="right" vertical="bottom" textRotation="0" wrapText="false" indent="0" shrinkToFit="false"/>
      <protection locked="true" hidden="true"/>
    </xf>
    <xf numFmtId="164" fontId="0" fillId="2" borderId="5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213" fontId="0" fillId="3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74" fontId="0" fillId="3" borderId="1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3" borderId="1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74" fontId="0" fillId="2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0" fillId="5" borderId="17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22" borderId="17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7" fillId="5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31" fontId="17" fillId="5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5" borderId="1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253" fontId="0" fillId="5" borderId="18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53" fontId="0" fillId="22" borderId="18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22" borderId="18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6" borderId="0" xfId="0" applyFont="true" applyBorder="false" applyAlignment="true" applyProtection="true">
      <alignment horizontal="center" vertical="center" textRotation="0" wrapText="false" indent="0" shrinkToFit="false"/>
      <protection locked="true" hidden="true"/>
    </xf>
    <xf numFmtId="164" fontId="0" fillId="5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17" fillId="5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267" fontId="0" fillId="5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254" fontId="0" fillId="5" borderId="0" xfId="0" applyFont="false" applyBorder="false" applyAlignment="true" applyProtection="true">
      <alignment horizontal="center" vertical="bottom" textRotation="0" wrapText="false" indent="0" shrinkToFit="false"/>
      <protection locked="true" hidden="true"/>
    </xf>
    <xf numFmtId="253" fontId="0" fillId="5" borderId="10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53" fontId="0" fillId="22" borderId="10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67" fontId="0" fillId="22" borderId="10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48" fontId="0" fillId="5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18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259" fontId="0" fillId="4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288" fontId="0" fillId="2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231" fontId="0" fillId="2" borderId="1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76" fontId="0" fillId="2" borderId="1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288" fontId="0" fillId="2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267" fontId="0" fillId="2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31" fontId="0" fillId="2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74" fontId="0" fillId="2" borderId="1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2" borderId="1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243" fontId="0" fillId="2" borderId="1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267" fontId="0" fillId="2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87" fontId="0" fillId="2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289" fontId="0" fillId="2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89" fontId="0" fillId="2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290" fontId="0" fillId="2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65" fontId="0" fillId="2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2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86" fontId="0" fillId="4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248" fontId="0" fillId="4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231" fontId="0" fillId="2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176" fontId="0" fillId="2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288" fontId="0" fillId="2" borderId="0" xfId="0" applyFont="false" applyBorder="false" applyAlignment="true" applyProtection="true">
      <alignment horizontal="center" vertical="bottom" textRotation="0" wrapText="false" indent="0" shrinkToFit="false"/>
      <protection locked="true" hidden="true"/>
    </xf>
    <xf numFmtId="231" fontId="0" fillId="2" borderId="0" xfId="0" applyFont="false" applyBorder="false" applyAlignment="true" applyProtection="true">
      <alignment horizontal="center" vertical="bottom" textRotation="0" wrapText="false" indent="0" shrinkToFit="false"/>
      <protection locked="true" hidden="true"/>
    </xf>
    <xf numFmtId="224" fontId="0" fillId="2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243" fontId="0" fillId="2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187" fontId="0" fillId="2" borderId="0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289" fontId="0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289" fontId="0" fillId="2" borderId="0" xfId="0" applyFont="false" applyBorder="false" applyAlignment="true" applyProtection="true">
      <alignment horizontal="center" vertical="bottom" textRotation="0" wrapText="false" indent="0" shrinkToFit="false"/>
      <protection locked="true" hidden="true"/>
    </xf>
    <xf numFmtId="290" fontId="0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265" fontId="0" fillId="2" borderId="0" xfId="0" applyFont="false" applyBorder="false" applyAlignment="true" applyProtection="true">
      <alignment horizontal="center" vertical="bottom" textRotation="0" wrapText="false" indent="0" shrinkToFit="false"/>
      <protection locked="true" hidden="true"/>
    </xf>
    <xf numFmtId="186" fontId="0" fillId="2" borderId="0" xfId="0" applyFont="false" applyBorder="false" applyAlignment="true" applyProtection="true">
      <alignment horizontal="center" vertical="bottom" textRotation="0" wrapText="false" indent="0" shrinkToFit="false"/>
      <protection locked="true" hidden="true"/>
    </xf>
    <xf numFmtId="248" fontId="0" fillId="2" borderId="0" xfId="0" applyFont="fals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34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231" fontId="0" fillId="5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288" fontId="0" fillId="5" borderId="0" xfId="0" applyFont="false" applyBorder="false" applyAlignment="true" applyProtection="true">
      <alignment horizontal="center" vertical="bottom" textRotation="0" wrapText="false" indent="0" shrinkToFit="false"/>
      <protection locked="true" hidden="true"/>
    </xf>
    <xf numFmtId="231" fontId="0" fillId="5" borderId="0" xfId="0" applyFont="false" applyBorder="false" applyAlignment="true" applyProtection="true">
      <alignment horizontal="center" vertical="bottom" textRotation="0" wrapText="false" indent="0" shrinkToFit="false"/>
      <protection locked="true" hidden="true"/>
    </xf>
    <xf numFmtId="174" fontId="0" fillId="5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224" fontId="0" fillId="5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243" fontId="0" fillId="5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187" fontId="0" fillId="5" borderId="0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289" fontId="0" fillId="5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289" fontId="0" fillId="5" borderId="0" xfId="0" applyFont="false" applyBorder="false" applyAlignment="true" applyProtection="true">
      <alignment horizontal="center" vertical="bottom" textRotation="0" wrapText="false" indent="0" shrinkToFit="false"/>
      <protection locked="true" hidden="true"/>
    </xf>
    <xf numFmtId="290" fontId="0" fillId="5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265" fontId="0" fillId="5" borderId="0" xfId="0" applyFont="false" applyBorder="false" applyAlignment="true" applyProtection="true">
      <alignment horizontal="center" vertical="bottom" textRotation="0" wrapText="false" indent="0" shrinkToFit="false"/>
      <protection locked="true" hidden="true"/>
    </xf>
    <xf numFmtId="186" fontId="0" fillId="5" borderId="0" xfId="0" applyFont="false" applyBorder="false" applyAlignment="true" applyProtection="true">
      <alignment horizontal="center" vertical="bottom" textRotation="0" wrapText="false" indent="0" shrinkToFit="false"/>
      <protection locked="true" hidden="true"/>
    </xf>
    <xf numFmtId="248" fontId="0" fillId="5" borderId="0" xfId="0" applyFont="false" applyBorder="false" applyAlignment="true" applyProtection="true">
      <alignment horizontal="center" vertical="bottom" textRotation="0" wrapText="false" indent="0" shrinkToFit="false"/>
      <protection locked="true" hidden="true"/>
    </xf>
    <xf numFmtId="186" fontId="0" fillId="4" borderId="0" xfId="0" applyFont="false" applyBorder="false" applyAlignment="true" applyProtection="true">
      <alignment horizontal="center" vertical="bottom" textRotation="0" wrapText="false" indent="0" shrinkToFit="false"/>
      <protection locked="true" hidden="true"/>
    </xf>
    <xf numFmtId="248" fontId="0" fillId="4" borderId="0" xfId="0" applyFont="fals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0" fillId="4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39" fillId="4" borderId="0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41" fillId="4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5" fillId="6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0" fillId="5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6" fontId="0" fillId="5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286" fontId="0" fillId="5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40" fontId="0" fillId="20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40" fontId="0" fillId="5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86" fontId="0" fillId="5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291" fontId="0" fillId="20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16" fontId="0" fillId="20" borderId="0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4" fontId="0" fillId="20" borderId="0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93" fontId="0" fillId="20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6" fontId="15" fillId="6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9" fontId="15" fillId="6" borderId="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87" fontId="0" fillId="2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229" fontId="0" fillId="20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92" fontId="0" fillId="2" borderId="0" xfId="0" applyFont="false" applyBorder="false" applyAlignment="true" applyProtection="true">
      <alignment horizontal="center" vertical="bottom" textRotation="0" wrapText="false" indent="0" shrinkToFit="false"/>
      <protection locked="true" hidden="true"/>
    </xf>
    <xf numFmtId="178" fontId="0" fillId="3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9" fontId="0" fillId="3" borderId="1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229" fontId="0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8" fontId="0" fillId="2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169" fontId="0" fillId="2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42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87" fontId="0" fillId="8" borderId="1" xfId="0" applyFont="true" applyBorder="true" applyAlignment="true" applyProtection="true">
      <alignment horizontal="center" vertical="bottom" textRotation="0" wrapText="false" indent="0" shrinkToFit="false"/>
      <protection locked="false" hidden="true"/>
    </xf>
    <xf numFmtId="187" fontId="0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93" fontId="0" fillId="8" borderId="1" xfId="0" applyFont="true" applyBorder="true" applyAlignment="true" applyProtection="true">
      <alignment horizontal="right" vertical="bottom" textRotation="0" wrapText="false" indent="0" shrinkToFit="false"/>
      <protection locked="false" hidden="true"/>
    </xf>
    <xf numFmtId="293" fontId="0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93" fontId="0" fillId="5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293" fontId="0" fillId="5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0" fillId="13" borderId="1" xfId="0" applyFont="false" applyBorder="true" applyAlignment="true" applyProtection="true">
      <alignment horizontal="center" vertical="bottom" textRotation="0" wrapText="false" indent="0" shrinkToFit="false"/>
      <protection locked="false" hidden="true"/>
    </xf>
    <xf numFmtId="291" fontId="0" fillId="8" borderId="1" xfId="0" applyFont="true" applyBorder="true" applyAlignment="true" applyProtection="true">
      <alignment horizontal="center" vertical="bottom" textRotation="0" wrapText="false" indent="0" shrinkToFit="false"/>
      <protection locked="false" hidden="true"/>
    </xf>
    <xf numFmtId="291" fontId="0" fillId="9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28" fontId="0" fillId="9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94" fontId="0" fillId="8" borderId="1" xfId="0" applyFont="false" applyBorder="true" applyAlignment="true" applyProtection="true">
      <alignment horizontal="center" vertical="bottom" textRotation="0" wrapText="false" indent="0" shrinkToFit="false"/>
      <protection locked="false" hidden="true"/>
    </xf>
    <xf numFmtId="294" fontId="0" fillId="29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95" fontId="0" fillId="29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77" fontId="0" fillId="8" borderId="1" xfId="0" applyFont="false" applyBorder="true" applyAlignment="true" applyProtection="true">
      <alignment horizontal="center" vertical="bottom" textRotation="0" wrapText="false" indent="0" shrinkToFit="false"/>
      <protection locked="false" hidden="true"/>
    </xf>
    <xf numFmtId="177" fontId="0" fillId="29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0" fillId="29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296" fontId="0" fillId="29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66" fontId="0" fillId="29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78" fontId="0" fillId="29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224" fontId="0" fillId="8" borderId="1" xfId="0" applyFont="false" applyBorder="true" applyAlignment="true" applyProtection="true">
      <alignment horizontal="center" vertical="bottom" textRotation="0" wrapText="false" indent="0" shrinkToFit="false"/>
      <protection locked="false" hidden="true"/>
    </xf>
    <xf numFmtId="177" fontId="0" fillId="19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0" fillId="19" borderId="1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297" fontId="0" fillId="8" borderId="1" xfId="0" applyFont="false" applyBorder="true" applyAlignment="true" applyProtection="true">
      <alignment horizontal="center" vertical="bottom" textRotation="0" wrapText="false" indent="0" shrinkToFit="false"/>
      <protection locked="false" hidden="true"/>
    </xf>
    <xf numFmtId="298" fontId="0" fillId="2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0" fillId="21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99" fontId="0" fillId="19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77" fontId="0" fillId="19" borderId="1" xfId="0" applyFont="true" applyBorder="true" applyAlignment="true" applyProtection="true">
      <alignment horizontal="center" vertical="top" textRotation="0" wrapText="false" indent="0" shrinkToFit="false"/>
      <protection locked="true" hidden="true"/>
    </xf>
    <xf numFmtId="174" fontId="0" fillId="2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296" fontId="0" fillId="19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300" fontId="0" fillId="19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301" fontId="0" fillId="19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66" fontId="0" fillId="19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74" fontId="0" fillId="19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291" fontId="0" fillId="5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291" fontId="0" fillId="5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93" fontId="0" fillId="0" borderId="1" xfId="0" applyFont="false" applyBorder="true" applyAlignment="true" applyProtection="true">
      <alignment horizontal="right" vertical="bottom" textRotation="0" wrapText="false" indent="0" shrinkToFit="false"/>
      <protection locked="true" hidden="true"/>
    </xf>
    <xf numFmtId="293" fontId="0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0" fillId="29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8" fontId="0" fillId="29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0" fillId="29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8" fontId="0" fillId="5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0" fillId="5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67" fontId="0" fillId="29" borderId="1" xfId="0" applyFont="false" applyBorder="true" applyAlignment="true" applyProtection="true">
      <alignment horizontal="right" vertical="bottom" textRotation="0" wrapText="false" indent="0" shrinkToFit="false"/>
      <protection locked="true" hidden="true"/>
    </xf>
    <xf numFmtId="167" fontId="0" fillId="29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2" fontId="0" fillId="29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67" fontId="0" fillId="5" borderId="1" xfId="0" applyFont="false" applyBorder="true" applyAlignment="true" applyProtection="true">
      <alignment horizontal="right" vertical="bottom" textRotation="0" wrapText="false" indent="0" shrinkToFit="false"/>
      <protection locked="true" hidden="true"/>
    </xf>
    <xf numFmtId="167" fontId="0" fillId="5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5" fontId="0" fillId="5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67" fontId="0" fillId="9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7" fontId="0" fillId="9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2" fontId="0" fillId="9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302" fontId="0" fillId="0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302" fontId="0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2" fontId="0" fillId="7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67" fontId="0" fillId="7" borderId="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7" fontId="0" fillId="7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7" fontId="0" fillId="0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74" fontId="0" fillId="4" borderId="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74" fontId="0" fillId="4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4" fontId="0" fillId="4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74" fontId="0" fillId="4" borderId="1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286" fontId="0" fillId="3" borderId="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7" fontId="0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86" fontId="0" fillId="3" borderId="1" xfId="0" applyFont="false" applyBorder="true" applyAlignment="true" applyProtection="true">
      <alignment horizontal="right" vertical="bottom" textRotation="0" wrapText="false" indent="0" shrinkToFit="false"/>
      <protection locked="true" hidden="true"/>
    </xf>
    <xf numFmtId="164" fontId="0" fillId="2" borderId="0" xfId="0" applyFont="false" applyBorder="false" applyAlignment="true" applyProtection="true">
      <alignment horizontal="right" vertical="bottom" textRotation="0" wrapText="false" indent="0" shrinkToFit="false"/>
      <protection locked="true" hidden="true"/>
    </xf>
    <xf numFmtId="286" fontId="0" fillId="4" borderId="1" xfId="0" applyFont="false" applyBorder="true" applyAlignment="true" applyProtection="true">
      <alignment horizontal="right" vertical="bottom" textRotation="0" wrapText="false" indent="0" shrinkToFit="false"/>
      <protection locked="true" hidden="true"/>
    </xf>
    <xf numFmtId="167" fontId="0" fillId="4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9" fontId="42" fillId="4" borderId="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97" fontId="0" fillId="2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193" fontId="0" fillId="2" borderId="0" xfId="0" applyFont="false" applyBorder="false" applyAlignment="true" applyProtection="true">
      <alignment horizontal="center" vertical="bottom" textRotation="0" wrapText="false" indent="0" shrinkToFit="false"/>
      <protection locked="true" hidden="true"/>
    </xf>
    <xf numFmtId="167" fontId="12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28" fontId="0" fillId="3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14" fontId="0" fillId="8" borderId="1" xfId="0" applyFont="true" applyBorder="true" applyAlignment="true" applyProtection="true">
      <alignment horizontal="center" vertical="bottom" textRotation="0" wrapText="false" indent="0" shrinkToFit="false"/>
      <protection locked="false" hidden="true"/>
    </xf>
    <xf numFmtId="303" fontId="0" fillId="8" borderId="1" xfId="0" applyFont="true" applyBorder="true" applyAlignment="true" applyProtection="true">
      <alignment horizontal="center" vertical="bottom" textRotation="0" wrapText="false" indent="0" shrinkToFit="false"/>
      <protection locked="false" hidden="true"/>
    </xf>
    <xf numFmtId="178" fontId="0" fillId="7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79" fontId="5" fillId="4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79" fontId="0" fillId="4" borderId="1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214" fontId="0" fillId="2" borderId="0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303" fontId="0" fillId="2" borderId="0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35" fontId="0" fillId="2" borderId="0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78" fontId="0" fillId="2" borderId="0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7" fontId="0" fillId="2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0" fillId="2" borderId="0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28" fontId="0" fillId="2" borderId="0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42" fillId="6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92" fontId="0" fillId="8" borderId="1" xfId="0" applyFont="false" applyBorder="true" applyAlignment="true" applyProtection="true">
      <alignment horizontal="center" vertical="bottom" textRotation="0" wrapText="false" indent="0" shrinkToFit="false"/>
      <protection locked="false" hidden="true"/>
    </xf>
    <xf numFmtId="292" fontId="0" fillId="5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8" borderId="1" xfId="0" applyFont="false" applyBorder="true" applyAlignment="true" applyProtection="true">
      <alignment horizontal="center" vertical="bottom" textRotation="0" wrapText="false" indent="0" shrinkToFit="false"/>
      <protection locked="false" hidden="true"/>
    </xf>
    <xf numFmtId="181" fontId="0" fillId="8" borderId="1" xfId="0" applyFont="false" applyBorder="true" applyAlignment="true" applyProtection="true">
      <alignment horizontal="center" vertical="bottom" textRotation="0" wrapText="false" indent="0" shrinkToFit="false"/>
      <protection locked="false" hidden="true"/>
    </xf>
    <xf numFmtId="304" fontId="0" fillId="5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2" fillId="3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0" fillId="21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81" fontId="17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305" fontId="17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93" fontId="17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28" fontId="17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12" fillId="31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2" fillId="32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306" fontId="0" fillId="31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306" fontId="0" fillId="32" borderId="1" xfId="0" applyFont="false" applyBorder="true" applyAlignment="true" applyProtection="true">
      <alignment horizontal="center" vertical="center" textRotation="0" wrapText="false" indent="0" shrinkToFit="false"/>
      <protection locked="true" hidden="true"/>
    </xf>
    <xf numFmtId="164" fontId="0" fillId="31" borderId="1" xfId="0" applyFont="true" applyBorder="true" applyAlignment="true" applyProtection="true">
      <alignment horizontal="center" vertical="bottom" textRotation="0" wrapText="true" indent="0" shrinkToFit="false"/>
      <protection locked="true" hidden="true"/>
    </xf>
    <xf numFmtId="164" fontId="0" fillId="32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0" fillId="31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5" fillId="20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93" fontId="17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0" fillId="20" borderId="1" xfId="0" applyFont="true" applyBorder="true" applyAlignment="true" applyProtection="true">
      <alignment horizontal="center" vertical="bottom" textRotation="0" wrapText="true" indent="0" shrinkToFit="false"/>
      <protection locked="true" hidden="true"/>
    </xf>
    <xf numFmtId="292" fontId="0" fillId="20" borderId="1" xfId="0" applyFont="true" applyBorder="true" applyAlignment="true" applyProtection="true">
      <alignment horizontal="center" vertical="bottom" textRotation="0" wrapText="true" indent="0" shrinkToFit="false"/>
      <protection locked="true" hidden="true"/>
    </xf>
    <xf numFmtId="292" fontId="0" fillId="20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21" borderId="1" xfId="0" applyFont="false" applyBorder="true" applyAlignment="true" applyProtection="true">
      <alignment horizontal="center" vertical="center" textRotation="0" wrapText="false" indent="0" shrinkToFit="false"/>
      <protection locked="true" hidden="true"/>
    </xf>
    <xf numFmtId="164" fontId="42" fillId="3" borderId="17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8" fontId="15" fillId="4" borderId="17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9" fontId="42" fillId="4" borderId="29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87" fontId="0" fillId="20" borderId="17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7" fillId="3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0" fillId="33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2" fillId="33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240" fontId="0" fillId="33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88" fontId="0" fillId="4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307" fontId="0" fillId="4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5" fillId="3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0" fillId="2" borderId="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308" fontId="0" fillId="20" borderId="10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7" fontId="0" fillId="33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76" fontId="0" fillId="20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309" fontId="0" fillId="33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6" fontId="0" fillId="33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310" fontId="0" fillId="4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4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5" fillId="3" borderId="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258" fontId="5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8" fontId="0" fillId="20" borderId="1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67" fontId="0" fillId="8" borderId="1" xfId="0" applyFont="true" applyBorder="true" applyAlignment="true" applyProtection="true">
      <alignment horizontal="right" vertical="bottom" textRotation="0" wrapText="false" indent="0" shrinkToFit="false"/>
      <protection locked="false" hidden="true"/>
    </xf>
    <xf numFmtId="167" fontId="0" fillId="5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92" fontId="0" fillId="20" borderId="1" xfId="0" applyFont="false" applyBorder="true" applyAlignment="true" applyProtection="true">
      <alignment horizontal="center" vertical="center" textRotation="0" wrapText="false" indent="0" shrinkToFit="false"/>
      <protection locked="true" hidden="true"/>
    </xf>
    <xf numFmtId="292" fontId="0" fillId="8" borderId="1" xfId="0" applyFont="true" applyBorder="true" applyAlignment="true" applyProtection="true">
      <alignment horizontal="center" vertical="bottom" textRotation="0" wrapText="false" indent="0" shrinkToFit="false"/>
      <protection locked="false" hidden="true"/>
    </xf>
    <xf numFmtId="309" fontId="0" fillId="5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78" fontId="0" fillId="5" borderId="1" xfId="0" applyFont="false" applyBorder="true" applyAlignment="true" applyProtection="true">
      <alignment horizontal="right" vertical="center" textRotation="0" wrapText="false" indent="0" shrinkToFit="false"/>
      <protection locked="true" hidden="true"/>
    </xf>
    <xf numFmtId="286" fontId="0" fillId="5" borderId="1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4" fontId="0" fillId="3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58" fontId="0" fillId="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5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4" fontId="5" fillId="3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3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0" fillId="30" borderId="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7" fontId="0" fillId="3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309" fontId="0" fillId="30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6" fontId="0" fillId="30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78" fontId="0" fillId="30" borderId="1" xfId="0" applyFont="false" applyBorder="true" applyAlignment="true" applyProtection="true">
      <alignment horizontal="right" vertical="center" textRotation="0" wrapText="false" indent="0" shrinkToFit="false"/>
      <protection locked="true" hidden="true"/>
    </xf>
    <xf numFmtId="286" fontId="0" fillId="30" borderId="1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4" fontId="0" fillId="1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58" fontId="0" fillId="1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58" fontId="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30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4" fontId="0" fillId="19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58" fontId="0" fillId="19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5" borderId="1" xfId="0" applyFont="false" applyBorder="true" applyAlignment="true" applyProtection="true">
      <alignment horizontal="center" vertical="center" textRotation="0" wrapText="false" indent="0" shrinkToFit="false"/>
      <protection locked="true" hidden="true"/>
    </xf>
    <xf numFmtId="178" fontId="0" fillId="5" borderId="1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97" fontId="0" fillId="2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7" fontId="0" fillId="30" borderId="1" xfId="0" applyFont="false" applyBorder="true" applyAlignment="true" applyProtection="true">
      <alignment horizontal="center" vertical="center" textRotation="0" wrapText="false" indent="0" shrinkToFit="false"/>
      <protection locked="true" hidden="true"/>
    </xf>
    <xf numFmtId="178" fontId="0" fillId="30" borderId="1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311" fontId="0" fillId="19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78" fontId="0" fillId="4" borderId="1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286" fontId="0" fillId="4" borderId="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20" borderId="17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6" fillId="2" borderId="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308" fontId="0" fillId="20" borderId="10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292" fontId="0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5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0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true"/>
    </xf>
    <xf numFmtId="258" fontId="0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6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58" fontId="5" fillId="6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258" fontId="0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5" fontId="0" fillId="15" borderId="1" xfId="0" applyFont="true" applyBorder="true" applyAlignment="true" applyProtection="true">
      <alignment horizontal="center" vertical="bottom" textRotation="0" wrapText="false" indent="0" shrinkToFit="false"/>
      <protection locked="false" hidden="true"/>
    </xf>
    <xf numFmtId="164" fontId="0" fillId="29" borderId="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97" fontId="0" fillId="29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97" fontId="0" fillId="0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312" fontId="0" fillId="3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23" borderId="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312" fontId="0" fillId="0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313" fontId="0" fillId="0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32" borderId="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312" fontId="0" fillId="32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313" fontId="0" fillId="32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313" fontId="0" fillId="0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5" borderId="1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313" fontId="0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312" fontId="0" fillId="7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42" fillId="5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0" fillId="6" borderId="30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314" fontId="0" fillId="6" borderId="3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87" fontId="0" fillId="6" borderId="31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93" fontId="0" fillId="6" borderId="31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78" fontId="0" fillId="6" borderId="1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315" fontId="0" fillId="0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72" fontId="0" fillId="0" borderId="1" xfId="0" applyFont="false" applyBorder="true" applyAlignment="true" applyProtection="true">
      <alignment horizontal="right" vertical="bottom" textRotation="0" wrapText="false" indent="0" shrinkToFit="false"/>
      <protection locked="true" hidden="true"/>
    </xf>
    <xf numFmtId="168" fontId="0" fillId="0" borderId="1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293" fontId="0" fillId="0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93" fontId="0" fillId="0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72" fontId="0" fillId="0" borderId="1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292" fontId="0" fillId="0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88" fontId="0" fillId="0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78" fontId="0" fillId="0" borderId="1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316" fontId="0" fillId="0" borderId="1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308" fontId="0" fillId="0" borderId="1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317" fontId="0" fillId="0" borderId="1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67" fontId="0" fillId="0" borderId="1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292" fontId="0" fillId="0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300" fontId="0" fillId="0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77" fontId="0" fillId="0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299" fontId="0" fillId="0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296" fontId="0" fillId="0" borderId="1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66" fontId="0" fillId="0" borderId="1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79" fontId="0" fillId="5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94" fontId="0" fillId="0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6" borderId="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314" fontId="0" fillId="6" borderId="0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87" fontId="0" fillId="6" borderId="0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93" fontId="0" fillId="6" borderId="0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293" fontId="0" fillId="7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72" fontId="0" fillId="7" borderId="1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317" fontId="0" fillId="7" borderId="1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69" fontId="0" fillId="5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3" borderId="1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9" fontId="0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303" fontId="0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14" fontId="0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8" fontId="0" fillId="3" borderId="1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72" fontId="0" fillId="6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68" fontId="0" fillId="6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29" fontId="0" fillId="0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318" fontId="0" fillId="5" borderId="1" xfId="0" applyFont="false" applyBorder="true" applyAlignment="true" applyProtection="true">
      <alignment horizontal="right" vertical="bottom" textRotation="0" wrapText="false" indent="0" shrinkToFit="false"/>
      <protection locked="true" hidden="true"/>
    </xf>
    <xf numFmtId="178" fontId="0" fillId="0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4" fontId="0" fillId="7" borderId="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294" fontId="0" fillId="7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95" fontId="0" fillId="7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78" fontId="0" fillId="7" borderId="1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7" borderId="2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7" borderId="4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82" fontId="0" fillId="7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6" fontId="0" fillId="7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78" fontId="0" fillId="5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8" fontId="0" fillId="0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319" fontId="0" fillId="0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72" fontId="0" fillId="0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320" fontId="0" fillId="0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91" fontId="0" fillId="0" borderId="1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17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17" fillId="0" borderId="0" xfId="0" applyFont="true" applyBorder="false" applyAlignment="true" applyProtection="true">
      <alignment horizontal="left" vertical="bottom" textRotation="0" wrapText="false" indent="0" shrinkToFit="false"/>
      <protection locked="true" hidden="true"/>
    </xf>
    <xf numFmtId="164" fontId="17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43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44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45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17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44" fillId="27" borderId="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17" fillId="4" borderId="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45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0" fillId="0" borderId="0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0" fillId="0" borderId="0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224" fontId="17" fillId="0" borderId="0" xfId="0" applyFont="true" applyBorder="false" applyAlignment="true" applyProtection="true">
      <alignment horizontal="left" vertical="bottom" textRotation="0" wrapText="false" indent="0" shrinkToFit="false"/>
      <protection locked="true" hidden="true"/>
    </xf>
    <xf numFmtId="164" fontId="46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47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7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8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true"/>
    </xf>
    <xf numFmtId="164" fontId="38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71" fontId="0" fillId="0" borderId="0" xfId="0" applyFont="true" applyBorder="false" applyAlignment="true" applyProtection="true">
      <alignment horizontal="right" vertical="bottom" textRotation="0" wrapText="false" indent="0" shrinkToFit="false"/>
      <protection locked="true" hidden="true"/>
    </xf>
    <xf numFmtId="164" fontId="0" fillId="3" borderId="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94" fontId="0" fillId="3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74" fontId="0" fillId="3" borderId="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94" fontId="0" fillId="5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74" fontId="0" fillId="5" borderId="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82" fontId="0" fillId="5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38" fillId="3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13" fontId="0" fillId="5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14" fontId="0" fillId="5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5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0" fillId="5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321" fontId="0" fillId="5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5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321" fontId="0" fillId="5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1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0" fillId="3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31" fontId="0" fillId="5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23" fontId="0" fillId="4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63" fontId="0" fillId="5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16" fontId="0" fillId="5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53" fontId="0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13" fontId="0" fillId="3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54" fontId="0" fillId="3" borderId="17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3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53" fontId="0" fillId="5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12" fontId="0" fillId="5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4" fontId="0" fillId="5" borderId="1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6" borderId="1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212" fontId="0" fillId="6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4" fontId="0" fillId="6" borderId="1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259" fontId="0" fillId="5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66" fontId="0" fillId="5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322" fontId="0" fillId="5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322" fontId="0" fillId="5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323" fontId="0" fillId="19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4" fontId="0" fillId="5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31" fontId="0" fillId="3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66" fontId="0" fillId="3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74" fontId="0" fillId="3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9" fontId="0" fillId="5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246" fontId="0" fillId="5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7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2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true"/>
    </xf>
    <xf numFmtId="164" fontId="0" fillId="2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63" fontId="0" fillId="5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3" fontId="0" fillId="3" borderId="17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54" fontId="0" fillId="3" borderId="0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265" fontId="0" fillId="6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246" fontId="0" fillId="5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8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34" fontId="49" fillId="0" borderId="0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234" fontId="50" fillId="0" borderId="0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51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52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43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53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50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12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234" fontId="50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50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292" fontId="17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54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210" fontId="54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75" fontId="50" fillId="0" borderId="0" xfId="0" applyFont="true" applyBorder="false" applyAlignment="true" applyProtection="true">
      <alignment horizontal="right" vertical="center" textRotation="0" wrapText="false" indent="0" shrinkToFit="false"/>
      <protection locked="true" hidden="true"/>
    </xf>
    <xf numFmtId="164" fontId="53" fillId="0" borderId="0" xfId="0" applyFont="true" applyBorder="false" applyAlignment="true" applyProtection="true">
      <alignment horizontal="right" vertical="bottom" textRotation="0" wrapText="false" indent="0" shrinkToFit="false"/>
      <protection locked="true" hidden="true"/>
    </xf>
    <xf numFmtId="175" fontId="50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74" fontId="54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78" fontId="54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82" fontId="50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210" fontId="50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34" fillId="0" borderId="0" xfId="0" applyFont="true" applyBorder="false" applyAlignment="true" applyProtection="true">
      <alignment horizontal="left" vertical="bottom" textRotation="0" wrapText="false" indent="0" shrinkToFit="false"/>
      <protection locked="true" hidden="true"/>
    </xf>
    <xf numFmtId="171" fontId="34" fillId="0" borderId="0" xfId="0" applyFont="true" applyBorder="false" applyAlignment="true" applyProtection="true">
      <alignment horizontal="left" vertical="bottom" textRotation="0" wrapText="false" indent="0" shrinkToFit="false"/>
      <protection locked="true" hidden="true"/>
    </xf>
  </cellXfs>
  <cellStyles count="6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3DEB3D"/>
      <rgbColor rgb="FF000080"/>
      <rgbColor rgb="FF7DA647"/>
      <rgbColor rgb="FF800080"/>
      <rgbColor rgb="FF33CC66"/>
      <rgbColor rgb="FFC0C0C0"/>
      <rgbColor rgb="FF808080"/>
      <rgbColor rgb="FF94BD5E"/>
      <rgbColor rgb="FFCC6633"/>
      <rgbColor rgb="FFFFFFCC"/>
      <rgbColor rgb="FFCCFFFF"/>
      <rgbColor rgb="FF660066"/>
      <rgbColor rgb="FFFF9966"/>
      <rgbColor rgb="FF0099FF"/>
      <rgbColor rgb="FFCCCCCC"/>
      <rgbColor rgb="FF000080"/>
      <rgbColor rgb="FFFF00FF"/>
      <rgbColor rgb="FFE6FF00"/>
      <rgbColor rgb="FF00B8FF"/>
      <rgbColor rgb="FF800080"/>
      <rgbColor rgb="FF800000"/>
      <rgbColor rgb="FF23FF23"/>
      <rgbColor rgb="FF0000FF"/>
      <rgbColor rgb="FF00DCFF"/>
      <rgbColor rgb="FFCFE7F5"/>
      <rgbColor rgb="FFE6E6E6"/>
      <rgbColor rgb="FFFFFF99"/>
      <rgbColor rgb="FF99CCFF"/>
      <rgbColor rgb="FFE6E64C"/>
      <rgbColor rgb="FFE6E6FF"/>
      <rgbColor rgb="FFFFCC99"/>
      <rgbColor rgb="FFFFFF66"/>
      <rgbColor rgb="FF23B8DC"/>
      <rgbColor rgb="FFAECF00"/>
      <rgbColor rgb="FFFFD320"/>
      <rgbColor rgb="FFFF950E"/>
      <rgbColor rgb="FFFF420E"/>
      <rgbColor rgb="FFB3B300"/>
      <rgbColor rgb="FFB3B3B3"/>
      <rgbColor rgb="FF004586"/>
      <rgbColor rgb="FF579D1C"/>
      <rgbColor rgb="FF003300"/>
      <rgbColor rgb="FF333300"/>
      <rgbColor rgb="FFDD4814"/>
      <rgbColor rgb="FFCCCC00"/>
      <rgbColor rgb="FF333399"/>
      <rgbColor rgb="FF4C4C4C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
</Relationships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fi-FI" sz="1300">
                <a:latin typeface="Arial"/>
              </a:rPr>
              <a:t>Porakaivon lämpötilaprofiili</a:t>
            </a:r>
          </a:p>
        </c:rich>
      </c:tx>
      <c:layout/>
    </c:title>
    <c:plotArea>
      <c:layout/>
      <c:scatterChart>
        <c:scatterStyle val="lineMarker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cat>
            <c:strRef>
              <c:f>BERGHEAT!$P$85:$P$106</c:f>
              <c:strCache>
                <c:ptCount val="22"/>
                <c:pt idx="0">
                  <c:v>Temp</c:v>
                </c:pt>
                <c:pt idx="1">
                  <c:v>3,456 C</c:v>
                </c:pt>
                <c:pt idx="2">
                  <c:v>4,497 C</c:v>
                </c:pt>
                <c:pt idx="3">
                  <c:v>4,870 C</c:v>
                </c:pt>
                <c:pt idx="4">
                  <c:v>5,081 C</c:v>
                </c:pt>
                <c:pt idx="5">
                  <c:v>5,229 C</c:v>
                </c:pt>
                <c:pt idx="6">
                  <c:v>5,279 C</c:v>
                </c:pt>
                <c:pt idx="7">
                  <c:v>5,329 C</c:v>
                </c:pt>
                <c:pt idx="8">
                  <c:v>5,379 C</c:v>
                </c:pt>
                <c:pt idx="9">
                  <c:v>5,429 C</c:v>
                </c:pt>
                <c:pt idx="10">
                  <c:v>5,479 C</c:v>
                </c:pt>
                <c:pt idx="11">
                  <c:v>5,529 C</c:v>
                </c:pt>
                <c:pt idx="12">
                  <c:v>5,579 C</c:v>
                </c:pt>
                <c:pt idx="13">
                  <c:v>5,629 C</c:v>
                </c:pt>
                <c:pt idx="14">
                  <c:v>5,679 C</c:v>
                </c:pt>
                <c:pt idx="15">
                  <c:v>5,729 C</c:v>
                </c:pt>
                <c:pt idx="16">
                  <c:v>5,779 C</c:v>
                </c:pt>
                <c:pt idx="17">
                  <c:v>5,829 C</c:v>
                </c:pt>
                <c:pt idx="18">
                  <c:v>5,879 C</c:v>
                </c:pt>
                <c:pt idx="19">
                  <c:v>5,929 C</c:v>
                </c:pt>
                <c:pt idx="20">
                  <c:v>5,979 C</c:v>
                </c:pt>
                <c:pt idx="21">
                  <c:v>6,029 C</c:v>
                </c:pt>
              </c:strCache>
            </c:strRef>
          </c:cat>
          <c:xVal>
            <c:numRef>
              <c:f>BERGHEAT!$P$85:$P$106</c:f>
              <c:numCache>
                <c:formatCode>General</c:formatCode>
                <c:ptCount val="22"/>
                <c:pt idx="0">
                  <c:v/>
                </c:pt>
                <c:pt idx="1">
                  <c:v>3.45559877308285</c:v>
                </c:pt>
                <c:pt idx="2">
                  <c:v>4.49726543974951</c:v>
                </c:pt>
                <c:pt idx="3">
                  <c:v>4.87008290006697</c:v>
                </c:pt>
                <c:pt idx="4">
                  <c:v>5.08137993636401</c:v>
                </c:pt>
                <c:pt idx="5">
                  <c:v>5.22946860165469</c:v>
                </c:pt>
                <c:pt idx="6">
                  <c:v>5.27946860165469</c:v>
                </c:pt>
                <c:pt idx="7">
                  <c:v>5.32946860165468</c:v>
                </c:pt>
                <c:pt idx="8">
                  <c:v>5.37946860165468</c:v>
                </c:pt>
                <c:pt idx="9">
                  <c:v>5.42946860165468</c:v>
                </c:pt>
                <c:pt idx="10">
                  <c:v>5.47946860165468</c:v>
                </c:pt>
                <c:pt idx="11">
                  <c:v>5.52946860165468</c:v>
                </c:pt>
                <c:pt idx="12">
                  <c:v>5.57946860165468</c:v>
                </c:pt>
                <c:pt idx="13">
                  <c:v>5.62946860165468</c:v>
                </c:pt>
                <c:pt idx="14">
                  <c:v>5.67946860165468</c:v>
                </c:pt>
                <c:pt idx="15">
                  <c:v>5.72946860165468</c:v>
                </c:pt>
                <c:pt idx="16">
                  <c:v>5.77946860165467</c:v>
                </c:pt>
                <c:pt idx="17">
                  <c:v>5.82946860165467</c:v>
                </c:pt>
                <c:pt idx="18">
                  <c:v>5.87946860165467</c:v>
                </c:pt>
                <c:pt idx="19">
                  <c:v>5.92946860165467</c:v>
                </c:pt>
                <c:pt idx="20">
                  <c:v>5.97946860165467</c:v>
                </c:pt>
                <c:pt idx="21">
                  <c:v>6.02946860165467</c:v>
                </c:pt>
              </c:numCache>
            </c:numRef>
          </c:xVal>
          <c:yVal>
            <c:numRef>
              <c:f>BERGHEAT!$O$85:$O$106</c:f>
              <c:numCache>
                <c:formatCode>General</c:formatCode>
                <c:ptCount val="22"/>
                <c:pt idx="0">
                  <c:v/>
                </c:pt>
                <c:pt idx="1">
                  <c:v>-0</c:v>
                </c:pt>
                <c:pt idx="2">
                  <c:v>-5</c:v>
                </c:pt>
                <c:pt idx="3">
                  <c:v>-10</c:v>
                </c:pt>
                <c:pt idx="4">
                  <c:v>-15</c:v>
                </c:pt>
                <c:pt idx="5">
                  <c:v>-20</c:v>
                </c:pt>
                <c:pt idx="6">
                  <c:v>-25</c:v>
                </c:pt>
                <c:pt idx="7">
                  <c:v>-30</c:v>
                </c:pt>
                <c:pt idx="8">
                  <c:v>-35</c:v>
                </c:pt>
                <c:pt idx="9">
                  <c:v>-40</c:v>
                </c:pt>
                <c:pt idx="10">
                  <c:v>-45</c:v>
                </c:pt>
                <c:pt idx="11">
                  <c:v>-50</c:v>
                </c:pt>
                <c:pt idx="12">
                  <c:v>-55</c:v>
                </c:pt>
                <c:pt idx="13">
                  <c:v>-60</c:v>
                </c:pt>
                <c:pt idx="14">
                  <c:v>-65</c:v>
                </c:pt>
                <c:pt idx="15">
                  <c:v>-70</c:v>
                </c:pt>
                <c:pt idx="16">
                  <c:v>-75</c:v>
                </c:pt>
                <c:pt idx="17">
                  <c:v>-80</c:v>
                </c:pt>
                <c:pt idx="18">
                  <c:v>-85</c:v>
                </c:pt>
                <c:pt idx="19">
                  <c:v>-90</c:v>
                </c:pt>
                <c:pt idx="20">
                  <c:v>-95</c:v>
                </c:pt>
                <c:pt idx="21">
                  <c:v>-100</c:v>
                </c:pt>
              </c:numCache>
            </c:numRef>
          </c:yVal>
        </c:ser>
        <c:axId val="90047364"/>
        <c:axId val="11811595"/>
      </c:scatterChart>
      <c:valAx>
        <c:axId val="90047364"/>
        <c:scaling>
          <c:orientation val="minMax"/>
        </c:scaling>
        <c:delete val="0"/>
        <c:axPos val="b"/>
        <c:majorGridlines>
          <c:spPr>
            <a:ln>
              <a:solidFill>
                <a:srgbClr val="4c4c4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fi-FI" sz="900">
                    <a:latin typeface="Arial"/>
                  </a:rPr>
                  <a:t>Lämpötila</a:t>
                </a:r>
              </a:p>
            </c:rich>
          </c:tx>
          <c:layout/>
        </c:title>
        <c:majorTickMark val="out"/>
        <c:minorTickMark val="none"/>
        <c:tickLblPos val="high"/>
        <c:spPr>
          <a:ln>
            <a:solidFill>
              <a:srgbClr val="b3b3b3"/>
            </a:solidFill>
          </a:ln>
        </c:spPr>
        <c:crossAx val="11811595"/>
        <c:crossesAt val="0"/>
        <c:majorUnit val="0.5"/>
      </c:valAx>
      <c:valAx>
        <c:axId val="11811595"/>
        <c:scaling>
          <c:orientation val="minMax"/>
          <c:max val="-0"/>
          <c:min val="-100"/>
        </c:scaling>
        <c:delete val="0"/>
        <c:axPos val="l"/>
        <c:majorGridlines>
          <c:spPr>
            <a:ln>
              <a:solidFill>
                <a:srgbClr val="4c4c4c"/>
              </a:solidFill>
            </a:ln>
          </c:spPr>
        </c:majorGridlines>
        <c:minorGridlines>
          <c:spPr>
            <a:ln>
              <a:solidFill>
                <a:srgbClr val="4c4c4c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fi-FI" sz="900">
                    <a:latin typeface="Arial"/>
                  </a:rPr>
                  <a:t>Syvyys</a:t>
                </a:r>
              </a:p>
            </c:rich>
          </c:tx>
          <c:layout/>
        </c:title>
        <c:majorTickMark val="out"/>
        <c:minorTickMark val="none"/>
        <c:tickLblPos val="low"/>
        <c:spPr>
          <a:ln>
            <a:solidFill>
              <a:srgbClr val="b3b3b3"/>
            </a:solidFill>
          </a:ln>
        </c:spPr>
        <c:crossAx val="90047364"/>
        <c:crossesAt val="0"/>
        <c:majorUnit val="10"/>
      </c:valAx>
      <c:spPr>
        <a:noFill/>
        <a:ln>
          <a:solidFill>
            <a:srgbClr val="b3b3b3"/>
          </a:solidFill>
        </a:ln>
      </c:spPr>
    </c:plotArea>
    <c:plotVisOnly val="1"/>
  </c:chart>
  <c:spPr>
    <a:solidFill>
      <a:srgbClr val="ffffff"/>
    </a:solidFill>
    <a:ln>
      <a:noFill/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fi-FI" sz="1300">
                <a:latin typeface="Arial"/>
              </a:rPr>
              <a:t>Kaivosta energiaa kWh  per metri vuodessa</a:t>
            </a:r>
          </a:p>
        </c:rich>
      </c:tx>
      <c:layout/>
    </c:title>
    <c:plotArea>
      <c:layout/>
      <c:scatterChart>
        <c:scatterStyle val="lineMarker"/>
        <c:varyColors val="0"/>
        <c:ser>
          <c:idx val="0"/>
          <c:order val="0"/>
          <c:tx>
            <c:strRef>
              <c:f>BERGHEAT!$O$108</c:f>
              <c:strCache>
                <c:ptCount val="1"/>
                <c:pt idx="0">
                  <c:v>Perus</c:v>
                </c:pt>
              </c:strCache>
            </c:strRef>
          </c:tx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cat>
            <c:strRef>
              <c:f>BERGHEAT!$N$108</c:f>
              <c:strCache>
                <c:ptCount val="1"/>
                <c:pt idx="0">
                  <c:v>Syvyys</c:v>
                </c:pt>
              </c:strCache>
            </c:strRef>
          </c:cat>
          <c:xVal>
            <c:numRef>
              <c:f>BERGHEAT!$O$108:$O$183</c:f>
              <c:numCache>
                <c:formatCode>General</c:formatCode>
                <c:ptCount val="76"/>
                <c:pt idx="0">
                  <c:v/>
                </c:pt>
                <c:pt idx="1">
                  <c:v>1</c:v>
                </c:pt>
                <c:pt idx="2">
                  <c:v>27.2439407269852</c:v>
                </c:pt>
                <c:pt idx="3">
                  <c:v>31.1859407269852</c:v>
                </c:pt>
                <c:pt idx="4">
                  <c:v>33.1569407269852</c:v>
                </c:pt>
                <c:pt idx="5">
                  <c:v>34.4709407269852</c:v>
                </c:pt>
                <c:pt idx="6">
                  <c:v>35.4564407269852</c:v>
                </c:pt>
                <c:pt idx="7">
                  <c:v>36.2448407269852</c:v>
                </c:pt>
                <c:pt idx="8">
                  <c:v>36.9018407269852</c:v>
                </c:pt>
                <c:pt idx="9">
                  <c:v>37.464983584128</c:v>
                </c:pt>
                <c:pt idx="10">
                  <c:v>37.957733584128</c:v>
                </c:pt>
                <c:pt idx="11">
                  <c:v>76.791467168256</c:v>
                </c:pt>
                <c:pt idx="12">
                  <c:v>77.579867168256</c:v>
                </c:pt>
                <c:pt idx="13">
                  <c:v>78.2965944409833</c:v>
                </c:pt>
                <c:pt idx="14">
                  <c:v>78.9535944409833</c:v>
                </c:pt>
                <c:pt idx="15">
                  <c:v>79.5600559794448</c:v>
                </c:pt>
                <c:pt idx="16">
                  <c:v>80.1231988365877</c:v>
                </c:pt>
                <c:pt idx="17">
                  <c:v>80.6487988365877</c:v>
                </c:pt>
                <c:pt idx="18">
                  <c:v>81.1415488365877</c:v>
                </c:pt>
                <c:pt idx="19">
                  <c:v>81.60531354247</c:v>
                </c:pt>
                <c:pt idx="20">
                  <c:v>82.0433135424701</c:v>
                </c:pt>
                <c:pt idx="21">
                  <c:v>82.4582609108911</c:v>
                </c:pt>
                <c:pt idx="22">
                  <c:v>82.6159409108911</c:v>
                </c:pt>
                <c:pt idx="23">
                  <c:v>82.7736209108911</c:v>
                </c:pt>
                <c:pt idx="24">
                  <c:v>82.9313009108911</c:v>
                </c:pt>
                <c:pt idx="25">
                  <c:v>83.0889809108911</c:v>
                </c:pt>
                <c:pt idx="26">
                  <c:v>83.2466609108911</c:v>
                </c:pt>
                <c:pt idx="27">
                  <c:v>83.4043409108911</c:v>
                </c:pt>
                <c:pt idx="28">
                  <c:v>83.5620209108911</c:v>
                </c:pt>
                <c:pt idx="29">
                  <c:v>83.7197009108911</c:v>
                </c:pt>
                <c:pt idx="30">
                  <c:v>83.8773809108911</c:v>
                </c:pt>
                <c:pt idx="31">
                  <c:v>84.0350609108911</c:v>
                </c:pt>
                <c:pt idx="32">
                  <c:v>84.192740910891</c:v>
                </c:pt>
                <c:pt idx="33">
                  <c:v>84.3504209108911</c:v>
                </c:pt>
                <c:pt idx="34">
                  <c:v>84.5081009108911</c:v>
                </c:pt>
                <c:pt idx="35">
                  <c:v>84.665780910891</c:v>
                </c:pt>
                <c:pt idx="36">
                  <c:v>84.823460910891</c:v>
                </c:pt>
                <c:pt idx="37">
                  <c:v>84.981140910891</c:v>
                </c:pt>
                <c:pt idx="38">
                  <c:v>85.1388209108911</c:v>
                </c:pt>
                <c:pt idx="39">
                  <c:v>85.296500910891</c:v>
                </c:pt>
                <c:pt idx="40">
                  <c:v>85.454180910891</c:v>
                </c:pt>
                <c:pt idx="41">
                  <c:v>85.611860910891</c:v>
                </c:pt>
                <c:pt idx="42">
                  <c:v>85.769540910891</c:v>
                </c:pt>
                <c:pt idx="43">
                  <c:v>85.927220910891</c:v>
                </c:pt>
                <c:pt idx="44">
                  <c:v>86.084900910891</c:v>
                </c:pt>
                <c:pt idx="45">
                  <c:v>86.242580910891</c:v>
                </c:pt>
                <c:pt idx="46">
                  <c:v>86.400260910891</c:v>
                </c:pt>
                <c:pt idx="47">
                  <c:v>86.557940910891</c:v>
                </c:pt>
                <c:pt idx="48">
                  <c:v>86.715620910891</c:v>
                </c:pt>
                <c:pt idx="49">
                  <c:v>86.873300910891</c:v>
                </c:pt>
                <c:pt idx="50">
                  <c:v>87.030980910891</c:v>
                </c:pt>
                <c:pt idx="51">
                  <c:v>87.188660910891</c:v>
                </c:pt>
                <c:pt idx="52">
                  <c:v>87.977060910891</c:v>
                </c:pt>
                <c:pt idx="53">
                  <c:v>88.765460910891</c:v>
                </c:pt>
                <c:pt idx="54">
                  <c:v>89.5538609108909</c:v>
                </c:pt>
                <c:pt idx="55">
                  <c:v>90.3422609108909</c:v>
                </c:pt>
                <c:pt idx="56">
                  <c:v>91.1306609108909</c:v>
                </c:pt>
                <c:pt idx="57">
                  <c:v>91.9190609108909</c:v>
                </c:pt>
                <c:pt idx="58">
                  <c:v>92.7074609108909</c:v>
                </c:pt>
                <c:pt idx="59">
                  <c:v>93.4958609108909</c:v>
                </c:pt>
                <c:pt idx="60">
                  <c:v>94.2842609108908</c:v>
                </c:pt>
                <c:pt idx="61">
                  <c:v>95.0726609108908</c:v>
                </c:pt>
                <c:pt idx="62">
                  <c:v>95.8610609108908</c:v>
                </c:pt>
                <c:pt idx="63">
                  <c:v>96.6494609108908</c:v>
                </c:pt>
                <c:pt idx="64">
                  <c:v>97.4378609108908</c:v>
                </c:pt>
                <c:pt idx="65">
                  <c:v>98.2262609108907</c:v>
                </c:pt>
                <c:pt idx="66">
                  <c:v>99.0146609108907</c:v>
                </c:pt>
                <c:pt idx="67">
                  <c:v>99.8030609108907</c:v>
                </c:pt>
                <c:pt idx="68">
                  <c:v>100.591460910891</c:v>
                </c:pt>
                <c:pt idx="69">
                  <c:v>101.379860910891</c:v>
                </c:pt>
                <c:pt idx="70">
                  <c:v>102.168260910891</c:v>
                </c:pt>
                <c:pt idx="71">
                  <c:v>102.325940910891</c:v>
                </c:pt>
                <c:pt idx="72">
                  <c:v>102.483620910891</c:v>
                </c:pt>
                <c:pt idx="73">
                  <c:v>102.641300910891</c:v>
                </c:pt>
                <c:pt idx="74">
                  <c:v>102.798980910891</c:v>
                </c:pt>
                <c:pt idx="75">
                  <c:v>102.956660910891</c:v>
                </c:pt>
              </c:numCache>
            </c:numRef>
          </c:xVal>
          <c:yVal>
            <c:numRef>
              <c:f>BERGHEAT!$N$108:$N$183</c:f>
              <c:numCache>
                <c:formatCode>General</c:formatCode>
                <c:ptCount val="76"/>
                <c:pt idx="0">
                  <c:v/>
                </c:pt>
                <c:pt idx="1">
                  <c:v>0</c:v>
                </c:pt>
                <c:pt idx="2">
                  <c:v>-1</c:v>
                </c:pt>
                <c:pt idx="3">
                  <c:v>-2</c:v>
                </c:pt>
                <c:pt idx="4">
                  <c:v>-3</c:v>
                </c:pt>
                <c:pt idx="5">
                  <c:v>-4</c:v>
                </c:pt>
                <c:pt idx="6">
                  <c:v>-5</c:v>
                </c:pt>
                <c:pt idx="7">
                  <c:v>-6</c:v>
                </c:pt>
                <c:pt idx="8">
                  <c:v>-7</c:v>
                </c:pt>
                <c:pt idx="9">
                  <c:v>-8</c:v>
                </c:pt>
                <c:pt idx="10">
                  <c:v>-9</c:v>
                </c:pt>
                <c:pt idx="11">
                  <c:v>-10</c:v>
                </c:pt>
                <c:pt idx="12">
                  <c:v>-11</c:v>
                </c:pt>
                <c:pt idx="13">
                  <c:v>-12</c:v>
                </c:pt>
                <c:pt idx="14">
                  <c:v>-13</c:v>
                </c:pt>
                <c:pt idx="15">
                  <c:v>-14</c:v>
                </c:pt>
                <c:pt idx="16">
                  <c:v>-15</c:v>
                </c:pt>
                <c:pt idx="17">
                  <c:v>-16</c:v>
                </c:pt>
                <c:pt idx="18">
                  <c:v>-17</c:v>
                </c:pt>
                <c:pt idx="19">
                  <c:v>-18</c:v>
                </c:pt>
                <c:pt idx="20">
                  <c:v>-19</c:v>
                </c:pt>
                <c:pt idx="21">
                  <c:v>-20</c:v>
                </c:pt>
                <c:pt idx="22">
                  <c:v>-21</c:v>
                </c:pt>
                <c:pt idx="23">
                  <c:v>-22</c:v>
                </c:pt>
                <c:pt idx="24">
                  <c:v>-23</c:v>
                </c:pt>
                <c:pt idx="25">
                  <c:v>-24</c:v>
                </c:pt>
                <c:pt idx="26">
                  <c:v>-25</c:v>
                </c:pt>
                <c:pt idx="27">
                  <c:v>-26</c:v>
                </c:pt>
                <c:pt idx="28">
                  <c:v>-27</c:v>
                </c:pt>
                <c:pt idx="29">
                  <c:v>-28</c:v>
                </c:pt>
                <c:pt idx="30">
                  <c:v>-29</c:v>
                </c:pt>
                <c:pt idx="31">
                  <c:v>-30</c:v>
                </c:pt>
                <c:pt idx="32">
                  <c:v>-31</c:v>
                </c:pt>
                <c:pt idx="33">
                  <c:v>-32</c:v>
                </c:pt>
                <c:pt idx="34">
                  <c:v>-33</c:v>
                </c:pt>
                <c:pt idx="35">
                  <c:v>-34</c:v>
                </c:pt>
                <c:pt idx="36">
                  <c:v>-35</c:v>
                </c:pt>
                <c:pt idx="37">
                  <c:v>-36</c:v>
                </c:pt>
                <c:pt idx="38">
                  <c:v>-37</c:v>
                </c:pt>
                <c:pt idx="39">
                  <c:v>-38</c:v>
                </c:pt>
                <c:pt idx="40">
                  <c:v>-39</c:v>
                </c:pt>
                <c:pt idx="41">
                  <c:v>-40</c:v>
                </c:pt>
                <c:pt idx="42">
                  <c:v>-41</c:v>
                </c:pt>
                <c:pt idx="43">
                  <c:v>-42</c:v>
                </c:pt>
                <c:pt idx="44">
                  <c:v>-43</c:v>
                </c:pt>
                <c:pt idx="45">
                  <c:v>-44</c:v>
                </c:pt>
                <c:pt idx="46">
                  <c:v>-45</c:v>
                </c:pt>
                <c:pt idx="47">
                  <c:v>-46</c:v>
                </c:pt>
                <c:pt idx="48">
                  <c:v>-47</c:v>
                </c:pt>
                <c:pt idx="49">
                  <c:v>-48</c:v>
                </c:pt>
                <c:pt idx="50">
                  <c:v>-49</c:v>
                </c:pt>
                <c:pt idx="51">
                  <c:v>-50</c:v>
                </c:pt>
                <c:pt idx="52">
                  <c:v>-55</c:v>
                </c:pt>
                <c:pt idx="53">
                  <c:v>-60</c:v>
                </c:pt>
                <c:pt idx="54">
                  <c:v>-65</c:v>
                </c:pt>
                <c:pt idx="55">
                  <c:v>-70</c:v>
                </c:pt>
                <c:pt idx="56">
                  <c:v>-75</c:v>
                </c:pt>
                <c:pt idx="57">
                  <c:v>-80</c:v>
                </c:pt>
                <c:pt idx="58">
                  <c:v>-85</c:v>
                </c:pt>
                <c:pt idx="59">
                  <c:v>-90</c:v>
                </c:pt>
                <c:pt idx="60">
                  <c:v>-95</c:v>
                </c:pt>
                <c:pt idx="61">
                  <c:v>-100</c:v>
                </c:pt>
                <c:pt idx="62">
                  <c:v>-105</c:v>
                </c:pt>
                <c:pt idx="63">
                  <c:v>-110</c:v>
                </c:pt>
                <c:pt idx="64">
                  <c:v>-115</c:v>
                </c:pt>
                <c:pt idx="65">
                  <c:v>-120</c:v>
                </c:pt>
                <c:pt idx="66">
                  <c:v>-125</c:v>
                </c:pt>
                <c:pt idx="67">
                  <c:v>-130</c:v>
                </c:pt>
                <c:pt idx="68">
                  <c:v>-135</c:v>
                </c:pt>
                <c:pt idx="69">
                  <c:v>-140</c:v>
                </c:pt>
                <c:pt idx="70">
                  <c:v>-145</c:v>
                </c:pt>
                <c:pt idx="71">
                  <c:v>-146</c:v>
                </c:pt>
                <c:pt idx="72">
                  <c:v>-147</c:v>
                </c:pt>
                <c:pt idx="73">
                  <c:v>-148</c:v>
                </c:pt>
                <c:pt idx="74">
                  <c:v>-149</c:v>
                </c:pt>
                <c:pt idx="75">
                  <c:v>-150</c:v>
                </c:pt>
              </c:numCache>
            </c:numRef>
          </c:yVal>
        </c:ser>
        <c:ser>
          <c:idx val="1"/>
          <c:order val="1"/>
          <c:tx>
            <c:strRef>
              <c:f>BERGHEAT!$P$108</c:f>
              <c:strCache>
                <c:ptCount val="1"/>
                <c:pt idx="0">
                  <c:v>Vara</c:v>
                </c:pt>
              </c:strCache>
            </c:strRef>
          </c:tx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cat>
            <c:strRef>
              <c:f>BERGHEAT!$N$108</c:f>
              <c:strCache>
                <c:ptCount val="1"/>
                <c:pt idx="0">
                  <c:v>Syvyys</c:v>
                </c:pt>
              </c:strCache>
            </c:strRef>
          </c:cat>
          <c:xVal>
            <c:numRef>
              <c:f>BERGHEAT!$P$108:$P$183</c:f>
              <c:numCache>
                <c:formatCode>General</c:formatCode>
                <c:ptCount val="76"/>
                <c:pt idx="0">
                  <c:v/>
                </c:pt>
                <c:pt idx="1">
                  <c:v>1</c:v>
                </c:pt>
                <c:pt idx="2">
                  <c:v>27.2439407269852</c:v>
                </c:pt>
                <c:pt idx="3">
                  <c:v>31.1859407269852</c:v>
                </c:pt>
                <c:pt idx="4">
                  <c:v>33.1569407269852</c:v>
                </c:pt>
                <c:pt idx="5">
                  <c:v>34.4709407269852</c:v>
                </c:pt>
                <c:pt idx="6">
                  <c:v>35.4564407269852</c:v>
                </c:pt>
                <c:pt idx="7">
                  <c:v>36.2448407269852</c:v>
                </c:pt>
                <c:pt idx="8">
                  <c:v>36.9018407269852</c:v>
                </c:pt>
                <c:pt idx="9">
                  <c:v>37.464983584128</c:v>
                </c:pt>
                <c:pt idx="10">
                  <c:v>37.957733584128</c:v>
                </c:pt>
                <c:pt idx="11">
                  <c:v>63.99288930688</c:v>
                </c:pt>
                <c:pt idx="12">
                  <c:v>64.64988930688</c:v>
                </c:pt>
                <c:pt idx="13">
                  <c:v>65.2471620341528</c:v>
                </c:pt>
                <c:pt idx="14">
                  <c:v>65.7946620341528</c:v>
                </c:pt>
                <c:pt idx="15">
                  <c:v>66.3000466495374</c:v>
                </c:pt>
                <c:pt idx="16">
                  <c:v>66.7693323638231</c:v>
                </c:pt>
                <c:pt idx="17">
                  <c:v>67.2073323638231</c:v>
                </c:pt>
                <c:pt idx="18">
                  <c:v>67.6179573638231</c:v>
                </c:pt>
                <c:pt idx="19">
                  <c:v>68.0044279520584</c:v>
                </c:pt>
                <c:pt idx="20">
                  <c:v>68.3694279520584</c:v>
                </c:pt>
                <c:pt idx="21">
                  <c:v>68.7152174257426</c:v>
                </c:pt>
                <c:pt idx="22">
                  <c:v>68.8466174257426</c:v>
                </c:pt>
                <c:pt idx="23">
                  <c:v>68.9780174257426</c:v>
                </c:pt>
                <c:pt idx="24">
                  <c:v>69.1094174257426</c:v>
                </c:pt>
                <c:pt idx="25">
                  <c:v>69.2408174257426</c:v>
                </c:pt>
                <c:pt idx="26">
                  <c:v>69.3722174257426</c:v>
                </c:pt>
                <c:pt idx="27">
                  <c:v>69.5036174257426</c:v>
                </c:pt>
                <c:pt idx="28">
                  <c:v>69.6350174257425</c:v>
                </c:pt>
                <c:pt idx="29">
                  <c:v>69.7664174257426</c:v>
                </c:pt>
                <c:pt idx="30">
                  <c:v>69.8978174257425</c:v>
                </c:pt>
                <c:pt idx="31">
                  <c:v>70.0292174257426</c:v>
                </c:pt>
                <c:pt idx="32">
                  <c:v>70.1606174257425</c:v>
                </c:pt>
                <c:pt idx="33">
                  <c:v>70.2920174257425</c:v>
                </c:pt>
                <c:pt idx="34">
                  <c:v>70.4234174257425</c:v>
                </c:pt>
                <c:pt idx="35">
                  <c:v>70.5548174257425</c:v>
                </c:pt>
                <c:pt idx="36">
                  <c:v>70.6862174257425</c:v>
                </c:pt>
                <c:pt idx="37">
                  <c:v>70.8176174257425</c:v>
                </c:pt>
                <c:pt idx="38">
                  <c:v>70.9490174257425</c:v>
                </c:pt>
                <c:pt idx="39">
                  <c:v>71.0804174257425</c:v>
                </c:pt>
                <c:pt idx="40">
                  <c:v>71.2118174257425</c:v>
                </c:pt>
                <c:pt idx="41">
                  <c:v>71.3432174257425</c:v>
                </c:pt>
                <c:pt idx="42">
                  <c:v>71.4746174257425</c:v>
                </c:pt>
                <c:pt idx="43">
                  <c:v>71.6060174257425</c:v>
                </c:pt>
                <c:pt idx="44">
                  <c:v>71.7374174257425</c:v>
                </c:pt>
                <c:pt idx="45">
                  <c:v>71.8688174257425</c:v>
                </c:pt>
                <c:pt idx="46">
                  <c:v>72.0002174257425</c:v>
                </c:pt>
                <c:pt idx="47">
                  <c:v>72.1316174257425</c:v>
                </c:pt>
                <c:pt idx="48">
                  <c:v>72.2630174257425</c:v>
                </c:pt>
                <c:pt idx="49">
                  <c:v>72.3944174257425</c:v>
                </c:pt>
                <c:pt idx="50">
                  <c:v>72.5258174257425</c:v>
                </c:pt>
                <c:pt idx="51">
                  <c:v>72.6572174257425</c:v>
                </c:pt>
                <c:pt idx="52">
                  <c:v>73.3142174257425</c:v>
                </c:pt>
                <c:pt idx="53">
                  <c:v>73.9712174257425</c:v>
                </c:pt>
                <c:pt idx="54">
                  <c:v>74.6282174257425</c:v>
                </c:pt>
                <c:pt idx="55">
                  <c:v>75.2852174257424</c:v>
                </c:pt>
                <c:pt idx="56">
                  <c:v>75.9422174257424</c:v>
                </c:pt>
                <c:pt idx="57">
                  <c:v>76.5992174257424</c:v>
                </c:pt>
                <c:pt idx="58">
                  <c:v>77.2562174257424</c:v>
                </c:pt>
                <c:pt idx="59">
                  <c:v>77.9132174257424</c:v>
                </c:pt>
                <c:pt idx="60">
                  <c:v>78.5702174257424</c:v>
                </c:pt>
                <c:pt idx="61">
                  <c:v>79.2272174257424</c:v>
                </c:pt>
                <c:pt idx="62">
                  <c:v>79.8842174257423</c:v>
                </c:pt>
                <c:pt idx="63">
                  <c:v>80.5412174257423</c:v>
                </c:pt>
                <c:pt idx="64">
                  <c:v>81.1982174257423</c:v>
                </c:pt>
                <c:pt idx="65">
                  <c:v>81.8552174257423</c:v>
                </c:pt>
                <c:pt idx="66">
                  <c:v>82.5122174257423</c:v>
                </c:pt>
                <c:pt idx="67">
                  <c:v>83.1692174257423</c:v>
                </c:pt>
                <c:pt idx="68">
                  <c:v>83.8262174257422</c:v>
                </c:pt>
                <c:pt idx="69">
                  <c:v>84.4832174257422</c:v>
                </c:pt>
                <c:pt idx="70">
                  <c:v>85.1402174257422</c:v>
                </c:pt>
                <c:pt idx="71">
                  <c:v>85.2716174257422</c:v>
                </c:pt>
                <c:pt idx="72">
                  <c:v>85.4030174257422</c:v>
                </c:pt>
                <c:pt idx="73">
                  <c:v>85.5344174257422</c:v>
                </c:pt>
                <c:pt idx="74">
                  <c:v>85.6658174257422</c:v>
                </c:pt>
                <c:pt idx="75">
                  <c:v>85.7972174257422</c:v>
                </c:pt>
              </c:numCache>
            </c:numRef>
          </c:xVal>
          <c:yVal>
            <c:numRef>
              <c:f>BERGHEAT!$N$109:$N$183</c:f>
              <c:numCache>
                <c:formatCode>General</c:formatCode>
                <c:ptCount val="75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-3</c:v>
                </c:pt>
                <c:pt idx="4">
                  <c:v>-4</c:v>
                </c:pt>
                <c:pt idx="5">
                  <c:v>-5</c:v>
                </c:pt>
                <c:pt idx="6">
                  <c:v>-6</c:v>
                </c:pt>
                <c:pt idx="7">
                  <c:v>-7</c:v>
                </c:pt>
                <c:pt idx="8">
                  <c:v>-8</c:v>
                </c:pt>
                <c:pt idx="9">
                  <c:v>-9</c:v>
                </c:pt>
                <c:pt idx="10">
                  <c:v>-10</c:v>
                </c:pt>
                <c:pt idx="11">
                  <c:v>-11</c:v>
                </c:pt>
                <c:pt idx="12">
                  <c:v>-12</c:v>
                </c:pt>
                <c:pt idx="13">
                  <c:v>-13</c:v>
                </c:pt>
                <c:pt idx="14">
                  <c:v>-14</c:v>
                </c:pt>
                <c:pt idx="15">
                  <c:v>-15</c:v>
                </c:pt>
                <c:pt idx="16">
                  <c:v>-16</c:v>
                </c:pt>
                <c:pt idx="17">
                  <c:v>-17</c:v>
                </c:pt>
                <c:pt idx="18">
                  <c:v>-18</c:v>
                </c:pt>
                <c:pt idx="19">
                  <c:v>-19</c:v>
                </c:pt>
                <c:pt idx="20">
                  <c:v>-20</c:v>
                </c:pt>
                <c:pt idx="21">
                  <c:v>-21</c:v>
                </c:pt>
                <c:pt idx="22">
                  <c:v>-22</c:v>
                </c:pt>
                <c:pt idx="23">
                  <c:v>-23</c:v>
                </c:pt>
                <c:pt idx="24">
                  <c:v>-24</c:v>
                </c:pt>
                <c:pt idx="25">
                  <c:v>-25</c:v>
                </c:pt>
                <c:pt idx="26">
                  <c:v>-26</c:v>
                </c:pt>
                <c:pt idx="27">
                  <c:v>-27</c:v>
                </c:pt>
                <c:pt idx="28">
                  <c:v>-28</c:v>
                </c:pt>
                <c:pt idx="29">
                  <c:v>-29</c:v>
                </c:pt>
                <c:pt idx="30">
                  <c:v>-30</c:v>
                </c:pt>
                <c:pt idx="31">
                  <c:v>-31</c:v>
                </c:pt>
                <c:pt idx="32">
                  <c:v>-32</c:v>
                </c:pt>
                <c:pt idx="33">
                  <c:v>-33</c:v>
                </c:pt>
                <c:pt idx="34">
                  <c:v>-34</c:v>
                </c:pt>
                <c:pt idx="35">
                  <c:v>-35</c:v>
                </c:pt>
                <c:pt idx="36">
                  <c:v>-36</c:v>
                </c:pt>
                <c:pt idx="37">
                  <c:v>-37</c:v>
                </c:pt>
                <c:pt idx="38">
                  <c:v>-38</c:v>
                </c:pt>
                <c:pt idx="39">
                  <c:v>-39</c:v>
                </c:pt>
                <c:pt idx="40">
                  <c:v>-40</c:v>
                </c:pt>
                <c:pt idx="41">
                  <c:v>-41</c:v>
                </c:pt>
                <c:pt idx="42">
                  <c:v>-42</c:v>
                </c:pt>
                <c:pt idx="43">
                  <c:v>-43</c:v>
                </c:pt>
                <c:pt idx="44">
                  <c:v>-44</c:v>
                </c:pt>
                <c:pt idx="45">
                  <c:v>-45</c:v>
                </c:pt>
                <c:pt idx="46">
                  <c:v>-46</c:v>
                </c:pt>
                <c:pt idx="47">
                  <c:v>-47</c:v>
                </c:pt>
                <c:pt idx="48">
                  <c:v>-48</c:v>
                </c:pt>
                <c:pt idx="49">
                  <c:v>-49</c:v>
                </c:pt>
                <c:pt idx="50">
                  <c:v>-50</c:v>
                </c:pt>
                <c:pt idx="51">
                  <c:v>-55</c:v>
                </c:pt>
                <c:pt idx="52">
                  <c:v>-60</c:v>
                </c:pt>
                <c:pt idx="53">
                  <c:v>-65</c:v>
                </c:pt>
                <c:pt idx="54">
                  <c:v>-70</c:v>
                </c:pt>
                <c:pt idx="55">
                  <c:v>-75</c:v>
                </c:pt>
                <c:pt idx="56">
                  <c:v>-80</c:v>
                </c:pt>
                <c:pt idx="57">
                  <c:v>-85</c:v>
                </c:pt>
                <c:pt idx="58">
                  <c:v>-90</c:v>
                </c:pt>
                <c:pt idx="59">
                  <c:v>-95</c:v>
                </c:pt>
                <c:pt idx="60">
                  <c:v>-100</c:v>
                </c:pt>
                <c:pt idx="61">
                  <c:v>-105</c:v>
                </c:pt>
                <c:pt idx="62">
                  <c:v>-110</c:v>
                </c:pt>
                <c:pt idx="63">
                  <c:v>-115</c:v>
                </c:pt>
                <c:pt idx="64">
                  <c:v>-120</c:v>
                </c:pt>
                <c:pt idx="65">
                  <c:v>-125</c:v>
                </c:pt>
                <c:pt idx="66">
                  <c:v>-130</c:v>
                </c:pt>
                <c:pt idx="67">
                  <c:v>-135</c:v>
                </c:pt>
                <c:pt idx="68">
                  <c:v>-140</c:v>
                </c:pt>
                <c:pt idx="69">
                  <c:v>-145</c:v>
                </c:pt>
                <c:pt idx="70">
                  <c:v>-146</c:v>
                </c:pt>
                <c:pt idx="71">
                  <c:v>-147</c:v>
                </c:pt>
                <c:pt idx="72">
                  <c:v>-148</c:v>
                </c:pt>
                <c:pt idx="73">
                  <c:v>-149</c:v>
                </c:pt>
                <c:pt idx="74">
                  <c:v>-150</c:v>
                </c:pt>
              </c:numCache>
            </c:numRef>
          </c:yVal>
        </c:ser>
        <c:axId val="52306213"/>
        <c:axId val="83441906"/>
      </c:scatterChart>
      <c:valAx>
        <c:axId val="52306213"/>
        <c:scaling>
          <c:orientation val="minMax"/>
        </c:scaling>
        <c:delete val="0"/>
        <c:axPos val="b"/>
        <c:majorGridlines>
          <c:spPr>
            <a:ln>
              <a:solidFill>
                <a:srgbClr val="b3b3b3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fi-FI" sz="900">
                    <a:latin typeface="Arial"/>
                  </a:rPr>
                  <a:t>Energia</a:t>
                </a:r>
              </a:p>
            </c:rich>
          </c:tx>
          <c:layout/>
        </c:title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crossAx val="83441906"/>
        <c:crossesAt val="0"/>
      </c:valAx>
      <c:valAx>
        <c:axId val="83441906"/>
        <c:scaling>
          <c:orientation val="minMax"/>
          <c:max val="0"/>
          <c:min val="-150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fi-FI" sz="900">
                    <a:latin typeface="Arial"/>
                  </a:rPr>
                  <a:t>Syvyys</a:t>
                </a:r>
              </a:p>
            </c:rich>
          </c:tx>
          <c:layout/>
        </c:title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crossAx val="52306213"/>
        <c:crossesAt val="0"/>
        <c:majorUnit val="10"/>
      </c:valAx>
      <c:spPr>
        <a:noFill/>
        <a:ln>
          <a:solidFill>
            <a:srgbClr val="b3b3b3"/>
          </a:solidFill>
        </a:ln>
      </c:spPr>
    </c:plotArea>
    <c:legend>
      <c:legendPos val="r"/>
      <c:overlay val="0"/>
      <c:spPr>
        <a:noFill/>
        <a:ln>
          <a:noFill/>
        </a:ln>
      </c:spPr>
    </c:legend>
    <c:plotVisOnly val="1"/>
  </c:chart>
  <c:spPr>
    <a:solidFill>
      <a:srgbClr val="ffffff"/>
    </a:solidFill>
    <a:ln>
      <a:noFill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2.jpeg"/><Relationship Id="rId2" Type="http://schemas.openxmlformats.org/officeDocument/2006/relationships/chart" Target="../charts/chart3.xml"/><Relationship Id="rId3" Type="http://schemas.openxmlformats.org/officeDocument/2006/relationships/chart" Target="../charts/chart4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8</xdr:col>
      <xdr:colOff>38880</xdr:colOff>
      <xdr:row>79</xdr:row>
      <xdr:rowOff>46440</xdr:rowOff>
    </xdr:from>
    <xdr:to>
      <xdr:col>12</xdr:col>
      <xdr:colOff>374400</xdr:colOff>
      <xdr:row>103</xdr:row>
      <xdr:rowOff>4680</xdr:rowOff>
    </xdr:to>
    <xdr:pic>
      <xdr:nvPicPr>
        <xdr:cNvPr id="0" name="Graphics 1" descr=""/>
        <xdr:cNvPicPr/>
      </xdr:nvPicPr>
      <xdr:blipFill>
        <a:blip r:embed="rId1"/>
        <a:stretch>
          <a:fillRect/>
        </a:stretch>
      </xdr:blipFill>
      <xdr:spPr>
        <a:xfrm>
          <a:off x="10108440" y="14263200"/>
          <a:ext cx="2559240" cy="4289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445680</xdr:colOff>
      <xdr:row>79</xdr:row>
      <xdr:rowOff>82080</xdr:rowOff>
    </xdr:from>
    <xdr:to>
      <xdr:col>16</xdr:col>
      <xdr:colOff>481680</xdr:colOff>
      <xdr:row>112</xdr:row>
      <xdr:rowOff>1800</xdr:rowOff>
    </xdr:to>
    <xdr:graphicFrame>
      <xdr:nvGraphicFramePr>
        <xdr:cNvPr id="1" name=""/>
        <xdr:cNvGraphicFramePr/>
      </xdr:nvGraphicFramePr>
      <xdr:xfrm>
        <a:off x="12738960" y="14298840"/>
        <a:ext cx="3771720" cy="60343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25200</xdr:colOff>
      <xdr:row>113</xdr:row>
      <xdr:rowOff>68040</xdr:rowOff>
    </xdr:from>
    <xdr:to>
      <xdr:col>16</xdr:col>
      <xdr:colOff>461520</xdr:colOff>
      <xdr:row>173</xdr:row>
      <xdr:rowOff>36720</xdr:rowOff>
    </xdr:to>
    <xdr:graphicFrame>
      <xdr:nvGraphicFramePr>
        <xdr:cNvPr id="2" name=""/>
        <xdr:cNvGraphicFramePr/>
      </xdr:nvGraphicFramePr>
      <xdr:xfrm>
        <a:off x="10965600" y="20597400"/>
        <a:ext cx="5524920" cy="108309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http://bergheat.ingalsuo.fi/Bergheat46.xls" TargetMode="External"/><Relationship Id="rId2" Type="http://schemas.openxmlformats.org/officeDocument/2006/relationships/hyperlink" Target="http://bergheat.ingalsuo.fi/BergheatOhje.pdf" TargetMode="External"/><Relationship Id="rId3" Type="http://schemas.openxmlformats.org/officeDocument/2006/relationships/hyperlink" Target="http://bergheat.ingalsuo.fi/Bergheat46.ods" TargetMode="External"/><Relationship Id="rId4" Type="http://schemas.openxmlformats.org/officeDocument/2006/relationships/hyperlink" Target="http://ilmatieteenlaitos.fi/lammitystarveluvut" TargetMode="External"/><Relationship Id="rId5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tabColor rgb="00FFFFFF"/>
    <pageSetUpPr fitToPage="false"/>
  </sheetPr>
  <dimension ref="1:1514"/>
  <sheetViews>
    <sheetView windowProtection="false" showFormulas="false" showGridLines="true" showRowColHeaders="true" showZeros="true" rightToLeft="false" tabSelected="true" showOutlineSymbols="true" defaultGridColor="true" view="normal" topLeftCell="A1" colorId="64" zoomScale="75" zoomScaleNormal="75" zoomScalePageLayoutView="100" workbookViewId="0">
      <selection pane="topLeft" activeCell="E16" activeCellId="0" sqref="E16"/>
    </sheetView>
  </sheetViews>
  <sheetFormatPr defaultRowHeight="12.75"/>
  <cols>
    <col collapsed="false" hidden="false" max="1" min="1" style="1" width="2.53571428571429"/>
    <col collapsed="false" hidden="false" max="2" min="2" style="1" width="18.9897959183673"/>
    <col collapsed="false" hidden="false" max="3" min="3" style="1" width="22.1224489795918"/>
    <col collapsed="false" hidden="false" max="4" min="4" style="2" width="19.6632653061224"/>
    <col collapsed="false" hidden="false" max="5" min="5" style="2" width="23.5051020408163"/>
    <col collapsed="false" hidden="false" max="6" min="6" style="2" width="22.3928571428571"/>
    <col collapsed="false" hidden="false" max="7" min="7" style="1" width="20.0408163265306"/>
    <col collapsed="false" hidden="false" max="8" min="8" style="1" width="13.4642857142857"/>
    <col collapsed="false" hidden="false" max="9" min="9" style="1" width="5.12755102040816"/>
    <col collapsed="false" hidden="false" max="10" min="10" style="2" width="7.20918367346939"/>
    <col collapsed="false" hidden="false" max="11" min="11" style="2" width="12.3928571428571"/>
    <col collapsed="false" hidden="false" max="12" min="12" style="1" width="6.78571428571429"/>
    <col collapsed="false" hidden="false" max="13" min="13" style="2" width="8.49489795918367"/>
    <col collapsed="false" hidden="false" max="14" min="14" style="2" width="14.3163265306122"/>
    <col collapsed="false" hidden="false" max="15" min="15" style="2" width="15.1734693877551"/>
    <col collapsed="false" hidden="false" max="16" min="16" style="2" width="14.9591836734694"/>
    <col collapsed="false" hidden="false" max="17" min="17" style="1" width="15.1734693877551"/>
    <col collapsed="false" hidden="false" max="18" min="18" style="1" width="14.265306122449"/>
    <col collapsed="false" hidden="false" max="19" min="19" style="1" width="16.6122448979592"/>
    <col collapsed="false" hidden="false" max="20" min="20" style="1" width="14.7755102040816"/>
    <col collapsed="false" hidden="false" max="21" min="21" style="1" width="13.1683673469388"/>
    <col collapsed="false" hidden="false" max="22" min="22" style="3" width="13.9234693877551"/>
    <col collapsed="false" hidden="false" max="23" min="23" style="1" width="13.5255102040816"/>
    <col collapsed="false" hidden="false" max="24" min="24" style="1" width="13.734693877551"/>
    <col collapsed="false" hidden="false" max="25" min="25" style="1" width="12.2755102040816"/>
    <col collapsed="false" hidden="false" max="26" min="26" style="1" width="12.6887755102041"/>
    <col collapsed="false" hidden="false" max="27" min="27" style="1" width="7.85714285714286"/>
    <col collapsed="false" hidden="false" max="28" min="28" style="1" width="7.04591836734694"/>
    <col collapsed="false" hidden="true" max="45" min="29" style="1" width="0"/>
    <col collapsed="false" hidden="true" max="47" min="46" style="0" width="0"/>
    <col collapsed="false" hidden="true" max="48" min="48" style="4" width="0"/>
    <col collapsed="false" hidden="true" max="67" min="49" style="0" width="0"/>
    <col collapsed="false" hidden="true" max="69" min="68" style="1" width="0"/>
    <col collapsed="false" hidden="false" max="264" min="70" style="1" width="11.5663265306122"/>
    <col collapsed="false" hidden="false" max="1025" min="265" style="0" width="11.5663265306122"/>
  </cols>
  <sheetData>
    <row r="1" customFormat="false" ht="15.75" hidden="false" customHeight="true" outlineLevel="0" collapsed="false">
      <c r="A1" s="5"/>
      <c r="B1" s="6" t="s">
        <v>0</v>
      </c>
      <c r="C1" s="7" t="s">
        <v>1</v>
      </c>
      <c r="D1" s="7" t="s">
        <v>2</v>
      </c>
      <c r="E1" s="7" t="s">
        <v>3</v>
      </c>
      <c r="F1" s="7" t="s">
        <v>4</v>
      </c>
      <c r="G1" s="7" t="s">
        <v>5</v>
      </c>
      <c r="H1" s="7" t="s">
        <v>6</v>
      </c>
      <c r="I1" s="8"/>
      <c r="J1" s="8"/>
      <c r="K1" s="8"/>
      <c r="L1" s="5"/>
      <c r="M1" s="8"/>
      <c r="N1" s="9"/>
      <c r="O1" s="8"/>
      <c r="P1" s="8"/>
      <c r="Q1" s="5"/>
      <c r="R1" s="5"/>
      <c r="S1" s="5"/>
      <c r="T1" s="5"/>
      <c r="U1" s="5"/>
      <c r="V1" s="10"/>
      <c r="W1" s="5"/>
      <c r="X1" s="5"/>
      <c r="Y1" s="5"/>
      <c r="Z1" s="5"/>
      <c r="AA1" s="5"/>
      <c r="AB1" s="5"/>
      <c r="AC1" s="11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8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11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</row>
    <row r="2" customFormat="false" ht="14.15" hidden="false" customHeight="true" outlineLevel="0" collapsed="false">
      <c r="A2" s="5"/>
      <c r="B2" s="12" t="s">
        <v>7</v>
      </c>
      <c r="C2" s="13" t="str">
        <f aca="false">Rakennukset!$B$7</f>
        <v>Kellarikerros</v>
      </c>
      <c r="D2" s="14" t="n">
        <f aca="false">Rakennukset!$D$7</f>
        <v>5792.67930210763</v>
      </c>
      <c r="E2" s="15" t="n">
        <f aca="false">IF(Rakennukset!$B$21&lt;1,0,Rakennukset!$B$49)</f>
        <v>61.2156</v>
      </c>
      <c r="F2" s="16" t="n">
        <f aca="false">IF(Rakennukset!$B$21&lt;1,0,Rakennukset!B48)</f>
        <v>70.6464</v>
      </c>
      <c r="G2" s="17" t="n">
        <f aca="false">IF(Rakennukset!$B$21&lt;1,0,Rakennukset!$B$46)</f>
        <v>153.039</v>
      </c>
      <c r="H2" s="18" t="n">
        <f aca="false">Rakennukset!E7/1000</f>
        <v>2.3035935724</v>
      </c>
      <c r="I2" s="5"/>
      <c r="J2" s="19" t="s">
        <v>8</v>
      </c>
      <c r="K2" s="19"/>
      <c r="L2" s="19"/>
      <c r="M2" s="19"/>
      <c r="N2" s="19"/>
      <c r="O2" s="19"/>
      <c r="P2" s="19"/>
      <c r="Q2" s="19"/>
      <c r="R2" s="19"/>
      <c r="S2" s="19"/>
      <c r="T2" s="5"/>
      <c r="U2" s="5"/>
      <c r="V2" s="10"/>
      <c r="W2" s="5"/>
      <c r="X2" s="5"/>
      <c r="Y2" s="5"/>
      <c r="Z2" s="5"/>
      <c r="AA2" s="5"/>
      <c r="AB2" s="5"/>
      <c r="AC2" s="11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8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11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</row>
    <row r="3" customFormat="false" ht="14.15" hidden="false" customHeight="true" outlineLevel="0" collapsed="false">
      <c r="A3" s="5"/>
      <c r="B3" s="12"/>
      <c r="C3" s="13" t="str">
        <f aca="false">Rakennukset!$B$8</f>
        <v>Talo</v>
      </c>
      <c r="D3" s="14" t="n">
        <f aca="false">Rakennukset!$D$8</f>
        <v>12179.6100098297</v>
      </c>
      <c r="E3" s="15" t="n">
        <f aca="false">IF(Rakennukset!$C$21&lt;1,0,Rakennukset!$C$49)</f>
        <v>65.0364</v>
      </c>
      <c r="F3" s="16" t="n">
        <f aca="false">IF(Rakennukset!$C$21&lt;1,0,Rakennukset!C48)</f>
        <v>72</v>
      </c>
      <c r="G3" s="17" t="n">
        <f aca="false">IF(Rakennukset!$C$21&lt;1,0,Rakennukset!$C$46)</f>
        <v>188.60556</v>
      </c>
      <c r="H3" s="18" t="n">
        <f aca="false">Rakennukset!E8/1000</f>
        <v>3.78054960168</v>
      </c>
      <c r="I3" s="5"/>
      <c r="J3" s="20" t="s">
        <v>9</v>
      </c>
      <c r="K3" s="20"/>
      <c r="L3" s="20"/>
      <c r="M3" s="20"/>
      <c r="N3" s="20"/>
      <c r="O3" s="20"/>
      <c r="P3" s="20"/>
      <c r="Q3" s="21" t="s">
        <v>10</v>
      </c>
      <c r="R3" s="21"/>
      <c r="S3" s="21"/>
      <c r="T3" s="5"/>
      <c r="U3" s="5"/>
      <c r="V3" s="10"/>
      <c r="W3" s="5"/>
      <c r="X3" s="5"/>
      <c r="Y3" s="5"/>
      <c r="Z3" s="5"/>
      <c r="AA3" s="5"/>
      <c r="AB3" s="5"/>
      <c r="AC3" s="11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8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11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</row>
    <row r="4" customFormat="false" ht="14.15" hidden="false" customHeight="true" outlineLevel="0" collapsed="false">
      <c r="A4" s="5"/>
      <c r="B4" s="12"/>
      <c r="C4" s="13" t="str">
        <f aca="false">Rakennukset!$B$9</f>
        <v>Talon yläkerta</v>
      </c>
      <c r="D4" s="14" t="n">
        <f aca="false">Rakennukset!$D$9</f>
        <v>7360.64591961292</v>
      </c>
      <c r="E4" s="15" t="n">
        <f aca="false">IF(Rakennukset!$D$21&lt;1,0,Rakennukset!$D$49)</f>
        <v>35.0064</v>
      </c>
      <c r="F4" s="16" t="n">
        <f aca="false">IF(Rakennukset!$D$21&lt;1,0,Rakennukset!D48)</f>
        <v>40.5</v>
      </c>
      <c r="G4" s="17" t="n">
        <f aca="false">IF(Rakennukset!$D$21&lt;1,0,Rakennukset!$D$46)</f>
        <v>77.01408</v>
      </c>
      <c r="H4" s="18" t="n">
        <f aca="false">Rakennukset!E9/1000</f>
        <v>2.284743680384</v>
      </c>
      <c r="I4" s="5"/>
      <c r="J4" s="22" t="s">
        <v>11</v>
      </c>
      <c r="K4" s="22"/>
      <c r="L4" s="22"/>
      <c r="M4" s="23" t="str">
        <f aca="false">IF(G9="Kyllä","Laskelma perustuu rakennetietoihin.","Laskelma perustuu annettuihin kulutustietoihin.")</f>
        <v>Laskelma perustuu annettuihin kulutustietoihin.</v>
      </c>
      <c r="N4" s="23"/>
      <c r="O4" s="23"/>
      <c r="P4" s="23"/>
      <c r="Q4" s="24" t="s">
        <v>12</v>
      </c>
      <c r="R4" s="24"/>
      <c r="S4" s="24"/>
      <c r="T4" s="19" t="s">
        <v>13</v>
      </c>
      <c r="U4" s="19"/>
      <c r="V4" s="19"/>
      <c r="W4" s="19"/>
      <c r="X4" s="19"/>
      <c r="Y4" s="19"/>
      <c r="Z4" s="19"/>
      <c r="AA4" s="5"/>
      <c r="AB4" s="5"/>
      <c r="AC4" s="11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8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11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</row>
    <row r="5" customFormat="false" ht="14.15" hidden="false" customHeight="true" outlineLevel="0" collapsed="false">
      <c r="A5" s="5"/>
      <c r="B5" s="12"/>
      <c r="C5" s="25" t="str">
        <f aca="false">Rakennukset!$B$10</f>
        <v/>
      </c>
      <c r="D5" s="26" t="n">
        <f aca="false">Rakennukset!$D$10</f>
        <v>0</v>
      </c>
      <c r="E5" s="15" t="n">
        <f aca="false">IF(Rakennukset!$E$22&lt;1,0,Rakennukset!$E$49)</f>
        <v>0.0001</v>
      </c>
      <c r="F5" s="16" t="n">
        <f aca="false">IF(Rakennukset!$E$22=0,0,Rakennukset!E48)</f>
        <v>0</v>
      </c>
      <c r="G5" s="17" t="n">
        <f aca="false">IF(Rakennukset!$E$21&lt;1,0,Rakennukset!$E$46)</f>
        <v>0</v>
      </c>
      <c r="H5" s="18" t="n">
        <f aca="false">Rakennukset!E10/1000</f>
        <v>0</v>
      </c>
      <c r="I5" s="5"/>
      <c r="J5" s="27" t="str">
        <f aca="false">E15</f>
        <v>Asuinrakennus  Matti Maalämmittäjä</v>
      </c>
      <c r="K5" s="27"/>
      <c r="L5" s="27"/>
      <c r="M5" s="27"/>
      <c r="N5" s="27"/>
      <c r="O5" s="28" t="str">
        <f aca="false">$F$17&amp;" "&amp;$G$17</f>
        <v>40100 Jyväskylä</v>
      </c>
      <c r="P5" s="28"/>
      <c r="Q5" s="28"/>
      <c r="R5" s="29" t="s">
        <v>14</v>
      </c>
      <c r="S5" s="30" t="n">
        <f aca="true">TODAY()</f>
        <v>40404</v>
      </c>
      <c r="T5" s="20" t="s">
        <v>15</v>
      </c>
      <c r="U5" s="20"/>
      <c r="V5" s="20"/>
      <c r="W5" s="20"/>
      <c r="X5" s="20"/>
      <c r="Y5" s="20"/>
      <c r="Z5" s="20"/>
      <c r="AA5" s="31"/>
      <c r="AB5" s="31"/>
      <c r="AC5" s="32"/>
      <c r="AD5" s="31"/>
      <c r="AE5" s="31"/>
      <c r="AF5" s="31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8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11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</row>
    <row r="6" customFormat="false" ht="14.15" hidden="false" customHeight="true" outlineLevel="0" collapsed="false">
      <c r="A6" s="5"/>
      <c r="B6" s="12"/>
      <c r="C6" s="33" t="str">
        <f aca="false">Rakennukset!B11</f>
        <v/>
      </c>
      <c r="D6" s="34" t="n">
        <f aca="false">Rakennukset!D11</f>
        <v>0</v>
      </c>
      <c r="E6" s="15"/>
      <c r="F6" s="16"/>
      <c r="G6" s="17" t="n">
        <f aca="false">IF(Rakennukset!$E$21&lt;1,0,Rakennukset!$E$46)</f>
        <v>0</v>
      </c>
      <c r="H6" s="18" t="n">
        <f aca="false">Rakennukset!E11/1000</f>
        <v>0</v>
      </c>
      <c r="I6" s="5"/>
      <c r="J6" s="35" t="str">
        <f aca="false">"Laskettu BERGHEAT "&amp;B1&amp;"  taulukko-ohjelmalla"</f>
        <v>Laskettu BERGHEAT 46.680  taulukko-ohjelmalla</v>
      </c>
      <c r="K6" s="35"/>
      <c r="L6" s="35"/>
      <c r="M6" s="35"/>
      <c r="N6" s="35"/>
      <c r="O6" s="36" t="s">
        <v>16</v>
      </c>
      <c r="P6" s="36"/>
      <c r="Q6" s="36"/>
      <c r="R6" s="37" t="n">
        <f aca="false">$G$22</f>
        <v>142</v>
      </c>
      <c r="S6" s="38" t="n">
        <f aca="false">$G$24</f>
        <v>369.2</v>
      </c>
      <c r="T6" s="39" t="n">
        <f aca="false">S6/R6</f>
        <v>2.6</v>
      </c>
      <c r="U6" s="40" t="s">
        <v>17</v>
      </c>
      <c r="V6" s="40"/>
      <c r="W6" s="40"/>
      <c r="X6" s="40"/>
      <c r="Y6" s="40"/>
      <c r="Z6" s="40"/>
      <c r="AA6" s="5"/>
      <c r="AB6" s="5"/>
      <c r="AC6" s="11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8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11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</row>
    <row r="7" customFormat="false" ht="14.15" hidden="false" customHeight="true" outlineLevel="0" collapsed="false">
      <c r="A7" s="5"/>
      <c r="B7" s="41" t="s">
        <v>18</v>
      </c>
      <c r="C7" s="42"/>
      <c r="D7" s="43"/>
      <c r="E7" s="44"/>
      <c r="F7" s="45"/>
      <c r="G7" s="46" t="n">
        <f aca="false">IF(Rakennukset!$E$21&lt;1,0,Rakennukset!$E$46)</f>
        <v>0</v>
      </c>
      <c r="H7" s="47"/>
      <c r="I7" s="5"/>
      <c r="J7" s="48" t="s">
        <v>19</v>
      </c>
      <c r="K7" s="48"/>
      <c r="L7" s="48"/>
      <c r="M7" s="48"/>
      <c r="N7" s="48"/>
      <c r="O7" s="49" t="n">
        <f aca="false">IF(G9="Ei",AK67,H8)</f>
        <v>8.18914036571555</v>
      </c>
      <c r="P7" s="50" t="str">
        <f aca="false">G21</f>
        <v>PATTERILÄMMITYS</v>
      </c>
      <c r="Q7" s="50"/>
      <c r="R7" s="51" t="n">
        <f aca="false">G34</f>
        <v>23857</v>
      </c>
      <c r="S7" s="52" t="n">
        <f aca="false">R7/F36*G25</f>
        <v>1084.40909090909</v>
      </c>
      <c r="T7" s="53" t="n">
        <f aca="false">R7</f>
        <v>23857</v>
      </c>
      <c r="U7" s="40" t="str">
        <f aca="false">"Rakennusten lämmitystarve ilman käyttövettä = "&amp;INT(R7)&amp;" kWh vuodessa"</f>
        <v>Rakennusten lämmitystarve ilman käyttövettä = 23857 kWh vuodessa</v>
      </c>
      <c r="V7" s="40"/>
      <c r="W7" s="40"/>
      <c r="X7" s="40"/>
      <c r="Y7" s="40"/>
      <c r="Z7" s="40"/>
      <c r="AA7" s="5"/>
      <c r="AB7" s="5"/>
      <c r="AC7" s="11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8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11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</row>
    <row r="8" customFormat="false" ht="14.15" hidden="false" customHeight="true" outlineLevel="0" collapsed="false">
      <c r="A8" s="5"/>
      <c r="B8" s="54" t="s">
        <v>20</v>
      </c>
      <c r="C8" s="7" t="s">
        <v>21</v>
      </c>
      <c r="D8" s="55" t="n">
        <f aca="false">ROUND(SUM(D2:D7))</f>
        <v>25333</v>
      </c>
      <c r="E8" s="56" t="n">
        <f aca="false">SUM(E2:E7)</f>
        <v>161.2585</v>
      </c>
      <c r="F8" s="6" t="n">
        <f aca="false">SUM(F2:F7)</f>
        <v>183.1464</v>
      </c>
      <c r="G8" s="57" t="n">
        <f aca="false">SUM(G2:G5)</f>
        <v>418.65864</v>
      </c>
      <c r="H8" s="58" t="n">
        <f aca="false">SUM(H2:H7)</f>
        <v>8.368886854464</v>
      </c>
      <c r="I8" s="5"/>
      <c r="J8" s="48" t="s">
        <v>22</v>
      </c>
      <c r="K8" s="48"/>
      <c r="L8" s="48"/>
      <c r="M8" s="48"/>
      <c r="N8" s="48"/>
      <c r="O8" s="48"/>
      <c r="P8" s="59" t="n">
        <f aca="false">IF(G9="Ei",0,E94)</f>
        <v>0</v>
      </c>
      <c r="Q8" s="60" t="n">
        <f aca="false">G41</f>
        <v>4630</v>
      </c>
      <c r="R8" s="61" t="n">
        <f aca="false">-1*P8*Q8</f>
        <v>-0</v>
      </c>
      <c r="S8" s="52" t="n">
        <f aca="false">G25*R8/F36</f>
        <v>-0</v>
      </c>
      <c r="T8" s="53" t="n">
        <f aca="false">-R8</f>
        <v>0</v>
      </c>
      <c r="U8" s="62" t="str">
        <f aca="false">"Edellisestä vähennetty taloussähkön lämpövaikutus = "&amp;INT(Q8)&amp;" kwh vuodessa"</f>
        <v>Edellisestä vähennetty taloussähkön lämpövaikutus = 4630 kwh vuodessa</v>
      </c>
      <c r="V8" s="62"/>
      <c r="W8" s="62"/>
      <c r="X8" s="62"/>
      <c r="Y8" s="62"/>
      <c r="Z8" s="62"/>
      <c r="AA8" s="63"/>
      <c r="AB8" s="63"/>
      <c r="AC8" s="64"/>
      <c r="AD8" s="63"/>
      <c r="AE8" s="63"/>
      <c r="AF8" s="63"/>
      <c r="AG8" s="63"/>
      <c r="AH8" s="63"/>
      <c r="AI8" s="63"/>
      <c r="AJ8" s="63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8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11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</row>
    <row r="9" customFormat="false" ht="14.15" hidden="false" customHeight="true" outlineLevel="0" collapsed="false">
      <c r="A9" s="5"/>
      <c r="B9" s="54"/>
      <c r="C9" s="65" t="s">
        <v>23</v>
      </c>
      <c r="D9" s="66" t="n">
        <f aca="false">Rakennukset!$L$180+Rakennukset!$L$197+Rakennukset!$L$214+Rakennukset!$L$231</f>
        <v>5963.8054907624</v>
      </c>
      <c r="E9" s="67" t="s">
        <v>24</v>
      </c>
      <c r="F9" s="67"/>
      <c r="G9" s="68" t="s">
        <v>25</v>
      </c>
      <c r="H9" s="68"/>
      <c r="I9" s="63"/>
      <c r="J9" s="48" t="s">
        <v>26</v>
      </c>
      <c r="K9" s="48"/>
      <c r="L9" s="48"/>
      <c r="M9" s="48"/>
      <c r="N9" s="48"/>
      <c r="O9" s="69" t="n">
        <f aca="false">R9/(365*24)</f>
        <v>0.45662100456621</v>
      </c>
      <c r="P9" s="70" t="n">
        <f aca="false">F37</f>
        <v>4</v>
      </c>
      <c r="Q9" s="71" t="n">
        <f aca="false">F38</f>
        <v>1000</v>
      </c>
      <c r="R9" s="61" t="n">
        <f aca="false">P9*Q9</f>
        <v>4000</v>
      </c>
      <c r="S9" s="52" t="n">
        <f aca="false">R9/F40*G25</f>
        <v>240</v>
      </c>
      <c r="T9" s="53" t="n">
        <f aca="false">R9</f>
        <v>4000</v>
      </c>
      <c r="U9" s="62" t="str">
        <f aca="false">"Asukkaiden kuluttaman käyttöveden lämmitysenergiantarve = "&amp;INT(R9)&amp;" kWh vuodessa"</f>
        <v>Asukkaiden kuluttaman käyttöveden lämmitysenergiantarve = 4000 kWh vuodessa</v>
      </c>
      <c r="V9" s="62"/>
      <c r="W9" s="62"/>
      <c r="X9" s="62"/>
      <c r="Y9" s="62"/>
      <c r="Z9" s="62"/>
      <c r="AA9" s="5"/>
      <c r="AB9" s="5"/>
      <c r="AC9" s="11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8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11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</row>
    <row r="10" customFormat="false" ht="14.15" hidden="false" customHeight="true" outlineLevel="0" collapsed="false">
      <c r="A10" s="5"/>
      <c r="B10" s="54"/>
      <c r="C10" s="65" t="s">
        <v>27</v>
      </c>
      <c r="D10" s="66" t="n">
        <f aca="false">Rakennukset!D15</f>
        <v>1059.05256696748</v>
      </c>
      <c r="E10" s="67"/>
      <c r="F10" s="67"/>
      <c r="G10" s="68"/>
      <c r="H10" s="68"/>
      <c r="I10" s="5"/>
      <c r="J10" s="72" t="s">
        <v>28</v>
      </c>
      <c r="K10" s="72"/>
      <c r="L10" s="72"/>
      <c r="M10" s="72"/>
      <c r="N10" s="72"/>
      <c r="O10" s="73" t="n">
        <f aca="false">G61</f>
        <v>8.64576137028176</v>
      </c>
      <c r="P10" s="74" t="str">
        <f aca="false">G25&amp;" €/kWh"</f>
        <v>0,15 €/kWh</v>
      </c>
      <c r="Q10" s="75" t="n">
        <f aca="false">G25*R10/S10</f>
        <v>3.15502968733912</v>
      </c>
      <c r="R10" s="51" t="n">
        <f aca="false">SUM(R7:R9)</f>
        <v>27857</v>
      </c>
      <c r="S10" s="52" t="n">
        <f aca="false">SUM(S7:S9)</f>
        <v>1324.40909090909</v>
      </c>
      <c r="T10" s="53" t="n">
        <f aca="false">R10</f>
        <v>27857</v>
      </c>
      <c r="U10" s="62" t="s">
        <v>29</v>
      </c>
      <c r="V10" s="62"/>
      <c r="W10" s="62"/>
      <c r="X10" s="62"/>
      <c r="Y10" s="62"/>
      <c r="Z10" s="62"/>
      <c r="AA10" s="5"/>
      <c r="AB10" s="5"/>
      <c r="AC10" s="11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8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11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</row>
    <row r="11" customFormat="false" ht="14.15" hidden="false" customHeight="true" outlineLevel="0" collapsed="false">
      <c r="A11" s="5"/>
      <c r="B11" s="20" t="s">
        <v>30</v>
      </c>
      <c r="C11" s="20"/>
      <c r="D11" s="20"/>
      <c r="E11" s="20"/>
      <c r="F11" s="20"/>
      <c r="G11" s="20"/>
      <c r="H11" s="5"/>
      <c r="I11" s="5"/>
      <c r="J11" s="76"/>
      <c r="K11" s="24" t="s">
        <v>31</v>
      </c>
      <c r="L11" s="24"/>
      <c r="M11" s="24"/>
      <c r="N11" s="24"/>
      <c r="O11" s="24"/>
      <c r="P11" s="24"/>
      <c r="Q11" s="77" t="n">
        <f aca="false">$G$22</f>
        <v>142</v>
      </c>
      <c r="R11" s="78" t="n">
        <f aca="false">1000*(R7/Q11/$F$57)</f>
        <v>35.1173660339521</v>
      </c>
      <c r="S11" s="79" t="s">
        <v>32</v>
      </c>
      <c r="T11" s="80" t="n">
        <f aca="false">IF(F22&lt;10,"-",R11)</f>
        <v>35.1173660339521</v>
      </c>
      <c r="U11" s="62" t="s">
        <v>33</v>
      </c>
      <c r="V11" s="62"/>
      <c r="W11" s="62"/>
      <c r="X11" s="62"/>
      <c r="Y11" s="62"/>
      <c r="Z11" s="62"/>
      <c r="AA11" s="5"/>
      <c r="AB11" s="5"/>
      <c r="AC11" s="11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8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11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</row>
    <row r="12" customFormat="false" ht="14.15" hidden="false" customHeight="true" outlineLevel="0" collapsed="false">
      <c r="A12" s="5"/>
      <c r="B12" s="81" t="str">
        <f aca="false">"Laatinut PI @ 14.08.2014. v "&amp;B1&amp;" - taulukkoa saa kopioida"</f>
        <v>Laatinut PI @ 14.08.2014. v 46.680 - taulukkoa saa kopioida</v>
      </c>
      <c r="C12" s="81"/>
      <c r="D12" s="81"/>
      <c r="E12" s="82" t="s">
        <v>34</v>
      </c>
      <c r="F12" s="82" t="s">
        <v>35</v>
      </c>
      <c r="G12" s="82"/>
      <c r="H12" s="5"/>
      <c r="I12" s="5"/>
      <c r="J12" s="83"/>
      <c r="K12" s="84" t="s">
        <v>36</v>
      </c>
      <c r="L12" s="84"/>
      <c r="M12" s="84"/>
      <c r="N12" s="84"/>
      <c r="O12" s="84"/>
      <c r="P12" s="84"/>
      <c r="Q12" s="85" t="n">
        <f aca="false">$G$24</f>
        <v>369.2</v>
      </c>
      <c r="R12" s="86" t="n">
        <f aca="false">1000*(R7/Q12/$F$57)</f>
        <v>13.5066792438277</v>
      </c>
      <c r="S12" s="87" t="s">
        <v>37</v>
      </c>
      <c r="T12" s="80" t="n">
        <f aca="false">IF(F24&lt;10,"-",R12)</f>
        <v>13.5066792438277</v>
      </c>
      <c r="U12" s="62" t="s">
        <v>38</v>
      </c>
      <c r="V12" s="62"/>
      <c r="W12" s="62"/>
      <c r="X12" s="62"/>
      <c r="Y12" s="62"/>
      <c r="Z12" s="62"/>
      <c r="AA12" s="5"/>
      <c r="AB12" s="5"/>
      <c r="AC12" s="11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8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11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</row>
    <row r="13" customFormat="false" ht="14.15" hidden="false" customHeight="true" outlineLevel="0" collapsed="false">
      <c r="A13" s="5"/>
      <c r="B13" s="13" t="s">
        <v>39</v>
      </c>
      <c r="C13" s="88" t="s">
        <v>40</v>
      </c>
      <c r="D13" s="89" t="n">
        <f aca="false">IF(ISNA(VLOOKUP(C13,Data!E5:F3951,2,0)),"Ei ole",VLOOKUP(C13,Data!E5:F3951,2,0))</f>
        <v>40950</v>
      </c>
      <c r="E13" s="90" t="s">
        <v>41</v>
      </c>
      <c r="F13" s="90"/>
      <c r="G13" s="90"/>
      <c r="H13" s="5"/>
      <c r="I13" s="5"/>
      <c r="J13" s="76"/>
      <c r="K13" s="24" t="s">
        <v>42</v>
      </c>
      <c r="L13" s="24"/>
      <c r="M13" s="24"/>
      <c r="N13" s="24"/>
      <c r="O13" s="24"/>
      <c r="P13" s="24"/>
      <c r="Q13" s="77" t="n">
        <f aca="false">$G$22</f>
        <v>142</v>
      </c>
      <c r="R13" s="91" t="n">
        <f aca="false">R7/Q13</f>
        <v>168.007042253521</v>
      </c>
      <c r="S13" s="35" t="s">
        <v>43</v>
      </c>
      <c r="T13" s="80" t="n">
        <f aca="false">R13</f>
        <v>168.007042253521</v>
      </c>
      <c r="U13" s="62" t="s">
        <v>44</v>
      </c>
      <c r="V13" s="62"/>
      <c r="W13" s="62"/>
      <c r="X13" s="62"/>
      <c r="Y13" s="62"/>
      <c r="Z13" s="62"/>
      <c r="AA13" s="5"/>
      <c r="AB13" s="5"/>
      <c r="AC13" s="11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8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11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</row>
    <row r="14" customFormat="false" ht="14.15" hidden="false" customHeight="true" outlineLevel="0" collapsed="false">
      <c r="A14" s="5"/>
      <c r="B14" s="20" t="s">
        <v>45</v>
      </c>
      <c r="C14" s="20"/>
      <c r="D14" s="20"/>
      <c r="E14" s="20"/>
      <c r="F14" s="20"/>
      <c r="G14" s="20"/>
      <c r="H14" s="5"/>
      <c r="I14" s="5"/>
      <c r="J14" s="83"/>
      <c r="K14" s="84" t="s">
        <v>46</v>
      </c>
      <c r="L14" s="84"/>
      <c r="M14" s="84"/>
      <c r="N14" s="84"/>
      <c r="O14" s="84"/>
      <c r="P14" s="84"/>
      <c r="Q14" s="92" t="n">
        <f aca="false">$G$24</f>
        <v>369.2</v>
      </c>
      <c r="R14" s="93" t="n">
        <f aca="false">R7/Q14</f>
        <v>64.6180931744312</v>
      </c>
      <c r="S14" s="94" t="s">
        <v>47</v>
      </c>
      <c r="T14" s="80" t="n">
        <f aca="false">R14</f>
        <v>64.6180931744312</v>
      </c>
      <c r="U14" s="62" t="s">
        <v>48</v>
      </c>
      <c r="V14" s="62"/>
      <c r="W14" s="62"/>
      <c r="X14" s="62"/>
      <c r="Y14" s="62"/>
      <c r="Z14" s="62"/>
      <c r="AA14" s="5"/>
      <c r="AB14" s="5"/>
      <c r="AC14" s="11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8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11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</row>
    <row r="15" customFormat="false" ht="14.15" hidden="false" customHeight="true" outlineLevel="0" collapsed="false">
      <c r="A15" s="5"/>
      <c r="B15" s="36" t="s">
        <v>49</v>
      </c>
      <c r="C15" s="36"/>
      <c r="D15" s="36"/>
      <c r="E15" s="95" t="s">
        <v>50</v>
      </c>
      <c r="F15" s="95"/>
      <c r="G15" s="95"/>
      <c r="H15" s="5"/>
      <c r="I15" s="5"/>
      <c r="J15" s="96" t="s">
        <v>51</v>
      </c>
      <c r="K15" s="96"/>
      <c r="L15" s="96"/>
      <c r="M15" s="96"/>
      <c r="N15" s="96"/>
      <c r="O15" s="96"/>
      <c r="P15" s="97" t="n">
        <f aca="false">R7+R9</f>
        <v>27857</v>
      </c>
      <c r="Q15" s="98" t="n">
        <f aca="false">$G$22</f>
        <v>142</v>
      </c>
      <c r="R15" s="99" t="n">
        <f aca="false">P15/Q15</f>
        <v>196.176056338028</v>
      </c>
      <c r="S15" s="100" t="s">
        <v>52</v>
      </c>
      <c r="T15" s="101" t="str">
        <f aca="false">S15</f>
        <v>kWh/m2/v</v>
      </c>
      <c r="U15" s="102" t="s">
        <v>53</v>
      </c>
      <c r="V15" s="102"/>
      <c r="W15" s="102"/>
      <c r="X15" s="102"/>
      <c r="Y15" s="102"/>
      <c r="Z15" s="102"/>
      <c r="AA15" s="5"/>
      <c r="AB15" s="5"/>
      <c r="AC15" s="11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8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11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</row>
    <row r="16" customFormat="false" ht="14.15" hidden="false" customHeight="true" outlineLevel="0" collapsed="false">
      <c r="A16" s="5"/>
      <c r="B16" s="36" t="s">
        <v>54</v>
      </c>
      <c r="C16" s="36"/>
      <c r="D16" s="36"/>
      <c r="E16" s="103" t="s">
        <v>55</v>
      </c>
      <c r="F16" s="103"/>
      <c r="G16" s="103"/>
      <c r="H16" s="5"/>
      <c r="I16" s="5"/>
      <c r="J16" s="48" t="s">
        <v>56</v>
      </c>
      <c r="K16" s="48"/>
      <c r="L16" s="48"/>
      <c r="M16" s="48"/>
      <c r="N16" s="48"/>
      <c r="O16" s="48"/>
      <c r="P16" s="48"/>
      <c r="Q16" s="104" t="n">
        <f aca="false">G23</f>
        <v>156.659650345376</v>
      </c>
      <c r="R16" s="105" t="n">
        <f aca="false">R10+Q8</f>
        <v>32487</v>
      </c>
      <c r="S16" s="106" t="n">
        <f aca="false">R16/Q16</f>
        <v>207.3731169984</v>
      </c>
      <c r="T16" s="107" t="n">
        <f aca="false">S16</f>
        <v>207.3731169984</v>
      </c>
      <c r="U16" s="108" t="s">
        <v>57</v>
      </c>
      <c r="V16" s="108"/>
      <c r="W16" s="108"/>
      <c r="X16" s="108"/>
      <c r="Y16" s="108"/>
      <c r="Z16" s="108"/>
      <c r="AA16" s="5"/>
      <c r="AB16" s="5"/>
      <c r="AC16" s="11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8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11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</row>
    <row r="17" customFormat="false" ht="14.15" hidden="false" customHeight="true" outlineLevel="0" collapsed="false">
      <c r="A17" s="5"/>
      <c r="B17" s="35" t="s">
        <v>58</v>
      </c>
      <c r="C17" s="35"/>
      <c r="D17" s="35"/>
      <c r="E17" s="35"/>
      <c r="F17" s="109" t="n">
        <v>40100</v>
      </c>
      <c r="G17" s="110" t="str">
        <f aca="false">IF(ISNA(VLOOKUP(F17,Data!C3:D4003,2,0)),"Ei ole",VLOOKUP(F17,Data!C3:D4003,2,0))</f>
        <v>Jyväskylä</v>
      </c>
      <c r="H17" s="5"/>
      <c r="I17" s="5"/>
      <c r="J17" s="48" t="s">
        <v>59</v>
      </c>
      <c r="K17" s="48"/>
      <c r="L17" s="48"/>
      <c r="M17" s="48"/>
      <c r="N17" s="48"/>
      <c r="O17" s="48"/>
      <c r="P17" s="48"/>
      <c r="Q17" s="104" t="n">
        <f aca="false">$G$23</f>
        <v>156.659650345376</v>
      </c>
      <c r="R17" s="111" t="n">
        <f aca="false">S16</f>
        <v>207.3731169984</v>
      </c>
      <c r="S17" s="50" t="str">
        <f aca="false">LOOKUP(R17,AM109:AN119)</f>
        <v>D luokka</v>
      </c>
      <c r="T17" s="112" t="s">
        <v>60</v>
      </c>
      <c r="U17" s="108" t="str">
        <f aca="false">"ET -luokka on "&amp;INT(R17)&amp;" ET"</f>
        <v>ET -luokka on 207 ET</v>
      </c>
      <c r="V17" s="108"/>
      <c r="W17" s="108"/>
      <c r="X17" s="108"/>
      <c r="Y17" s="108"/>
      <c r="Z17" s="108"/>
      <c r="AA17" s="5"/>
      <c r="AB17" s="5"/>
      <c r="AC17" s="11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8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11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</row>
    <row r="18" customFormat="false" ht="14.15" hidden="false" customHeight="true" outlineLevel="0" collapsed="false">
      <c r="A18" s="5"/>
      <c r="B18" s="36" t="s">
        <v>61</v>
      </c>
      <c r="C18" s="113" t="s">
        <v>62</v>
      </c>
      <c r="D18" s="113"/>
      <c r="E18" s="113"/>
      <c r="F18" s="113"/>
      <c r="G18" s="113"/>
      <c r="H18" s="5"/>
      <c r="I18" s="5"/>
      <c r="J18" s="114" t="s">
        <v>63</v>
      </c>
      <c r="K18" s="114"/>
      <c r="L18" s="114"/>
      <c r="M18" s="114"/>
      <c r="N18" s="114"/>
      <c r="O18" s="114"/>
      <c r="P18" s="114"/>
      <c r="Q18" s="115" t="n">
        <f aca="false">IF(G9="Ei",E98,U61)</f>
        <v>21</v>
      </c>
      <c r="R18" s="116"/>
      <c r="S18" s="117"/>
      <c r="T18" s="118" t="s">
        <v>64</v>
      </c>
      <c r="U18" s="119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8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11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</row>
    <row r="19" customFormat="false" ht="14.15" hidden="false" customHeight="true" outlineLevel="0" collapsed="false">
      <c r="A19" s="5"/>
      <c r="B19" s="36"/>
      <c r="C19" s="113"/>
      <c r="D19" s="113"/>
      <c r="E19" s="113"/>
      <c r="F19" s="113"/>
      <c r="G19" s="113"/>
      <c r="H19" s="5"/>
      <c r="I19" s="5"/>
      <c r="J19" s="120" t="s">
        <v>65</v>
      </c>
      <c r="K19" s="120"/>
      <c r="L19" s="120"/>
      <c r="M19" s="120"/>
      <c r="N19" s="120"/>
      <c r="O19" s="120"/>
      <c r="P19" s="121" t="n">
        <f aca="false">F59</f>
        <v>9</v>
      </c>
      <c r="Q19" s="122" t="s">
        <v>66</v>
      </c>
      <c r="R19" s="122"/>
      <c r="S19" s="123"/>
      <c r="T19" s="124" t="s">
        <v>67</v>
      </c>
      <c r="U19" s="5"/>
      <c r="V19" s="125"/>
      <c r="W19" s="125"/>
      <c r="X19" s="125"/>
      <c r="Y19" s="125"/>
      <c r="Z19" s="12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8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11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</row>
    <row r="20" customFormat="false" ht="14.15" hidden="false" customHeight="true" outlineLevel="0" collapsed="false">
      <c r="A20" s="5"/>
      <c r="B20" s="36"/>
      <c r="C20" s="113"/>
      <c r="D20" s="113"/>
      <c r="E20" s="113"/>
      <c r="F20" s="113"/>
      <c r="G20" s="113"/>
      <c r="H20" s="5"/>
      <c r="I20" s="5"/>
      <c r="J20" s="126" t="s">
        <v>68</v>
      </c>
      <c r="K20" s="127" t="s">
        <v>69</v>
      </c>
      <c r="L20" s="127"/>
      <c r="M20" s="127"/>
      <c r="N20" s="127"/>
      <c r="O20" s="127"/>
      <c r="P20" s="128" t="n">
        <f aca="false">R10/(10*E91)</f>
        <v>3201.95402298851</v>
      </c>
      <c r="Q20" s="129" t="n">
        <f aca="false">G26</f>
        <v>1.15</v>
      </c>
      <c r="R20" s="130" t="n">
        <f aca="false">G26*P20</f>
        <v>3682.24712643678</v>
      </c>
      <c r="S20" s="131" t="n">
        <f aca="false">E91</f>
        <v>0.87</v>
      </c>
      <c r="T20" s="132" t="s">
        <v>70</v>
      </c>
      <c r="U20" s="133" t="s">
        <v>68</v>
      </c>
      <c r="V20" s="5" t="s">
        <v>68</v>
      </c>
      <c r="W20" s="134" t="s">
        <v>68</v>
      </c>
      <c r="X20" s="135" t="s">
        <v>68</v>
      </c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8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11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</row>
    <row r="21" customFormat="false" ht="14.15" hidden="false" customHeight="true" outlineLevel="0" collapsed="false">
      <c r="A21" s="5"/>
      <c r="B21" s="136" t="s">
        <v>71</v>
      </c>
      <c r="C21" s="136"/>
      <c r="D21" s="136"/>
      <c r="E21" s="136"/>
      <c r="F21" s="137" t="s">
        <v>72</v>
      </c>
      <c r="G21" s="138" t="str">
        <f aca="false">F21&amp;"LÄMMITYS"</f>
        <v>PATTERILÄMMITYS</v>
      </c>
      <c r="H21" s="5"/>
      <c r="I21" s="5"/>
      <c r="J21" s="126"/>
      <c r="K21" s="127" t="s">
        <v>73</v>
      </c>
      <c r="L21" s="127"/>
      <c r="M21" s="127"/>
      <c r="N21" s="127"/>
      <c r="O21" s="127"/>
      <c r="P21" s="139" t="n">
        <f aca="false">R10/(1500*E93)</f>
        <v>23.2141666666667</v>
      </c>
      <c r="Q21" s="140" t="n">
        <f aca="false">G27</f>
        <v>68</v>
      </c>
      <c r="R21" s="130" t="n">
        <f aca="false">P21*Q21</f>
        <v>1578.56333333333</v>
      </c>
      <c r="S21" s="131" t="n">
        <f aca="false">E93</f>
        <v>0.8</v>
      </c>
      <c r="T21" s="141" t="s">
        <v>74</v>
      </c>
      <c r="U21" s="133" t="s">
        <v>68</v>
      </c>
      <c r="V21" s="5" t="s">
        <v>68</v>
      </c>
      <c r="W21" s="134" t="s">
        <v>68</v>
      </c>
      <c r="X21" s="5" t="s">
        <v>68</v>
      </c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8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11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</row>
    <row r="22" customFormat="false" ht="14.15" hidden="false" customHeight="true" outlineLevel="0" collapsed="false">
      <c r="A22" s="5"/>
      <c r="B22" s="22" t="s">
        <v>75</v>
      </c>
      <c r="C22" s="22"/>
      <c r="D22" s="22"/>
      <c r="E22" s="142" t="n">
        <f aca="false">IF(F22&lt;10,"???",F22)</f>
        <v>142</v>
      </c>
      <c r="F22" s="143" t="n">
        <v>142</v>
      </c>
      <c r="G22" s="77" t="n">
        <f aca="false">IF(G9="Ei",$E$22,$E$8)</f>
        <v>142</v>
      </c>
      <c r="H22" s="5"/>
      <c r="I22" s="5"/>
      <c r="J22" s="126"/>
      <c r="K22" s="127" t="s">
        <v>76</v>
      </c>
      <c r="L22" s="127"/>
      <c r="M22" s="127"/>
      <c r="N22" s="127"/>
      <c r="O22" s="127"/>
      <c r="P22" s="144" t="n">
        <f aca="false">$R$10</f>
        <v>27857</v>
      </c>
      <c r="Q22" s="145" t="n">
        <f aca="false">G25</f>
        <v>0.15</v>
      </c>
      <c r="R22" s="130" t="n">
        <f aca="false">F25*R10</f>
        <v>4178.55</v>
      </c>
      <c r="S22" s="146" t="n">
        <v>1</v>
      </c>
      <c r="T22" s="147" t="s">
        <v>77</v>
      </c>
      <c r="U22" s="125" t="s">
        <v>68</v>
      </c>
      <c r="V22" s="5" t="s">
        <v>68</v>
      </c>
      <c r="W22" s="5" t="s">
        <v>68</v>
      </c>
      <c r="X22" s="5" t="s">
        <v>68</v>
      </c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8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11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</row>
    <row r="23" customFormat="false" ht="14.15" hidden="false" customHeight="true" outlineLevel="0" collapsed="false">
      <c r="A23" s="5"/>
      <c r="B23" s="22" t="s">
        <v>78</v>
      </c>
      <c r="C23" s="22"/>
      <c r="D23" s="22"/>
      <c r="E23" s="148" t="n">
        <f aca="false">IF($F$23&lt;POWER((SQRT($F$22)+0.6),2),POWER((SQRT($F$22)+0.6),2),$F$23)</f>
        <v>156.659650345376</v>
      </c>
      <c r="F23" s="149" t="n">
        <v>100</v>
      </c>
      <c r="G23" s="150" t="n">
        <f aca="false">IF($G$9="Ei",$E$23,$F$8)</f>
        <v>156.659650345376</v>
      </c>
      <c r="H23" s="5"/>
      <c r="I23" s="5"/>
      <c r="J23" s="151"/>
      <c r="K23" s="152" t="s">
        <v>79</v>
      </c>
      <c r="L23" s="152"/>
      <c r="M23" s="152"/>
      <c r="N23" s="152"/>
      <c r="O23" s="152"/>
      <c r="P23" s="153" t="n">
        <f aca="false">$Q$65</f>
        <v>27857</v>
      </c>
      <c r="Q23" s="154" t="n">
        <f aca="false">F25</f>
        <v>0.15</v>
      </c>
      <c r="R23" s="155" t="n">
        <f aca="false">P23/S23*Q23</f>
        <v>1324.40909090909</v>
      </c>
      <c r="S23" s="156" t="n">
        <f aca="false">AO134</f>
        <v>3.15502968733912</v>
      </c>
      <c r="T23" s="157" t="s">
        <v>80</v>
      </c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8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11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</row>
    <row r="24" customFormat="false" ht="14.15" hidden="false" customHeight="true" outlineLevel="0" collapsed="false">
      <c r="A24" s="5"/>
      <c r="B24" s="35" t="s">
        <v>81</v>
      </c>
      <c r="C24" s="35"/>
      <c r="D24" s="35"/>
      <c r="E24" s="158" t="n">
        <v>2.6</v>
      </c>
      <c r="F24" s="159" t="n">
        <v>100</v>
      </c>
      <c r="G24" s="160" t="n">
        <f aca="false">IF($G$9="Ei",$E$25,$G$8)</f>
        <v>369.2</v>
      </c>
      <c r="H24" s="63"/>
      <c r="I24" s="63"/>
      <c r="J24" s="151"/>
      <c r="K24" s="152" t="s">
        <v>82</v>
      </c>
      <c r="L24" s="152"/>
      <c r="M24" s="152"/>
      <c r="N24" s="152"/>
      <c r="O24" s="152"/>
      <c r="P24" s="161" t="n">
        <f aca="false">P22-P23</f>
        <v>0</v>
      </c>
      <c r="Q24" s="154" t="n">
        <f aca="false">F25</f>
        <v>0.15</v>
      </c>
      <c r="R24" s="155" t="n">
        <f aca="false">P24*Q24</f>
        <v>0</v>
      </c>
      <c r="S24" s="156" t="n">
        <v>1</v>
      </c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8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11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</row>
    <row r="25" customFormat="false" ht="14.15" hidden="false" customHeight="true" outlineLevel="0" collapsed="false">
      <c r="A25" s="5"/>
      <c r="B25" s="22" t="s">
        <v>83</v>
      </c>
      <c r="C25" s="22"/>
      <c r="D25" s="22"/>
      <c r="E25" s="162" t="n">
        <f aca="false">IF(E24*F22&gt;F24,E24*F22,F24)</f>
        <v>369.2</v>
      </c>
      <c r="F25" s="163" t="n">
        <v>0.15</v>
      </c>
      <c r="G25" s="164" t="n">
        <f aca="false">F25</f>
        <v>0.15</v>
      </c>
      <c r="H25" s="5"/>
      <c r="I25" s="5"/>
      <c r="J25" s="72" t="s">
        <v>84</v>
      </c>
      <c r="K25" s="72"/>
      <c r="L25" s="72"/>
      <c r="M25" s="72"/>
      <c r="N25" s="72"/>
      <c r="O25" s="72"/>
      <c r="P25" s="72"/>
      <c r="Q25" s="165" t="n">
        <f aca="false">P23+P24</f>
        <v>27857</v>
      </c>
      <c r="R25" s="166" t="n">
        <f aca="false">S65</f>
        <v>8829.39393939394</v>
      </c>
      <c r="S25" s="146" t="n">
        <f aca="false">Q25/R25</f>
        <v>3.15502968733912</v>
      </c>
      <c r="T25" s="5" t="s">
        <v>68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8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11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</row>
    <row r="26" customFormat="false" ht="14.15" hidden="false" customHeight="true" outlineLevel="0" collapsed="false">
      <c r="A26" s="5"/>
      <c r="B26" s="35" t="s">
        <v>85</v>
      </c>
      <c r="C26" s="35"/>
      <c r="D26" s="35"/>
      <c r="E26" s="35"/>
      <c r="F26" s="163" t="n">
        <v>1.15</v>
      </c>
      <c r="G26" s="164" t="n">
        <f aca="false">F26</f>
        <v>1.15</v>
      </c>
      <c r="H26" s="5"/>
      <c r="I26" s="5"/>
      <c r="J26" s="48" t="s">
        <v>86</v>
      </c>
      <c r="K26" s="48"/>
      <c r="L26" s="48"/>
      <c r="M26" s="48"/>
      <c r="N26" s="48"/>
      <c r="O26" s="48"/>
      <c r="P26" s="48"/>
      <c r="Q26" s="167" t="n">
        <f aca="false">R26/R28</f>
        <v>1</v>
      </c>
      <c r="R26" s="168" t="n">
        <f aca="false">P23/S23</f>
        <v>8829.39393939394</v>
      </c>
      <c r="S26" s="130" t="n">
        <f aca="false">F25*R26</f>
        <v>1324.40909090909</v>
      </c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8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11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</row>
    <row r="27" customFormat="false" ht="14.15" hidden="false" customHeight="true" outlineLevel="0" collapsed="false">
      <c r="A27" s="5"/>
      <c r="B27" s="35" t="s">
        <v>87</v>
      </c>
      <c r="C27" s="35"/>
      <c r="D27" s="35"/>
      <c r="E27" s="35"/>
      <c r="F27" s="169" t="n">
        <v>68</v>
      </c>
      <c r="G27" s="170" t="n">
        <f aca="false">F27</f>
        <v>68</v>
      </c>
      <c r="H27" s="5"/>
      <c r="I27" s="5"/>
      <c r="J27" s="48" t="s">
        <v>88</v>
      </c>
      <c r="K27" s="48"/>
      <c r="L27" s="48"/>
      <c r="M27" s="48"/>
      <c r="N27" s="48"/>
      <c r="O27" s="48"/>
      <c r="P27" s="48"/>
      <c r="Q27" s="171" t="n">
        <f aca="false">R27/R28</f>
        <v>0</v>
      </c>
      <c r="R27" s="172" t="n">
        <f aca="false">P24</f>
        <v>0</v>
      </c>
      <c r="S27" s="173" t="n">
        <f aca="false">F25*R27</f>
        <v>0</v>
      </c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8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11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</row>
    <row r="28" customFormat="false" ht="14.15" hidden="false" customHeight="true" outlineLevel="0" collapsed="false">
      <c r="A28" s="5"/>
      <c r="B28" s="174" t="s">
        <v>89</v>
      </c>
      <c r="C28" s="174"/>
      <c r="D28" s="174"/>
      <c r="E28" s="174"/>
      <c r="F28" s="175" t="n">
        <v>3202</v>
      </c>
      <c r="G28" s="176" t="n">
        <f aca="false">IF(G9="Ei",$E$91*$F$28*10,0)</f>
        <v>27857.4</v>
      </c>
      <c r="H28" s="8"/>
      <c r="I28" s="5"/>
      <c r="J28" s="177" t="s">
        <v>90</v>
      </c>
      <c r="K28" s="177"/>
      <c r="L28" s="177"/>
      <c r="M28" s="177"/>
      <c r="N28" s="177"/>
      <c r="O28" s="177"/>
      <c r="P28" s="177"/>
      <c r="Q28" s="178" t="n">
        <f aca="false">(R26+R27)/R28</f>
        <v>1</v>
      </c>
      <c r="R28" s="179" t="n">
        <f aca="false">SUM(R26:R27)</f>
        <v>8829.39393939394</v>
      </c>
      <c r="S28" s="180" t="n">
        <f aca="false">F25*R28</f>
        <v>1324.40909090909</v>
      </c>
      <c r="T28" s="5" t="s">
        <v>68</v>
      </c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8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11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</row>
    <row r="29" customFormat="false" ht="14.15" hidden="false" customHeight="true" outlineLevel="0" collapsed="false">
      <c r="A29" s="5"/>
      <c r="B29" s="174" t="s">
        <v>91</v>
      </c>
      <c r="C29" s="174"/>
      <c r="D29" s="174"/>
      <c r="E29" s="174"/>
      <c r="F29" s="181" t="n">
        <v>0</v>
      </c>
      <c r="G29" s="182" t="n">
        <f aca="false">IF($G$9="Ei",$F$29*4700*$E$92,0)</f>
        <v>0</v>
      </c>
      <c r="H29" s="5"/>
      <c r="I29" s="5"/>
      <c r="J29" s="48" t="s">
        <v>92</v>
      </c>
      <c r="K29" s="48"/>
      <c r="L29" s="48"/>
      <c r="M29" s="48"/>
      <c r="N29" s="48"/>
      <c r="O29" s="48"/>
      <c r="P29" s="48"/>
      <c r="Q29" s="48"/>
      <c r="R29" s="130" t="n">
        <f aca="false">R20-S28</f>
        <v>2357.83803552769</v>
      </c>
      <c r="S29" s="130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8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11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</row>
    <row r="30" customFormat="false" ht="14.15" hidden="false" customHeight="true" outlineLevel="0" collapsed="false">
      <c r="A30" s="5"/>
      <c r="B30" s="174" t="s">
        <v>93</v>
      </c>
      <c r="C30" s="174"/>
      <c r="D30" s="174"/>
      <c r="E30" s="174"/>
      <c r="F30" s="183" t="n">
        <v>0</v>
      </c>
      <c r="G30" s="182" t="n">
        <f aca="false">IF($G$9="Ei",$F$30*1500*$E$93,0)</f>
        <v>0</v>
      </c>
      <c r="H30" s="5"/>
      <c r="I30" s="5"/>
      <c r="J30" s="48" t="s">
        <v>94</v>
      </c>
      <c r="K30" s="48"/>
      <c r="L30" s="48"/>
      <c r="M30" s="48"/>
      <c r="N30" s="48"/>
      <c r="O30" s="48"/>
      <c r="P30" s="48"/>
      <c r="Q30" s="48"/>
      <c r="R30" s="130" t="n">
        <f aca="false">R22-S28</f>
        <v>2854.14090909091</v>
      </c>
      <c r="S30" s="130"/>
      <c r="T30" s="5" t="s">
        <v>68</v>
      </c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8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11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</row>
    <row r="31" customFormat="false" ht="14.15" hidden="false" customHeight="true" outlineLevel="0" collapsed="false">
      <c r="A31" s="5"/>
      <c r="B31" s="174" t="s">
        <v>95</v>
      </c>
      <c r="C31" s="174"/>
      <c r="D31" s="174"/>
      <c r="E31" s="174"/>
      <c r="F31" s="184" t="n">
        <v>0</v>
      </c>
      <c r="G31" s="176" t="n">
        <f aca="false">IF($G$9="Ei",$F$31,0)</f>
        <v>0</v>
      </c>
      <c r="H31" s="5"/>
      <c r="I31" s="5"/>
      <c r="J31" s="185" t="s">
        <v>68</v>
      </c>
      <c r="K31" s="185"/>
      <c r="L31" s="185"/>
      <c r="M31" s="185"/>
      <c r="N31" s="186" t="s">
        <v>96</v>
      </c>
      <c r="O31" s="187" t="s">
        <v>97</v>
      </c>
      <c r="P31" s="188" t="s">
        <v>98</v>
      </c>
      <c r="Q31" s="189" t="s">
        <v>99</v>
      </c>
      <c r="R31" s="190" t="s">
        <v>100</v>
      </c>
      <c r="S31" s="191" t="s">
        <v>101</v>
      </c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8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11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</row>
    <row r="32" customFormat="false" ht="14.15" hidden="false" customHeight="true" outlineLevel="0" collapsed="false">
      <c r="A32" s="5"/>
      <c r="B32" s="174" t="s">
        <v>102</v>
      </c>
      <c r="C32" s="174"/>
      <c r="D32" s="174"/>
      <c r="E32" s="174"/>
      <c r="F32" s="174"/>
      <c r="G32" s="192" t="n">
        <f aca="false">SUM(G28:G31)</f>
        <v>27857.4</v>
      </c>
      <c r="H32" s="5"/>
      <c r="I32" s="5"/>
      <c r="J32" s="48" t="s">
        <v>103</v>
      </c>
      <c r="K32" s="48"/>
      <c r="L32" s="48"/>
      <c r="M32" s="48"/>
      <c r="N32" s="193" t="n">
        <f aca="false">R7+R8</f>
        <v>23857</v>
      </c>
      <c r="O32" s="194" t="n">
        <f aca="false">F36</f>
        <v>3.3</v>
      </c>
      <c r="P32" s="195" t="n">
        <f aca="false">(N32-Q32)/O32</f>
        <v>7229.39393939394</v>
      </c>
      <c r="Q32" s="196" t="n">
        <f aca="false">N34/N35*N32</f>
        <v>0</v>
      </c>
      <c r="R32" s="197" t="n">
        <f aca="false">P32+Q32</f>
        <v>7229.39393939394</v>
      </c>
      <c r="S32" s="130" t="n">
        <f aca="false">G25*R32</f>
        <v>1084.40909090909</v>
      </c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8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11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</row>
    <row r="33" customFormat="false" ht="14.15" hidden="false" customHeight="true" outlineLevel="0" collapsed="false">
      <c r="A33" s="5"/>
      <c r="B33" s="198" t="s">
        <v>104</v>
      </c>
      <c r="C33" s="198"/>
      <c r="D33" s="198"/>
      <c r="E33" s="198"/>
      <c r="F33" s="199" t="n">
        <v>0</v>
      </c>
      <c r="G33" s="200" t="n">
        <f aca="false">F33</f>
        <v>0</v>
      </c>
      <c r="H33" s="5"/>
      <c r="I33" s="63"/>
      <c r="J33" s="48" t="s">
        <v>105</v>
      </c>
      <c r="K33" s="48"/>
      <c r="L33" s="48"/>
      <c r="M33" s="48"/>
      <c r="N33" s="193" t="n">
        <f aca="false">F39</f>
        <v>4000</v>
      </c>
      <c r="O33" s="194" t="n">
        <f aca="false">F40</f>
        <v>2.5</v>
      </c>
      <c r="P33" s="195" t="n">
        <f aca="false">(N33-Q33)/O33</f>
        <v>1600</v>
      </c>
      <c r="Q33" s="196" t="n">
        <f aca="false">N34/N35*N33</f>
        <v>0</v>
      </c>
      <c r="R33" s="197" t="n">
        <f aca="false">P33+Q33</f>
        <v>1600</v>
      </c>
      <c r="S33" s="130" t="n">
        <f aca="false">G25*R33</f>
        <v>240</v>
      </c>
      <c r="T33" s="63"/>
      <c r="U33" s="63"/>
      <c r="V33" s="63"/>
      <c r="W33" s="63"/>
      <c r="X33" s="63"/>
      <c r="Y33" s="63"/>
      <c r="Z33" s="63"/>
      <c r="AA33" s="63"/>
      <c r="AB33" s="63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8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11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</row>
    <row r="34" customFormat="false" ht="14.15" hidden="false" customHeight="true" outlineLevel="0" collapsed="false">
      <c r="A34" s="5"/>
      <c r="B34" s="185" t="s">
        <v>106</v>
      </c>
      <c r="C34" s="185"/>
      <c r="D34" s="185"/>
      <c r="E34" s="201" t="n">
        <f aca="false">IF(G32&lt;G39,0,ROUND(G32-F39))</f>
        <v>23857</v>
      </c>
      <c r="F34" s="201" t="n">
        <f aca="false">G33</f>
        <v>0</v>
      </c>
      <c r="G34" s="192" t="n">
        <f aca="false">IF(G9="Ei",MAX(E34:F34),D8)</f>
        <v>23857</v>
      </c>
      <c r="H34" s="5"/>
      <c r="I34" s="63"/>
      <c r="J34" s="202" t="s">
        <v>107</v>
      </c>
      <c r="K34" s="202"/>
      <c r="L34" s="202"/>
      <c r="M34" s="202"/>
      <c r="N34" s="203" t="n">
        <f aca="false">R65</f>
        <v>0</v>
      </c>
      <c r="O34" s="204" t="n">
        <v>1</v>
      </c>
      <c r="P34" s="205" t="s">
        <v>68</v>
      </c>
      <c r="Q34" s="196" t="n">
        <f aca="false">N34</f>
        <v>0</v>
      </c>
      <c r="R34" s="206" t="n">
        <f aca="false">$G$25</f>
        <v>0.15</v>
      </c>
      <c r="S34" s="207" t="str">
        <f aca="false">"(= "&amp;INT(N34*R34)&amp;" EUR)"</f>
        <v>(= 0 EUR)</v>
      </c>
      <c r="T34" s="63"/>
      <c r="U34" s="63"/>
      <c r="V34" s="63"/>
      <c r="W34" s="63"/>
      <c r="X34" s="63"/>
      <c r="Y34" s="63"/>
      <c r="Z34" s="63"/>
      <c r="AA34" s="63"/>
      <c r="AB34" s="63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8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11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</row>
    <row r="35" customFormat="false" ht="14.15" hidden="false" customHeight="true" outlineLevel="0" collapsed="false">
      <c r="A35" s="5"/>
      <c r="B35" s="20" t="s">
        <v>108</v>
      </c>
      <c r="C35" s="20"/>
      <c r="D35" s="20"/>
      <c r="E35" s="20"/>
      <c r="F35" s="20"/>
      <c r="G35" s="20"/>
      <c r="H35" s="5"/>
      <c r="I35" s="63"/>
      <c r="J35" s="48" t="s">
        <v>109</v>
      </c>
      <c r="K35" s="48"/>
      <c r="L35" s="48"/>
      <c r="M35" s="48"/>
      <c r="N35" s="208" t="n">
        <f aca="false">SUM(N32:N33)</f>
        <v>27857</v>
      </c>
      <c r="O35" s="194" t="n">
        <f aca="false">N35/R35</f>
        <v>3.15497608836998</v>
      </c>
      <c r="P35" s="144" t="n">
        <f aca="false">SUM(P32:P33)</f>
        <v>8829.39393939394</v>
      </c>
      <c r="Q35" s="209" t="n">
        <f aca="false">N34</f>
        <v>0</v>
      </c>
      <c r="R35" s="197" t="n">
        <f aca="false">SUM(R32:R34)</f>
        <v>8829.54393939394</v>
      </c>
      <c r="S35" s="210" t="n">
        <f aca="false">SUM(S32:S33)</f>
        <v>1324.40909090909</v>
      </c>
      <c r="T35" s="211" t="s">
        <v>68</v>
      </c>
      <c r="U35" s="63"/>
      <c r="V35" s="63"/>
      <c r="W35" s="63"/>
      <c r="X35" s="63"/>
      <c r="Y35" s="63"/>
      <c r="Z35" s="63"/>
      <c r="AA35" s="63"/>
      <c r="AB35" s="63"/>
      <c r="AC35" s="5"/>
      <c r="AD35" s="5"/>
      <c r="AE35" s="5"/>
      <c r="AF35" s="5"/>
      <c r="AG35" s="63"/>
      <c r="AH35" s="63"/>
      <c r="AI35" s="63"/>
      <c r="AJ35" s="63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8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11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</row>
    <row r="36" customFormat="false" ht="14.15" hidden="false" customHeight="true" outlineLevel="0" collapsed="false">
      <c r="A36" s="5"/>
      <c r="B36" s="136" t="s">
        <v>110</v>
      </c>
      <c r="C36" s="136"/>
      <c r="D36" s="136"/>
      <c r="E36" s="136"/>
      <c r="F36" s="212" t="n">
        <f aca="false">IF($F$21="LATTIA",E96,E97)</f>
        <v>3.3</v>
      </c>
      <c r="G36" s="213" t="n">
        <f aca="false">IF(F36&gt;7.1,"liian iso arvo",F36)</f>
        <v>3.3</v>
      </c>
      <c r="H36" s="5"/>
      <c r="I36" s="5"/>
      <c r="J36" s="214" t="s">
        <v>111</v>
      </c>
      <c r="K36" s="214"/>
      <c r="L36" s="214"/>
      <c r="M36" s="214"/>
      <c r="N36" s="214"/>
      <c r="O36" s="214"/>
      <c r="P36" s="214"/>
      <c r="Q36" s="214"/>
      <c r="R36" s="214"/>
      <c r="S36" s="214"/>
      <c r="T36" s="5"/>
      <c r="U36" s="5"/>
      <c r="V36" s="5"/>
      <c r="W36" s="5"/>
      <c r="X36" s="5"/>
      <c r="Y36" s="5"/>
      <c r="Z36" s="5"/>
      <c r="AA36" s="5"/>
      <c r="AB36" s="5"/>
      <c r="AC36" s="63"/>
      <c r="AD36" s="63"/>
      <c r="AE36" s="63"/>
      <c r="AF36" s="63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8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11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</row>
    <row r="37" customFormat="false" ht="14.15" hidden="false" customHeight="true" outlineLevel="0" collapsed="false">
      <c r="A37" s="5"/>
      <c r="B37" s="35" t="s">
        <v>112</v>
      </c>
      <c r="C37" s="35"/>
      <c r="D37" s="35"/>
      <c r="E37" s="35"/>
      <c r="F37" s="215" t="n">
        <v>4</v>
      </c>
      <c r="G37" s="216" t="n">
        <f aca="false">F37</f>
        <v>4</v>
      </c>
      <c r="H37" s="5"/>
      <c r="I37" s="5"/>
      <c r="J37" s="217" t="str">
        <f aca="false">"Maasta vuodessa kerättävä energia  "&amp;ROUND(G51)&amp;" kWh"</f>
        <v>Maasta vuodessa kerättävä energia  19028 kWh</v>
      </c>
      <c r="K37" s="217"/>
      <c r="L37" s="217"/>
      <c r="M37" s="217"/>
      <c r="N37" s="217"/>
      <c r="O37" s="13" t="s">
        <v>113</v>
      </c>
      <c r="P37" s="13" t="s">
        <v>114</v>
      </c>
      <c r="Q37" s="218" t="s">
        <v>115</v>
      </c>
      <c r="R37" s="13" t="s">
        <v>116</v>
      </c>
      <c r="S37" s="13" t="s">
        <v>117</v>
      </c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8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11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</row>
    <row r="38" customFormat="false" ht="14.15" hidden="false" customHeight="true" outlineLevel="0" collapsed="false">
      <c r="A38" s="5"/>
      <c r="B38" s="35" t="s">
        <v>118</v>
      </c>
      <c r="C38" s="35"/>
      <c r="D38" s="35"/>
      <c r="E38" s="35"/>
      <c r="F38" s="199" t="n">
        <v>1000</v>
      </c>
      <c r="G38" s="219" t="n">
        <f aca="false">F38</f>
        <v>1000</v>
      </c>
      <c r="H38" s="5"/>
      <c r="I38" s="5"/>
      <c r="J38" s="89" t="s">
        <v>119</v>
      </c>
      <c r="K38" s="89"/>
      <c r="L38" s="89"/>
      <c r="M38" s="89"/>
      <c r="N38" s="89"/>
      <c r="O38" s="89" t="str">
        <f aca="false">LOOKUP(F45,AM106:AN109)&amp;" "&amp;LOOKUP(F44,AM97:AN101)</f>
        <v>KOSTEA SAVI</v>
      </c>
      <c r="P38" s="89"/>
      <c r="Q38" s="220" t="n">
        <f aca="false">G46</f>
        <v>44.5033374485442</v>
      </c>
      <c r="R38" s="221" t="n">
        <f aca="false">F47</f>
        <v>427.554586947692</v>
      </c>
      <c r="S38" s="222" t="n">
        <f aca="false">G47</f>
        <v>1.0450495049505</v>
      </c>
      <c r="T38" s="63"/>
      <c r="U38" s="63"/>
      <c r="V38" s="63"/>
      <c r="W38" s="63"/>
      <c r="X38" s="63"/>
      <c r="Y38" s="63"/>
      <c r="Z38" s="63"/>
      <c r="AA38" s="63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8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</row>
    <row r="39" customFormat="false" ht="14.15" hidden="false" customHeight="true" outlineLevel="0" collapsed="false">
      <c r="A39" s="5"/>
      <c r="B39" s="48" t="s">
        <v>120</v>
      </c>
      <c r="C39" s="48"/>
      <c r="D39" s="48"/>
      <c r="E39" s="48"/>
      <c r="F39" s="223" t="n">
        <f aca="false">F37*F38</f>
        <v>4000</v>
      </c>
      <c r="G39" s="219" t="n">
        <f aca="false">G37*G38</f>
        <v>4000</v>
      </c>
      <c r="H39" s="5"/>
      <c r="I39" s="5"/>
      <c r="J39" s="224" t="s">
        <v>121</v>
      </c>
      <c r="K39" s="224"/>
      <c r="L39" s="224"/>
      <c r="M39" s="224"/>
      <c r="N39" s="224"/>
      <c r="O39" s="224"/>
      <c r="P39" s="225" t="n">
        <f aca="false">F205</f>
        <v>203</v>
      </c>
      <c r="Q39" s="226" t="str">
        <f aca="false">"tai "&amp;ROUND(E207)&amp;"+"&amp;ROUND(C208)&amp;"+"&amp;C209&amp;"+"&amp;C210&amp;" metriä"</f>
        <v>tai 203+0+0+0 metriä</v>
      </c>
      <c r="R39" s="226"/>
      <c r="S39" s="227" t="str">
        <f aca="false">IF(D206&gt;1,D206&amp;" kaivoa","1 kaivo")</f>
        <v>1 kaivo</v>
      </c>
      <c r="T39" s="228" t="n">
        <f aca="false">C206</f>
        <v>203</v>
      </c>
      <c r="U39" s="62" t="s">
        <v>122</v>
      </c>
      <c r="V39" s="62"/>
      <c r="W39" s="62"/>
      <c r="X39" s="62"/>
      <c r="Y39" s="62"/>
      <c r="Z39" s="62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8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</row>
    <row r="40" customFormat="false" ht="14.15" hidden="false" customHeight="true" outlineLevel="0" collapsed="false">
      <c r="A40" s="5"/>
      <c r="B40" s="48" t="s">
        <v>123</v>
      </c>
      <c r="C40" s="48"/>
      <c r="D40" s="48"/>
      <c r="E40" s="229" t="n">
        <v>2.5</v>
      </c>
      <c r="F40" s="230" t="n">
        <f aca="false">E40</f>
        <v>2.5</v>
      </c>
      <c r="G40" s="166" t="n">
        <f aca="false">F39/F40</f>
        <v>1600</v>
      </c>
      <c r="H40" s="5"/>
      <c r="I40" s="5"/>
      <c r="J40" s="231" t="s">
        <v>124</v>
      </c>
      <c r="K40" s="231"/>
      <c r="L40" s="231"/>
      <c r="M40" s="231"/>
      <c r="N40" s="231"/>
      <c r="O40" s="231"/>
      <c r="P40" s="232" t="n">
        <f aca="false">D204</f>
        <v>5.22946860165469</v>
      </c>
      <c r="Q40" s="233" t="n">
        <f aca="false">G121</f>
        <v>10.70022718582</v>
      </c>
      <c r="R40" s="234" t="n">
        <f aca="false">G59-(G59/O32)</f>
        <v>6.27272727272727</v>
      </c>
      <c r="S40" s="235" t="n">
        <f aca="false">1000*R40/C206</f>
        <v>30.9001343484102</v>
      </c>
      <c r="T40" s="236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8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</row>
    <row r="41" customFormat="false" ht="14.15" hidden="false" customHeight="true" outlineLevel="0" collapsed="false">
      <c r="A41" s="5"/>
      <c r="B41" s="237" t="s">
        <v>125</v>
      </c>
      <c r="C41" s="237"/>
      <c r="D41" s="237"/>
      <c r="E41" s="237"/>
      <c r="F41" s="184" t="n">
        <v>3000</v>
      </c>
      <c r="G41" s="60" t="n">
        <f aca="false">IF(F41&lt;(D95*$G$22+2500),D95*$G$22+2500,F41)</f>
        <v>4630</v>
      </c>
      <c r="H41" s="5"/>
      <c r="I41" s="5"/>
      <c r="J41" s="231" t="s">
        <v>126</v>
      </c>
      <c r="K41" s="231"/>
      <c r="L41" s="231"/>
      <c r="M41" s="231"/>
      <c r="N41" s="231"/>
      <c r="O41" s="231"/>
      <c r="P41" s="231"/>
      <c r="Q41" s="238" t="n">
        <f aca="false">H122</f>
        <v>6.01203017800935</v>
      </c>
      <c r="R41" s="239" t="n">
        <f aca="false">B206</f>
        <v>93.7339901477833</v>
      </c>
      <c r="S41" s="240" t="n">
        <f aca="false">G53/T39</f>
        <v>137.226600985222</v>
      </c>
      <c r="T41" s="241" t="n">
        <f aca="false">D205</f>
        <v>0.01</v>
      </c>
      <c r="U41" s="62" t="s">
        <v>127</v>
      </c>
      <c r="V41" s="62"/>
      <c r="W41" s="62"/>
      <c r="X41" s="62"/>
      <c r="Y41" s="62"/>
      <c r="Z41" s="62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8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</row>
    <row r="42" customFormat="false" ht="14.15" hidden="false" customHeight="true" outlineLevel="0" collapsed="false">
      <c r="A42" s="5"/>
      <c r="B42" s="185" t="s">
        <v>128</v>
      </c>
      <c r="C42" s="185"/>
      <c r="D42" s="185"/>
      <c r="E42" s="242" t="n">
        <f aca="false">IF(G9="Ei",0,E94)</f>
        <v>0</v>
      </c>
      <c r="F42" s="243" t="n">
        <f aca="false">E42*G41</f>
        <v>0</v>
      </c>
      <c r="G42" s="192" t="n">
        <f aca="false">ROUND(G34+G39+0.1-F42)</f>
        <v>27857</v>
      </c>
      <c r="H42" s="5"/>
      <c r="I42" s="5"/>
      <c r="J42" s="76" t="str">
        <f aca="false">" - Kiviaineksen lämmönjohtoluvuksi valittu "&amp;E106&amp;"  W / (mK)  ja keskikuorma kaivosta vuoden jaksolla on"</f>
        <v> - Kiviaineksen lämmönjohtoluvuksi valittu 3  W / (mK)  ja keskikuorma kaivosta vuoden jaksolla on</v>
      </c>
      <c r="K42" s="76"/>
      <c r="L42" s="76"/>
      <c r="M42" s="76"/>
      <c r="N42" s="76"/>
      <c r="O42" s="76"/>
      <c r="P42" s="76"/>
      <c r="Q42" s="76"/>
      <c r="R42" s="244" t="n">
        <f aca="false">F128</f>
        <v>10.70022718582</v>
      </c>
      <c r="S42" s="245" t="n">
        <f aca="false">G128</f>
        <v>1.77048456863363</v>
      </c>
      <c r="T42" s="246" t="s">
        <v>129</v>
      </c>
      <c r="U42" s="247" t="n">
        <f aca="false">E207</f>
        <v>203</v>
      </c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8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</row>
    <row r="43" customFormat="false" ht="14.15" hidden="false" customHeight="true" outlineLevel="0" collapsed="false">
      <c r="A43" s="5"/>
      <c r="B43" s="248" t="s">
        <v>130</v>
      </c>
      <c r="C43" s="248"/>
      <c r="D43" s="248"/>
      <c r="E43" s="248"/>
      <c r="F43" s="248"/>
      <c r="G43" s="248"/>
      <c r="H43" s="5"/>
      <c r="I43" s="5"/>
      <c r="J43" s="249" t="s">
        <v>131</v>
      </c>
      <c r="K43" s="249"/>
      <c r="L43" s="249"/>
      <c r="M43" s="249"/>
      <c r="N43" s="249"/>
      <c r="O43" s="249"/>
      <c r="P43" s="249"/>
      <c r="Q43" s="250" t="n">
        <f aca="false">P65</f>
        <v>27857</v>
      </c>
      <c r="R43" s="251" t="n">
        <f aca="false">S25</f>
        <v>3.15502968733912</v>
      </c>
      <c r="S43" s="252" t="n">
        <f aca="false">G51</f>
        <v>19027.6060606061</v>
      </c>
      <c r="T43" s="253" t="s">
        <v>132</v>
      </c>
      <c r="U43" s="254" t="n">
        <f aca="false">E208</f>
        <v>0</v>
      </c>
      <c r="V43" s="63"/>
      <c r="W43" s="63"/>
      <c r="X43" s="63"/>
      <c r="Y43" s="63"/>
      <c r="Z43" s="63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8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</row>
    <row r="44" customFormat="false" ht="14.15" hidden="false" customHeight="true" outlineLevel="0" collapsed="false">
      <c r="A44" s="5"/>
      <c r="B44" s="255" t="s">
        <v>133</v>
      </c>
      <c r="C44" s="255"/>
      <c r="D44" s="255"/>
      <c r="E44" s="255"/>
      <c r="F44" s="256" t="s">
        <v>134</v>
      </c>
      <c r="G44" s="257" t="n">
        <f aca="false">I47*I48</f>
        <v>2.94</v>
      </c>
      <c r="H44" s="5"/>
      <c r="I44" s="5"/>
      <c r="J44" s="258" t="str">
        <f aca="false">IF(F49="LÄMMITYSTARPEEN","Mitoitus on laskettu lämmitystarpeen mukaan","Mitoitus on laskettu valitun lämpöpumppukoon, ei rakennusten lämmitystarpeen mukaan!")</f>
        <v>Mitoitus on laskettu lämmitystarpeen mukaan</v>
      </c>
      <c r="K44" s="258"/>
      <c r="L44" s="258"/>
      <c r="M44" s="258"/>
      <c r="N44" s="258"/>
      <c r="O44" s="258"/>
      <c r="P44" s="258"/>
      <c r="Q44" s="258"/>
      <c r="R44" s="258"/>
      <c r="S44" s="258"/>
      <c r="T44" s="253" t="s">
        <v>135</v>
      </c>
      <c r="U44" s="254" t="n">
        <f aca="false">E209</f>
        <v>0</v>
      </c>
      <c r="V44" s="31"/>
      <c r="W44" s="31"/>
      <c r="X44" s="31"/>
      <c r="Y44" s="31"/>
      <c r="Z44" s="31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8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</row>
    <row r="45" customFormat="false" ht="14.15" hidden="false" customHeight="true" outlineLevel="0" collapsed="false">
      <c r="A45" s="5"/>
      <c r="B45" s="255" t="s">
        <v>136</v>
      </c>
      <c r="C45" s="255"/>
      <c r="D45" s="255"/>
      <c r="E45" s="255"/>
      <c r="F45" s="256" t="s">
        <v>137</v>
      </c>
      <c r="G45" s="259" t="n">
        <f aca="false">G44*I49</f>
        <v>8.526</v>
      </c>
      <c r="H45" s="5"/>
      <c r="I45" s="5"/>
      <c r="J45" s="260" t="s">
        <v>138</v>
      </c>
      <c r="K45" s="260"/>
      <c r="L45" s="260"/>
      <c r="M45" s="260"/>
      <c r="N45" s="260"/>
      <c r="O45" s="260"/>
      <c r="P45" s="261" t="s">
        <v>139</v>
      </c>
      <c r="Q45" s="262" t="str">
        <f aca="false">"sisälämpö "&amp;ROUND(T61)&amp;" C,"</f>
        <v>sisälämpö 21 C,</v>
      </c>
      <c r="R45" s="263" t="s">
        <v>140</v>
      </c>
      <c r="S45" s="264" t="str">
        <f aca="false">F71&amp;" C ja "&amp;Z64&amp;" C"</f>
        <v>-1 C ja -32 C</v>
      </c>
      <c r="T45" s="246" t="s">
        <v>141</v>
      </c>
      <c r="U45" s="247" t="n">
        <f aca="false">E210</f>
        <v>0</v>
      </c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8"/>
      <c r="AN45" s="5"/>
      <c r="AO45" s="5"/>
      <c r="AP45" s="5"/>
      <c r="AQ45" s="5"/>
      <c r="AR45" s="5"/>
      <c r="AS45" s="5"/>
      <c r="AT45" s="5"/>
      <c r="AU45" s="5"/>
      <c r="AV45" s="8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</row>
    <row r="46" customFormat="false" ht="14.15" hidden="false" customHeight="true" outlineLevel="0" collapsed="false">
      <c r="A46" s="5"/>
      <c r="B46" s="265" t="s">
        <v>142</v>
      </c>
      <c r="C46" s="265"/>
      <c r="D46" s="266" t="n">
        <v>5000</v>
      </c>
      <c r="E46" s="267" t="n">
        <f aca="false">2-D46/(((F57-D46)/2)+D46)</f>
        <v>0.977939688322202</v>
      </c>
      <c r="F46" s="268" t="n">
        <f aca="false">(-1*(($C$196*F57+$C$199)/365)+17)+$C$200</f>
        <v>5.22946860165469</v>
      </c>
      <c r="G46" s="269" t="n">
        <f aca="false">IF(F57&lt;AO97,E46*G45*F46,E46*((F57-AO97)/AO98+G45*F46))</f>
        <v>44.5033374485442</v>
      </c>
      <c r="H46" s="5"/>
      <c r="I46" s="63"/>
      <c r="J46" s="36" t="s">
        <v>143</v>
      </c>
      <c r="K46" s="36"/>
      <c r="L46" s="36"/>
      <c r="M46" s="36"/>
      <c r="N46" s="36"/>
      <c r="O46" s="270" t="n">
        <v>-10</v>
      </c>
      <c r="P46" s="271" t="s">
        <v>144</v>
      </c>
      <c r="Q46" s="271"/>
      <c r="R46" s="272" t="n">
        <f aca="false">G62</f>
        <v>5.05695476374971</v>
      </c>
      <c r="S46" s="273" t="str">
        <f aca="false">IF(R46&lt;(0.97*$T$65),"Osatehoinen","Täystehoinen")</f>
        <v>Osatehoinen</v>
      </c>
      <c r="T46" s="5"/>
      <c r="U46" s="8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274"/>
      <c r="AN46" s="5"/>
      <c r="AO46" s="5"/>
      <c r="AP46" s="5"/>
      <c r="AQ46" s="5"/>
      <c r="AR46" s="5"/>
      <c r="AS46" s="5"/>
      <c r="AT46" s="5"/>
      <c r="AU46" s="5"/>
      <c r="AV46" s="8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</row>
    <row r="47" customFormat="false" ht="14.15" hidden="false" customHeight="true" outlineLevel="0" collapsed="false">
      <c r="A47" s="5"/>
      <c r="B47" s="275"/>
      <c r="C47" s="276" t="s">
        <v>145</v>
      </c>
      <c r="D47" s="276"/>
      <c r="E47" s="276"/>
      <c r="F47" s="277" t="n">
        <f aca="false">G51/G46</f>
        <v>427.554586947692</v>
      </c>
      <c r="G47" s="278" t="n">
        <f aca="false">IF(1&gt;($F$57-AO99),0.8,0.8+(F57-AO99)/AO100)</f>
        <v>1.0450495049505</v>
      </c>
      <c r="H47" s="5"/>
      <c r="I47" s="279" t="n">
        <f aca="false">LOOKUP(F44,AK97:AL101)</f>
        <v>1.05</v>
      </c>
      <c r="J47" s="36" t="s">
        <v>143</v>
      </c>
      <c r="K47" s="36"/>
      <c r="L47" s="36"/>
      <c r="M47" s="36"/>
      <c r="N47" s="36"/>
      <c r="O47" s="270" t="n">
        <v>-15</v>
      </c>
      <c r="P47" s="271" t="s">
        <v>144</v>
      </c>
      <c r="Q47" s="271"/>
      <c r="R47" s="272" t="n">
        <f aca="false">G63</f>
        <v>5.87259262887063</v>
      </c>
      <c r="S47" s="273" t="str">
        <f aca="false">IF(R47&lt;(0.97*$T$65),"Osatehoinen","Täystehoinen")</f>
        <v>Osatehoinen</v>
      </c>
      <c r="T47" s="5"/>
      <c r="U47" s="8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280"/>
      <c r="AN47" s="5"/>
      <c r="AO47" s="5"/>
      <c r="AP47" s="5"/>
      <c r="AQ47" s="5"/>
      <c r="AR47" s="5"/>
      <c r="AS47" s="5"/>
      <c r="AT47" s="5"/>
      <c r="AU47" s="5"/>
      <c r="AV47" s="8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</row>
    <row r="48" customFormat="false" ht="14.15" hidden="false" customHeight="true" outlineLevel="0" collapsed="false">
      <c r="A48" s="5"/>
      <c r="B48" s="20" t="s">
        <v>146</v>
      </c>
      <c r="C48" s="20"/>
      <c r="D48" s="20"/>
      <c r="E48" s="20"/>
      <c r="F48" s="20"/>
      <c r="G48" s="20"/>
      <c r="H48" s="5"/>
      <c r="I48" s="279" t="n">
        <f aca="false">LOOKUP(F45,AK106:AL109)</f>
        <v>2.8</v>
      </c>
      <c r="J48" s="36" t="s">
        <v>143</v>
      </c>
      <c r="K48" s="36"/>
      <c r="L48" s="36"/>
      <c r="M48" s="36"/>
      <c r="N48" s="36"/>
      <c r="O48" s="270" t="n">
        <v>-20</v>
      </c>
      <c r="P48" s="271" t="s">
        <v>144</v>
      </c>
      <c r="Q48" s="271"/>
      <c r="R48" s="272" t="n">
        <f aca="false">G64</f>
        <v>6.68823049399155</v>
      </c>
      <c r="S48" s="273" t="str">
        <f aca="false">IF(R48&lt;(0.97*$T$65),"Osatehoinen","Täystehoinen")</f>
        <v>Osatehoinen</v>
      </c>
      <c r="T48" s="5"/>
      <c r="U48" s="8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281"/>
      <c r="AN48" s="5"/>
      <c r="AO48" s="5"/>
      <c r="AP48" s="5"/>
      <c r="AQ48" s="5"/>
      <c r="AR48" s="5"/>
      <c r="AS48" s="5"/>
      <c r="AT48" s="5"/>
      <c r="AU48" s="5"/>
      <c r="AV48" s="8"/>
      <c r="AW48" s="9"/>
      <c r="AX48" s="282" t="s">
        <v>147</v>
      </c>
      <c r="AY48" s="282" t="s">
        <v>148</v>
      </c>
      <c r="AZ48" s="282" t="s">
        <v>149</v>
      </c>
      <c r="BA48" s="282" t="s">
        <v>150</v>
      </c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  <c r="BN48" s="63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</row>
    <row r="49" customFormat="false" ht="14.15" hidden="false" customHeight="true" outlineLevel="0" collapsed="false">
      <c r="A49" s="5"/>
      <c r="B49" s="19" t="s">
        <v>151</v>
      </c>
      <c r="C49" s="19"/>
      <c r="D49" s="19"/>
      <c r="E49" s="19"/>
      <c r="F49" s="283" t="s">
        <v>152</v>
      </c>
      <c r="G49" s="284" t="n">
        <f aca="false">IF(F49="LÄMMITYSTARPEEN",R10,Q65)</f>
        <v>27857</v>
      </c>
      <c r="H49" s="5"/>
      <c r="I49" s="285" t="n">
        <v>2.9</v>
      </c>
      <c r="J49" s="36" t="s">
        <v>143</v>
      </c>
      <c r="K49" s="36"/>
      <c r="L49" s="36"/>
      <c r="M49" s="36"/>
      <c r="N49" s="36"/>
      <c r="O49" s="270" t="n">
        <v>-25</v>
      </c>
      <c r="P49" s="271" t="s">
        <v>144</v>
      </c>
      <c r="Q49" s="271"/>
      <c r="R49" s="286" t="n">
        <f aca="false">G65</f>
        <v>7.50386835911247</v>
      </c>
      <c r="S49" s="273" t="str">
        <f aca="false">IF(R49&lt;(0.97*$T$65),"Osatehoinen","Täystehoinen")</f>
        <v>Osatehoinen</v>
      </c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287"/>
      <c r="AN49" s="5"/>
      <c r="AO49" s="5"/>
      <c r="AP49" s="5"/>
      <c r="AQ49" s="5"/>
      <c r="AR49" s="5"/>
      <c r="AS49" s="5"/>
      <c r="AT49" s="5"/>
      <c r="AU49" s="5"/>
      <c r="AV49" s="8"/>
      <c r="AW49" s="9"/>
      <c r="AX49" s="282" t="str">
        <f aca="false">D55</f>
        <v>Jyväskylä</v>
      </c>
      <c r="AY49" s="282" t="n">
        <f aca="false">VLOOKUP(AX49,AW97:BA112,2, 1)</f>
        <v>10</v>
      </c>
      <c r="AZ49" s="288" t="n">
        <f aca="false">HLOOKUP($AY$49,AW51:BM64,14,0)</f>
        <v>3.73333333333333</v>
      </c>
      <c r="BA49" s="288" t="n">
        <f aca="false">HLOOKUP($AY$49,AX51:BN64,2,0)</f>
        <v>-8.5</v>
      </c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</row>
    <row r="50" customFormat="false" ht="14.15" hidden="false" customHeight="true" outlineLevel="0" collapsed="false">
      <c r="A50" s="5"/>
      <c r="B50" s="22" t="s">
        <v>153</v>
      </c>
      <c r="C50" s="22"/>
      <c r="D50" s="22"/>
      <c r="E50" s="4"/>
      <c r="F50" s="289" t="s">
        <v>154</v>
      </c>
      <c r="G50" s="290" t="n">
        <f aca="false">R10/((R7+R8)/F36+F39/F40)</f>
        <v>3.15502968733912</v>
      </c>
      <c r="H50" s="5"/>
      <c r="I50" s="291"/>
      <c r="J50" s="36" t="s">
        <v>143</v>
      </c>
      <c r="K50" s="36"/>
      <c r="L50" s="36"/>
      <c r="M50" s="36"/>
      <c r="N50" s="36"/>
      <c r="O50" s="270" t="n">
        <v>-30</v>
      </c>
      <c r="P50" s="271" t="s">
        <v>144</v>
      </c>
      <c r="Q50" s="271"/>
      <c r="R50" s="286" t="n">
        <f aca="false">G66</f>
        <v>8.31950622423339</v>
      </c>
      <c r="S50" s="273" t="str">
        <f aca="false">IF(R50&lt;(0.97*$T$65),"Osatehoinen","Täystehoinen")</f>
        <v>Osatehoinen</v>
      </c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292"/>
      <c r="AM50" s="293"/>
      <c r="AN50" s="5"/>
      <c r="AO50" s="5"/>
      <c r="AP50" s="5"/>
      <c r="AQ50" s="5"/>
      <c r="AR50" s="5"/>
      <c r="AS50" s="5"/>
      <c r="AT50" s="5"/>
      <c r="AU50" s="5"/>
      <c r="AV50" s="8"/>
      <c r="AW50" s="9" t="s">
        <v>155</v>
      </c>
      <c r="AX50" s="294" t="s">
        <v>156</v>
      </c>
      <c r="AY50" s="294" t="s">
        <v>157</v>
      </c>
      <c r="AZ50" s="294" t="s">
        <v>158</v>
      </c>
      <c r="BA50" s="294" t="s">
        <v>159</v>
      </c>
      <c r="BB50" s="294" t="s">
        <v>160</v>
      </c>
      <c r="BC50" s="294" t="s">
        <v>161</v>
      </c>
      <c r="BD50" s="294" t="s">
        <v>162</v>
      </c>
      <c r="BE50" s="294" t="s">
        <v>163</v>
      </c>
      <c r="BF50" s="294" t="s">
        <v>164</v>
      </c>
      <c r="BG50" s="294" t="s">
        <v>165</v>
      </c>
      <c r="BH50" s="294" t="s">
        <v>166</v>
      </c>
      <c r="BI50" s="294" t="s">
        <v>167</v>
      </c>
      <c r="BJ50" s="294" t="s">
        <v>168</v>
      </c>
      <c r="BK50" s="294" t="s">
        <v>169</v>
      </c>
      <c r="BL50" s="294" t="s">
        <v>170</v>
      </c>
      <c r="BM50" s="294" t="s">
        <v>171</v>
      </c>
      <c r="BN50" s="63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</row>
    <row r="51" customFormat="false" ht="14.15" hidden="false" customHeight="true" outlineLevel="0" collapsed="false">
      <c r="A51" s="5"/>
      <c r="B51" s="35" t="s">
        <v>172</v>
      </c>
      <c r="C51" s="35"/>
      <c r="D51" s="35"/>
      <c r="E51" s="35"/>
      <c r="F51" s="295" t="n">
        <f aca="false">G59-(G59/O35)</f>
        <v>6.1473634829829</v>
      </c>
      <c r="G51" s="296" t="n">
        <f aca="false">G49-G52</f>
        <v>19027.6060606061</v>
      </c>
      <c r="H51" s="5"/>
      <c r="I51" s="291"/>
      <c r="J51" s="36" t="s">
        <v>143</v>
      </c>
      <c r="K51" s="36"/>
      <c r="L51" s="36"/>
      <c r="M51" s="36"/>
      <c r="N51" s="36"/>
      <c r="O51" s="270" t="n">
        <v>-35</v>
      </c>
      <c r="P51" s="271" t="s">
        <v>144</v>
      </c>
      <c r="Q51" s="271"/>
      <c r="R51" s="286" t="n">
        <f aca="false">G67</f>
        <v>9.13514408935431</v>
      </c>
      <c r="S51" s="273" t="str">
        <f aca="false">IF(R51&lt;(0.97*$T$65),"Osatehoinen","Täystehoinen")</f>
        <v>Täystehoinen</v>
      </c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8"/>
      <c r="AN51" s="5"/>
      <c r="AO51" s="5"/>
      <c r="AP51" s="5"/>
      <c r="AQ51" s="5"/>
      <c r="AR51" s="5"/>
      <c r="AS51" s="5"/>
      <c r="AT51" s="5"/>
      <c r="AU51" s="5"/>
      <c r="AV51" s="8"/>
      <c r="AW51" s="297" t="n">
        <v>1</v>
      </c>
      <c r="AX51" s="297" t="n">
        <v>2</v>
      </c>
      <c r="AY51" s="297" t="n">
        <v>3</v>
      </c>
      <c r="AZ51" s="297" t="n">
        <v>4</v>
      </c>
      <c r="BA51" s="297" t="n">
        <v>5</v>
      </c>
      <c r="BB51" s="297" t="n">
        <v>6</v>
      </c>
      <c r="BC51" s="297" t="n">
        <v>7</v>
      </c>
      <c r="BD51" s="297" t="n">
        <v>8</v>
      </c>
      <c r="BE51" s="297" t="n">
        <v>9</v>
      </c>
      <c r="BF51" s="297" t="n">
        <v>10</v>
      </c>
      <c r="BG51" s="297" t="n">
        <v>11</v>
      </c>
      <c r="BH51" s="297" t="n">
        <v>12</v>
      </c>
      <c r="BI51" s="297" t="n">
        <v>13</v>
      </c>
      <c r="BJ51" s="297" t="n">
        <v>14</v>
      </c>
      <c r="BK51" s="297" t="n">
        <v>15</v>
      </c>
      <c r="BL51" s="297" t="n">
        <v>16</v>
      </c>
      <c r="BM51" s="297" t="n">
        <v>17</v>
      </c>
      <c r="BN51" s="63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</row>
    <row r="52" customFormat="false" ht="14.15" hidden="false" customHeight="true" outlineLevel="0" collapsed="false">
      <c r="A52" s="5"/>
      <c r="B52" s="35" t="s">
        <v>173</v>
      </c>
      <c r="C52" s="35"/>
      <c r="D52" s="35"/>
      <c r="E52" s="35"/>
      <c r="F52" s="298" t="n">
        <f aca="false">G59/G50</f>
        <v>2.85258805523012</v>
      </c>
      <c r="G52" s="296" t="n">
        <f aca="false">G49/G50</f>
        <v>8829.39393939394</v>
      </c>
      <c r="H52" s="5"/>
      <c r="I52" s="291"/>
      <c r="J52" s="36" t="s">
        <v>143</v>
      </c>
      <c r="K52" s="36"/>
      <c r="L52" s="36"/>
      <c r="M52" s="36"/>
      <c r="N52" s="36"/>
      <c r="O52" s="270" t="n">
        <v>-40</v>
      </c>
      <c r="P52" s="271" t="s">
        <v>144</v>
      </c>
      <c r="Q52" s="271"/>
      <c r="R52" s="286" t="n">
        <f aca="false">G68</f>
        <v>9.95078195447524</v>
      </c>
      <c r="S52" s="273" t="str">
        <f aca="false">IF(R52&lt;(0.97*$T$65),"Osatehoinen","Täystehoinen")</f>
        <v>Täystehoinen</v>
      </c>
      <c r="T52" s="5"/>
      <c r="U52" s="10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8"/>
      <c r="AN52" s="5"/>
      <c r="AO52" s="5"/>
      <c r="AP52" s="5"/>
      <c r="AQ52" s="5"/>
      <c r="AR52" s="5"/>
      <c r="AS52" s="5"/>
      <c r="AT52" s="5"/>
      <c r="AU52" s="299" t="n">
        <f aca="false">HLOOKUP($AY$49,$AW$51:$BM$63,(H61+1), )</f>
        <v>10</v>
      </c>
      <c r="AV52" s="8"/>
      <c r="AW52" s="63" t="s">
        <v>174</v>
      </c>
      <c r="AX52" s="300" t="n">
        <v>-2.5</v>
      </c>
      <c r="AY52" s="300" t="n">
        <v>-5.5</v>
      </c>
      <c r="AZ52" s="300" t="n">
        <v>-4.2</v>
      </c>
      <c r="BA52" s="300" t="n">
        <v>-5.1</v>
      </c>
      <c r="BB52" s="300" t="n">
        <v>-5</v>
      </c>
      <c r="BC52" s="300" t="n">
        <v>-6.8</v>
      </c>
      <c r="BD52" s="300" t="n">
        <v>-6.8</v>
      </c>
      <c r="BE52" s="300" t="n">
        <v>-7.7</v>
      </c>
      <c r="BF52" s="300" t="n">
        <v>-8.5</v>
      </c>
      <c r="BG52" s="300" t="n">
        <v>-6</v>
      </c>
      <c r="BH52" s="300" t="n">
        <v>-9.1</v>
      </c>
      <c r="BI52" s="300" t="n">
        <v>-9.5</v>
      </c>
      <c r="BJ52" s="300" t="n">
        <v>-10.5</v>
      </c>
      <c r="BK52" s="300" t="n">
        <v>-9</v>
      </c>
      <c r="BL52" s="300" t="n">
        <v>-12.1</v>
      </c>
      <c r="BM52" s="300" t="n">
        <v>-10.8</v>
      </c>
      <c r="BN52" s="63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</row>
    <row r="53" customFormat="false" ht="14.15" hidden="false" customHeight="true" outlineLevel="0" collapsed="false">
      <c r="A53" s="5"/>
      <c r="B53" s="35" t="s">
        <v>175</v>
      </c>
      <c r="C53" s="35"/>
      <c r="D53" s="35"/>
      <c r="E53" s="35"/>
      <c r="F53" s="301" t="s">
        <v>176</v>
      </c>
      <c r="G53" s="192" t="n">
        <f aca="false">G51+G52</f>
        <v>27857</v>
      </c>
      <c r="H53" s="5"/>
      <c r="I53" s="291"/>
      <c r="J53" s="302" t="s">
        <v>177</v>
      </c>
      <c r="K53" s="302"/>
      <c r="L53" s="302"/>
      <c r="M53" s="302"/>
      <c r="N53" s="302"/>
      <c r="O53" s="302"/>
      <c r="P53" s="302"/>
      <c r="Q53" s="302"/>
      <c r="R53" s="273" t="n">
        <f aca="false">T65</f>
        <v>8.64576137028176</v>
      </c>
      <c r="S53" s="273"/>
      <c r="T53" s="303" t="n">
        <f aca="false">R53</f>
        <v>8.64576137028176</v>
      </c>
      <c r="U53" s="102" t="s">
        <v>178</v>
      </c>
      <c r="V53" s="102"/>
      <c r="W53" s="102"/>
      <c r="X53" s="102"/>
      <c r="Y53" s="102"/>
      <c r="Z53" s="102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304" t="n">
        <v>0.722948</v>
      </c>
      <c r="AN53" s="5" t="s">
        <v>179</v>
      </c>
      <c r="AO53" s="5"/>
      <c r="AP53" s="5"/>
      <c r="AQ53" s="5"/>
      <c r="AR53" s="5"/>
      <c r="AS53" s="5"/>
      <c r="AT53" s="305"/>
      <c r="AU53" s="299" t="n">
        <f aca="false">HLOOKUP($AY$49,$AW$51:$BM$63,(H62+1), )</f>
        <v>10</v>
      </c>
      <c r="AV53" s="8"/>
      <c r="AW53" s="63" t="s">
        <v>180</v>
      </c>
      <c r="AX53" s="300" t="n">
        <v>-3.5</v>
      </c>
      <c r="AY53" s="300" t="n">
        <v>-6</v>
      </c>
      <c r="AZ53" s="300" t="n">
        <v>-4.9</v>
      </c>
      <c r="BA53" s="300" t="n">
        <v>-5.3</v>
      </c>
      <c r="BB53" s="300" t="n">
        <v>-5.4</v>
      </c>
      <c r="BC53" s="300" t="n">
        <v>-6.9</v>
      </c>
      <c r="BD53" s="300" t="n">
        <v>-7.1</v>
      </c>
      <c r="BE53" s="300" t="n">
        <v>-8</v>
      </c>
      <c r="BF53" s="300" t="n">
        <v>-8.7</v>
      </c>
      <c r="BG53" s="300" t="n">
        <v>-6.9</v>
      </c>
      <c r="BH53" s="300" t="n">
        <v>-9.7</v>
      </c>
      <c r="BI53" s="300" t="n">
        <v>-9.9</v>
      </c>
      <c r="BJ53" s="300" t="n">
        <v>-11.2</v>
      </c>
      <c r="BK53" s="300" t="n">
        <v>-10</v>
      </c>
      <c r="BL53" s="300" t="n">
        <v>-13.9</v>
      </c>
      <c r="BM53" s="300" t="n">
        <v>-13.5</v>
      </c>
      <c r="BN53" s="63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</row>
    <row r="54" customFormat="false" ht="14.15" hidden="false" customHeight="true" outlineLevel="0" collapsed="false">
      <c r="A54" s="5"/>
      <c r="B54" s="20" t="s">
        <v>181</v>
      </c>
      <c r="C54" s="20"/>
      <c r="D54" s="20"/>
      <c r="E54" s="20"/>
      <c r="F54" s="20"/>
      <c r="G54" s="20"/>
      <c r="H54" s="5"/>
      <c r="I54" s="291"/>
      <c r="J54" s="306" t="s">
        <v>182</v>
      </c>
      <c r="K54" s="306"/>
      <c r="L54" s="306"/>
      <c r="M54" s="306"/>
      <c r="N54" s="306"/>
      <c r="O54" s="306"/>
      <c r="P54" s="306"/>
      <c r="Q54" s="306"/>
      <c r="R54" s="307" t="n">
        <f aca="false">$F$59</f>
        <v>9</v>
      </c>
      <c r="S54" s="308" t="str">
        <f aca="false">$G$60</f>
        <v>Täystehoinen</v>
      </c>
      <c r="T54" s="303" t="n">
        <f aca="false">R54</f>
        <v>9</v>
      </c>
      <c r="U54" s="62" t="s">
        <v>183</v>
      </c>
      <c r="V54" s="62"/>
      <c r="W54" s="62"/>
      <c r="X54" s="62"/>
      <c r="Y54" s="62"/>
      <c r="Z54" s="62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8" t="n">
        <v>0.8489151</v>
      </c>
      <c r="AN54" s="5" t="s">
        <v>184</v>
      </c>
      <c r="AO54" s="5"/>
      <c r="AP54" s="5"/>
      <c r="AQ54" s="5"/>
      <c r="AR54" s="5"/>
      <c r="AS54" s="5"/>
      <c r="AT54" s="309"/>
      <c r="AU54" s="299" t="n">
        <f aca="false">HLOOKUP($AY$49,$AW$51:$BM$63,(H63+1), )</f>
        <v>10</v>
      </c>
      <c r="AV54" s="8"/>
      <c r="AW54" s="63" t="s">
        <v>185</v>
      </c>
      <c r="AX54" s="300" t="n">
        <v>-0.9</v>
      </c>
      <c r="AY54" s="300" t="n">
        <v>-2.3</v>
      </c>
      <c r="AZ54" s="300" t="n">
        <v>-1.3</v>
      </c>
      <c r="BA54" s="300" t="n">
        <v>-1.9</v>
      </c>
      <c r="BB54" s="300" t="n">
        <v>-2</v>
      </c>
      <c r="BC54" s="300" t="n">
        <v>-3.2</v>
      </c>
      <c r="BD54" s="300" t="n">
        <v>-3.1</v>
      </c>
      <c r="BE54" s="300" t="n">
        <v>-3.7</v>
      </c>
      <c r="BF54" s="300" t="n">
        <v>-4.4</v>
      </c>
      <c r="BG54" s="300" t="n">
        <v>-2.9</v>
      </c>
      <c r="BH54" s="300" t="n">
        <v>-4.8</v>
      </c>
      <c r="BI54" s="300" t="n">
        <v>-5.2</v>
      </c>
      <c r="BJ54" s="300" t="n">
        <v>-6.5</v>
      </c>
      <c r="BK54" s="300" t="n">
        <v>-5.6</v>
      </c>
      <c r="BL54" s="300" t="n">
        <v>-8.5</v>
      </c>
      <c r="BM54" s="300" t="n">
        <v>-8</v>
      </c>
      <c r="BN54" s="63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</row>
    <row r="55" customFormat="false" ht="14.15" hidden="false" customHeight="true" outlineLevel="0" collapsed="false">
      <c r="A55" s="5"/>
      <c r="B55" s="310" t="s">
        <v>186</v>
      </c>
      <c r="C55" s="310"/>
      <c r="D55" s="310" t="str">
        <f aca="false">LOOKUP(F17,Data!A3:B4003)</f>
        <v>Jyväskylä</v>
      </c>
      <c r="E55" s="310"/>
      <c r="F55" s="310" t="s">
        <v>187</v>
      </c>
      <c r="G55" s="311" t="s">
        <v>150</v>
      </c>
      <c r="H55" s="5"/>
      <c r="I55" s="291"/>
      <c r="J55" s="217" t="s">
        <v>188</v>
      </c>
      <c r="K55" s="217"/>
      <c r="L55" s="217"/>
      <c r="M55" s="217"/>
      <c r="N55" s="217"/>
      <c r="O55" s="217"/>
      <c r="P55" s="217"/>
      <c r="Q55" s="217"/>
      <c r="R55" s="312" t="n">
        <f aca="false">$F$60</f>
        <v>-34.1715435542324</v>
      </c>
      <c r="S55" s="308" t="str">
        <f aca="false">IF(R55&gt;-46,"","Ylitehoinen")</f>
        <v/>
      </c>
      <c r="T55" s="313" t="n">
        <f aca="false">R55</f>
        <v>-34.1715435542324</v>
      </c>
      <c r="U55" s="62" t="s">
        <v>189</v>
      </c>
      <c r="V55" s="62"/>
      <c r="W55" s="62"/>
      <c r="X55" s="62"/>
      <c r="Y55" s="62"/>
      <c r="Z55" s="62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314"/>
      <c r="AU55" s="299" t="n">
        <f aca="false">HLOOKUP($AY$49,$AW$51:$BM$63,(H64+1), )</f>
        <v>10</v>
      </c>
      <c r="AV55" s="8"/>
      <c r="AW55" s="63" t="s">
        <v>190</v>
      </c>
      <c r="AX55" s="300" t="n">
        <v>3.8</v>
      </c>
      <c r="AY55" s="300" t="n">
        <v>4.7</v>
      </c>
      <c r="AZ55" s="300" t="n">
        <v>4.7</v>
      </c>
      <c r="BA55" s="300" t="n">
        <v>4.1</v>
      </c>
      <c r="BB55" s="300" t="n">
        <v>4.4</v>
      </c>
      <c r="BC55" s="300" t="n">
        <v>3.7</v>
      </c>
      <c r="BD55" s="300" t="n">
        <v>4.1</v>
      </c>
      <c r="BE55" s="300" t="n">
        <v>3.8</v>
      </c>
      <c r="BF55" s="300" t="n">
        <v>2.9</v>
      </c>
      <c r="BG55" s="300" t="n">
        <v>3.1</v>
      </c>
      <c r="BH55" s="300" t="n">
        <v>2.6</v>
      </c>
      <c r="BI55" s="300" t="n">
        <v>2.3</v>
      </c>
      <c r="BJ55" s="300" t="n">
        <v>1.3</v>
      </c>
      <c r="BK55" s="300" t="n">
        <v>1.4</v>
      </c>
      <c r="BL55" s="300" t="n">
        <v>-0.4</v>
      </c>
      <c r="BM55" s="300" t="n">
        <v>-0.7</v>
      </c>
      <c r="BN55" s="63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</row>
    <row r="56" customFormat="false" ht="14.15" hidden="false" customHeight="true" outlineLevel="0" collapsed="false">
      <c r="A56" s="5"/>
      <c r="B56" s="310" t="s">
        <v>191</v>
      </c>
      <c r="C56" s="310" t="s">
        <v>192</v>
      </c>
      <c r="D56" s="310" t="str">
        <f aca="false">LOOKUP(D55,Data!O76:P94)</f>
        <v>Jyväskylä, lentoasema</v>
      </c>
      <c r="E56" s="310"/>
      <c r="F56" s="315" t="n">
        <f aca="false">LOOKUP(D55,Data!P34:Q49)</f>
        <v>4832</v>
      </c>
      <c r="G56" s="315" t="n">
        <f aca="false">LOOKUP(D55,Data!P55:Q70)</f>
        <v>785</v>
      </c>
      <c r="H56" s="5"/>
      <c r="I56" s="291"/>
      <c r="J56" s="316" t="s">
        <v>193</v>
      </c>
      <c r="K56" s="316"/>
      <c r="L56" s="316"/>
      <c r="M56" s="316"/>
      <c r="N56" s="316"/>
      <c r="O56" s="316"/>
      <c r="P56" s="316"/>
      <c r="Q56" s="316"/>
      <c r="R56" s="316"/>
      <c r="S56" s="316"/>
      <c r="T56" s="5"/>
      <c r="U56" s="125" t="s">
        <v>68</v>
      </c>
      <c r="V56" s="125"/>
      <c r="W56" s="125"/>
      <c r="X56" s="125"/>
      <c r="Y56" s="125"/>
      <c r="Z56" s="5"/>
      <c r="AA56" s="5"/>
      <c r="AB56" s="5"/>
      <c r="AC56" s="5"/>
      <c r="AD56" s="5"/>
      <c r="AE56" s="5"/>
      <c r="AF56" s="5"/>
      <c r="AG56" s="5"/>
      <c r="AH56" s="5"/>
      <c r="AI56" s="8"/>
      <c r="AJ56" s="5"/>
      <c r="AK56" s="5"/>
      <c r="AL56" s="5"/>
      <c r="AM56" s="8"/>
      <c r="AN56" s="5"/>
      <c r="AO56" s="5"/>
      <c r="AP56" s="5"/>
      <c r="AQ56" s="5"/>
      <c r="AR56" s="5"/>
      <c r="AS56" s="5"/>
      <c r="AT56" s="299"/>
      <c r="AU56" s="299" t="n">
        <f aca="false">HLOOKUP($AY$49,$AW$51:$BM$63,(H65+1), )</f>
        <v>10</v>
      </c>
      <c r="AV56" s="8"/>
      <c r="AW56" s="63" t="s">
        <v>194</v>
      </c>
      <c r="AX56" s="300" t="n">
        <v>9.6</v>
      </c>
      <c r="AY56" s="300" t="n">
        <v>11.7</v>
      </c>
      <c r="AZ56" s="300" t="n">
        <v>11.1</v>
      </c>
      <c r="BA56" s="300" t="n">
        <v>10.9</v>
      </c>
      <c r="BB56" s="300" t="n">
        <v>11</v>
      </c>
      <c r="BC56" s="300" t="n">
        <v>10.9</v>
      </c>
      <c r="BD56" s="300" t="n">
        <v>11.2</v>
      </c>
      <c r="BE56" s="300" t="n">
        <v>11.2</v>
      </c>
      <c r="BF56" s="300" t="n">
        <v>10.3</v>
      </c>
      <c r="BG56" s="300" t="n">
        <v>10.1</v>
      </c>
      <c r="BH56" s="300" t="n">
        <v>10.4</v>
      </c>
      <c r="BI56" s="300" t="n">
        <v>10.2</v>
      </c>
      <c r="BJ56" s="300" t="n">
        <v>9</v>
      </c>
      <c r="BK56" s="300" t="n">
        <v>9.3</v>
      </c>
      <c r="BL56" s="300" t="n">
        <v>7.1</v>
      </c>
      <c r="BM56" s="300" t="n">
        <v>6.1</v>
      </c>
      <c r="BN56" s="63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</row>
    <row r="57" customFormat="false" ht="14.15" hidden="false" customHeight="true" outlineLevel="0" collapsed="false">
      <c r="A57" s="5"/>
      <c r="B57" s="25" t="str">
        <f aca="false">G17</f>
        <v>Jyväskylä</v>
      </c>
      <c r="C57" s="25" t="str">
        <f aca="false">LOOKUP(F17,Data!I4:J4000)</f>
        <v>Jyväskylä</v>
      </c>
      <c r="D57" s="13" t="s">
        <v>195</v>
      </c>
      <c r="E57" s="317" t="n">
        <f aca="false">LOOKUP(C57,Data!M4:N450)</f>
        <v>1.01</v>
      </c>
      <c r="F57" s="318" t="n">
        <f aca="false">F56/E57</f>
        <v>4784.15841584159</v>
      </c>
      <c r="G57" s="318" t="n">
        <f aca="false">G56/E57</f>
        <v>777.227722772277</v>
      </c>
      <c r="H57" s="5"/>
      <c r="I57" s="291" t="s">
        <v>68</v>
      </c>
      <c r="J57" s="316" t="s">
        <v>196</v>
      </c>
      <c r="K57" s="316"/>
      <c r="L57" s="316"/>
      <c r="M57" s="316"/>
      <c r="N57" s="316"/>
      <c r="O57" s="316"/>
      <c r="P57" s="316"/>
      <c r="Q57" s="316"/>
      <c r="R57" s="316"/>
      <c r="S57" s="316"/>
      <c r="T57" s="5"/>
      <c r="U57" s="10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319"/>
      <c r="AJ57" s="5"/>
      <c r="AK57" s="5"/>
      <c r="AL57" s="5"/>
      <c r="AM57" s="8"/>
      <c r="AN57" s="5"/>
      <c r="AO57" s="5"/>
      <c r="AP57" s="5"/>
      <c r="AQ57" s="5"/>
      <c r="AR57" s="5"/>
      <c r="AS57" s="5"/>
      <c r="AT57" s="299"/>
      <c r="AU57" s="299" t="e">
        <f aca="false">HLOOKUP($AY$49,$AW$51:$BM$63,(H66+1), )</f>
        <v>#VALUE!</v>
      </c>
      <c r="AV57" s="8"/>
      <c r="AW57" s="63" t="s">
        <v>197</v>
      </c>
      <c r="AX57" s="300" t="n">
        <v>13.4</v>
      </c>
      <c r="AY57" s="300" t="n">
        <v>15.5</v>
      </c>
      <c r="AZ57" s="300" t="n">
        <v>15.2</v>
      </c>
      <c r="BA57" s="300" t="n">
        <v>14.4</v>
      </c>
      <c r="BB57" s="300" t="n">
        <v>14.9</v>
      </c>
      <c r="BC57" s="300" t="n">
        <v>14.5</v>
      </c>
      <c r="BD57" s="300" t="n">
        <v>14.9</v>
      </c>
      <c r="BE57" s="300" t="n">
        <v>15.1</v>
      </c>
      <c r="BF57" s="300" t="n">
        <v>14.1</v>
      </c>
      <c r="BG57" s="300" t="n">
        <v>14</v>
      </c>
      <c r="BH57" s="300" t="n">
        <v>14.8</v>
      </c>
      <c r="BI57" s="300" t="n">
        <v>14.3</v>
      </c>
      <c r="BJ57" s="300" t="n">
        <v>13.5</v>
      </c>
      <c r="BK57" s="300" t="n">
        <v>13.6</v>
      </c>
      <c r="BL57" s="300" t="n">
        <v>12.1</v>
      </c>
      <c r="BM57" s="300" t="n">
        <v>10.9</v>
      </c>
      <c r="BN57" s="63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</row>
    <row r="58" customFormat="false" ht="14.15" hidden="false" customHeight="true" outlineLevel="0" collapsed="false">
      <c r="A58" s="5"/>
      <c r="B58" s="20" t="s">
        <v>198</v>
      </c>
      <c r="C58" s="20"/>
      <c r="D58" s="20" t="s">
        <v>68</v>
      </c>
      <c r="E58" s="20"/>
      <c r="F58" s="20"/>
      <c r="G58" s="20"/>
      <c r="H58" s="5"/>
      <c r="I58" s="299"/>
      <c r="J58" s="316" t="s">
        <v>199</v>
      </c>
      <c r="K58" s="316"/>
      <c r="L58" s="316"/>
      <c r="M58" s="316"/>
      <c r="N58" s="316"/>
      <c r="O58" s="316"/>
      <c r="P58" s="316"/>
      <c r="Q58" s="316"/>
      <c r="R58" s="316"/>
      <c r="S58" s="316"/>
      <c r="T58" s="5"/>
      <c r="U58" s="10"/>
      <c r="V58" s="5"/>
      <c r="W58" s="320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321" t="n">
        <v>18.5</v>
      </c>
      <c r="AL58" s="8" t="n">
        <v>1.08</v>
      </c>
      <c r="AM58" s="8" t="n">
        <f aca="false">AM59/AM64</f>
        <v>1.0219493720612</v>
      </c>
      <c r="AN58" s="5"/>
      <c r="AO58" s="5"/>
      <c r="AP58" s="5"/>
      <c r="AQ58" s="5"/>
      <c r="AR58" s="5"/>
      <c r="AS58" s="5"/>
      <c r="AT58" s="299"/>
      <c r="AU58" s="299" t="n">
        <f aca="false">HLOOKUP($AY$49,$AW$51:$BM$63,(H67+1), )</f>
        <v>10</v>
      </c>
      <c r="AV58" s="8"/>
      <c r="AW58" s="63" t="s">
        <v>200</v>
      </c>
      <c r="AX58" s="300" t="n">
        <v>17.2</v>
      </c>
      <c r="AY58" s="300" t="n">
        <v>19</v>
      </c>
      <c r="AZ58" s="300" t="n">
        <v>18.8</v>
      </c>
      <c r="BA58" s="300" t="n">
        <v>17.7</v>
      </c>
      <c r="BB58" s="300" t="n">
        <v>18.3</v>
      </c>
      <c r="BC58" s="300" t="n">
        <v>17.7</v>
      </c>
      <c r="BD58" s="300" t="n">
        <v>18.3</v>
      </c>
      <c r="BE58" s="300" t="n">
        <v>18.7</v>
      </c>
      <c r="BF58" s="300" t="n">
        <v>17.2</v>
      </c>
      <c r="BG58" s="300" t="n">
        <v>17.1</v>
      </c>
      <c r="BH58" s="300" t="n">
        <v>18.1</v>
      </c>
      <c r="BI58" s="300" t="n">
        <v>18</v>
      </c>
      <c r="BJ58" s="300" t="n">
        <v>16.6</v>
      </c>
      <c r="BK58" s="300" t="n">
        <v>16.5</v>
      </c>
      <c r="BL58" s="300" t="n">
        <v>14.7</v>
      </c>
      <c r="BM58" s="300" t="n">
        <v>13.8</v>
      </c>
      <c r="BN58" s="63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</row>
    <row r="59" customFormat="false" ht="14.15" hidden="false" customHeight="true" outlineLevel="0" collapsed="false">
      <c r="A59" s="5"/>
      <c r="B59" s="19" t="s">
        <v>201</v>
      </c>
      <c r="C59" s="19"/>
      <c r="D59" s="19"/>
      <c r="E59" s="19"/>
      <c r="F59" s="322" t="n">
        <v>9</v>
      </c>
      <c r="G59" s="323" t="n">
        <f aca="false">F59</f>
        <v>9</v>
      </c>
      <c r="H59" s="5"/>
      <c r="I59" s="291"/>
      <c r="J59" s="316" t="s">
        <v>202</v>
      </c>
      <c r="K59" s="316"/>
      <c r="L59" s="316"/>
      <c r="M59" s="316"/>
      <c r="N59" s="316"/>
      <c r="O59" s="316"/>
      <c r="P59" s="316"/>
      <c r="Q59" s="316"/>
      <c r="R59" s="316"/>
      <c r="S59" s="316"/>
      <c r="T59" s="5"/>
      <c r="U59" s="10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280" t="n">
        <f aca="false">AF64+AC65</f>
        <v>8.82550785903021</v>
      </c>
      <c r="AG59" s="5"/>
      <c r="AH59" s="5"/>
      <c r="AI59" s="5"/>
      <c r="AJ59" s="5"/>
      <c r="AK59" s="5"/>
      <c r="AL59" s="5"/>
      <c r="AM59" s="324" t="n">
        <f aca="false">H8</f>
        <v>8.368886854464</v>
      </c>
      <c r="AN59" s="325" t="n">
        <f aca="false">AM64-AM59</f>
        <v>-0.179746488748451</v>
      </c>
      <c r="AO59" s="5"/>
      <c r="AP59" s="5"/>
      <c r="AQ59" s="5"/>
      <c r="AR59" s="5"/>
      <c r="AS59" s="5"/>
      <c r="AT59" s="299"/>
      <c r="AU59" s="299" t="n">
        <f aca="false">HLOOKUP($AY$49,$AW$51:$BM$63,(H68+1), )</f>
        <v>10</v>
      </c>
      <c r="AV59" s="8"/>
      <c r="AW59" s="63" t="s">
        <v>203</v>
      </c>
      <c r="AX59" s="300" t="n">
        <v>16</v>
      </c>
      <c r="AY59" s="300" t="n">
        <v>16.4</v>
      </c>
      <c r="AZ59" s="300" t="n">
        <v>16.8</v>
      </c>
      <c r="BA59" s="300" t="n">
        <v>15.8</v>
      </c>
      <c r="BB59" s="300" t="n">
        <v>16.2</v>
      </c>
      <c r="BC59" s="300" t="n">
        <v>15.3</v>
      </c>
      <c r="BD59" s="300" t="n">
        <v>15.4</v>
      </c>
      <c r="BE59" s="300" t="n">
        <v>15.7</v>
      </c>
      <c r="BF59" s="300" t="n">
        <v>14.4</v>
      </c>
      <c r="BG59" s="300" t="n">
        <v>15.1</v>
      </c>
      <c r="BH59" s="300" t="n">
        <v>15.3</v>
      </c>
      <c r="BI59" s="300" t="n">
        <v>14.8</v>
      </c>
      <c r="BJ59" s="300" t="n">
        <v>13.8</v>
      </c>
      <c r="BK59" s="300" t="n">
        <v>14</v>
      </c>
      <c r="BL59" s="300" t="n">
        <v>12.3</v>
      </c>
      <c r="BM59" s="300" t="n">
        <v>11.6</v>
      </c>
      <c r="BN59" s="63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</row>
    <row r="60" customFormat="false" ht="14.15" hidden="false" customHeight="true" outlineLevel="0" collapsed="false">
      <c r="A60" s="5"/>
      <c r="B60" s="19" t="s">
        <v>188</v>
      </c>
      <c r="C60" s="19"/>
      <c r="D60" s="19"/>
      <c r="E60" s="19"/>
      <c r="F60" s="326" t="n">
        <f aca="false">T61-(G59/(G61/(T61-Z64)))</f>
        <v>-34.1715435542324</v>
      </c>
      <c r="G60" s="327" t="str">
        <f aca="false">LOOKUP(AO116,AO117:AP125)</f>
        <v>Täystehoinen</v>
      </c>
      <c r="H60" s="328"/>
      <c r="I60" s="329" t="n">
        <f aca="false">E54/200</f>
        <v>0</v>
      </c>
      <c r="J60" s="217" t="str">
        <f aca="false">G59&amp;" kW pumppu käy vuodessa keskimäärin "&amp;ROUND(M65)&amp;" tuntia"&amp;",  joka on "&amp;ROUND(100*L65)&amp;" prosenttia ajasta. Sähkövastuksella tuotetaan "&amp;ROUND($R$65)&amp;" kWh"</f>
        <v>9 kW pumppu käy vuodessa keskimäärin 3095 tuntia,  joka on 35 prosenttia ajasta. Sähkövastuksella tuotetaan 0 kWh</v>
      </c>
      <c r="K60" s="217"/>
      <c r="L60" s="217"/>
      <c r="M60" s="217"/>
      <c r="N60" s="217"/>
      <c r="O60" s="217"/>
      <c r="P60" s="217"/>
      <c r="Q60" s="217"/>
      <c r="R60" s="217"/>
      <c r="S60" s="217"/>
      <c r="T60" s="330" t="n">
        <f aca="false">(R10/G59)/(24*365)</f>
        <v>0.353335870116692</v>
      </c>
      <c r="U60" s="62" t="s">
        <v>204</v>
      </c>
      <c r="V60" s="62"/>
      <c r="W60" s="62"/>
      <c r="X60" s="62"/>
      <c r="Y60" s="62"/>
      <c r="Z60" s="62"/>
      <c r="AA60" s="5"/>
      <c r="AB60" s="5"/>
      <c r="AC60" s="5"/>
      <c r="AD60" s="5"/>
      <c r="AE60" s="5"/>
      <c r="AF60" s="63"/>
      <c r="AG60" s="63"/>
      <c r="AH60" s="10"/>
      <c r="AI60" s="10"/>
      <c r="AJ60" s="5"/>
      <c r="AK60" s="5"/>
      <c r="AL60" s="5"/>
      <c r="AM60" s="324" t="n">
        <f aca="false">AC65</f>
        <v>0.45662100456621</v>
      </c>
      <c r="AN60" s="5"/>
      <c r="AO60" s="5"/>
      <c r="AP60" s="5"/>
      <c r="AQ60" s="5"/>
      <c r="AR60" s="5"/>
      <c r="AS60" s="5"/>
      <c r="AT60" s="299"/>
      <c r="AU60" s="299" t="n">
        <f aca="false">HLOOKUP($AY$49,$AW$51:$BM$63,(H69+1), )</f>
        <v>10</v>
      </c>
      <c r="AV60" s="8"/>
      <c r="AW60" s="63" t="s">
        <v>205</v>
      </c>
      <c r="AX60" s="300" t="n">
        <v>11.9</v>
      </c>
      <c r="AY60" s="300" t="n">
        <v>11.8</v>
      </c>
      <c r="AZ60" s="300" t="n">
        <v>12.5</v>
      </c>
      <c r="BA60" s="300" t="n">
        <v>11.3</v>
      </c>
      <c r="BB60" s="300" t="n">
        <v>11.6</v>
      </c>
      <c r="BC60" s="300" t="n">
        <v>10.6</v>
      </c>
      <c r="BD60" s="300" t="n">
        <v>10.7</v>
      </c>
      <c r="BE60" s="300" t="n">
        <v>10.9</v>
      </c>
      <c r="BF60" s="300" t="n">
        <v>9.6</v>
      </c>
      <c r="BG60" s="300" t="n">
        <v>10.7</v>
      </c>
      <c r="BH60" s="300" t="n">
        <v>10.5</v>
      </c>
      <c r="BI60" s="300" t="n">
        <v>10.1</v>
      </c>
      <c r="BJ60" s="300" t="n">
        <v>9.4</v>
      </c>
      <c r="BK60" s="300" t="n">
        <v>9.8</v>
      </c>
      <c r="BL60" s="300" t="n">
        <v>7.6</v>
      </c>
      <c r="BM60" s="300" t="n">
        <v>7.6</v>
      </c>
      <c r="BN60" s="63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</row>
    <row r="61" customFormat="false" ht="14.15" hidden="false" customHeight="true" outlineLevel="0" collapsed="false">
      <c r="A61" s="5"/>
      <c r="B61" s="19" t="s">
        <v>206</v>
      </c>
      <c r="C61" s="19"/>
      <c r="D61" s="19"/>
      <c r="E61" s="19"/>
      <c r="F61" s="19"/>
      <c r="G61" s="331" t="n">
        <f aca="false">T65</f>
        <v>8.64576137028176</v>
      </c>
      <c r="H61" s="332"/>
      <c r="I61" s="291"/>
      <c r="J61" s="271" t="str">
        <f aca="false">"Lämmitystarveluvut:  REF -paikka  = "&amp;D55&amp;",  kohde  on "&amp;G17&amp;", jossa  koko vuosi = "&amp;ROUND(F57)&amp;", tammikuu = "&amp;ROUND(G57)</f>
        <v>Lämmitystarveluvut:  REF -paikka  = Jyväskylä,  kohde  on Jyväskylä, jossa  koko vuosi = 4784, tammikuu = 777</v>
      </c>
      <c r="K61" s="271"/>
      <c r="L61" s="271"/>
      <c r="M61" s="271"/>
      <c r="N61" s="271"/>
      <c r="O61" s="271"/>
      <c r="P61" s="271"/>
      <c r="Q61" s="271"/>
      <c r="R61" s="271"/>
      <c r="S61" s="271"/>
      <c r="T61" s="333" t="n">
        <f aca="false">IF(G9="Ei",E98,U61)</f>
        <v>21</v>
      </c>
      <c r="U61" s="334" t="n">
        <f aca="false">Rakennukset!H30</f>
        <v>19.5925613677331</v>
      </c>
      <c r="V61" s="237" t="s">
        <v>207</v>
      </c>
      <c r="W61" s="237"/>
      <c r="X61" s="237"/>
      <c r="Y61" s="237"/>
      <c r="Z61" s="237"/>
      <c r="AA61" s="5"/>
      <c r="AB61" s="5"/>
      <c r="AC61" s="319"/>
      <c r="AD61" s="335"/>
      <c r="AE61" s="336" t="s">
        <v>208</v>
      </c>
      <c r="AF61" s="336"/>
      <c r="AG61" s="336"/>
      <c r="AH61" s="336"/>
      <c r="AI61" s="337" t="s">
        <v>209</v>
      </c>
      <c r="AJ61" s="338" t="s">
        <v>210</v>
      </c>
      <c r="AK61" s="338"/>
      <c r="AL61" s="338"/>
      <c r="AM61" s="339" t="n">
        <f aca="false">H8+AC65</f>
        <v>8.82550785903021</v>
      </c>
      <c r="AN61" s="319"/>
      <c r="AO61" s="319"/>
      <c r="AP61" s="319" t="s">
        <v>68</v>
      </c>
      <c r="AQ61" s="5"/>
      <c r="AR61" s="5"/>
      <c r="AS61" s="5"/>
      <c r="AT61" s="299"/>
      <c r="AU61" s="299" t="n">
        <f aca="false">HLOOKUP($AY$49,$AW$51:$BM$63,(H70+1), )</f>
        <v>10</v>
      </c>
      <c r="AV61" s="8"/>
      <c r="AW61" s="63" t="s">
        <v>211</v>
      </c>
      <c r="AX61" s="300" t="n">
        <v>6.8</v>
      </c>
      <c r="AY61" s="300" t="n">
        <v>6.1</v>
      </c>
      <c r="AZ61" s="300" t="n">
        <v>7</v>
      </c>
      <c r="BA61" s="300" t="n">
        <v>5.7</v>
      </c>
      <c r="BB61" s="300" t="n">
        <v>6</v>
      </c>
      <c r="BC61" s="300" t="n">
        <v>4.8</v>
      </c>
      <c r="BD61" s="300" t="n">
        <v>4.7</v>
      </c>
      <c r="BE61" s="300" t="n">
        <v>4.9</v>
      </c>
      <c r="BF61" s="300" t="n">
        <v>3.9</v>
      </c>
      <c r="BG61" s="300" t="n">
        <v>5</v>
      </c>
      <c r="BH61" s="300" t="n">
        <v>4.4</v>
      </c>
      <c r="BI61" s="300" t="n">
        <v>4</v>
      </c>
      <c r="BJ61" s="300" t="n">
        <v>3.2</v>
      </c>
      <c r="BK61" s="300" t="n">
        <v>3.5</v>
      </c>
      <c r="BL61" s="300" t="n">
        <v>0.6</v>
      </c>
      <c r="BM61" s="300" t="n">
        <v>0.8</v>
      </c>
      <c r="BN61" s="63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</row>
    <row r="62" customFormat="false" ht="14.15" hidden="false" customHeight="true" outlineLevel="0" collapsed="false">
      <c r="A62" s="5"/>
      <c r="B62" s="36" t="s">
        <v>212</v>
      </c>
      <c r="C62" s="36"/>
      <c r="D62" s="36"/>
      <c r="E62" s="36"/>
      <c r="F62" s="115" t="n">
        <v>-10</v>
      </c>
      <c r="G62" s="340" t="n">
        <f aca="false">($T$61-F62)*$G$72</f>
        <v>5.05695476374971</v>
      </c>
      <c r="H62" s="5"/>
      <c r="I62" s="341"/>
      <c r="J62" s="342" t="s">
        <v>213</v>
      </c>
      <c r="K62" s="342"/>
      <c r="L62" s="342"/>
      <c r="M62" s="342"/>
      <c r="N62" s="342"/>
      <c r="O62" s="342"/>
      <c r="P62" s="342"/>
      <c r="Q62" s="342"/>
      <c r="R62" s="342"/>
      <c r="S62" s="342"/>
      <c r="T62" s="343" t="n">
        <f aca="false">Rakennukset!K240</f>
        <v>8.368886854464</v>
      </c>
      <c r="U62" s="5"/>
      <c r="V62" s="10"/>
      <c r="W62" s="5"/>
      <c r="X62" s="5"/>
      <c r="Y62" s="8"/>
      <c r="Z62" s="5"/>
      <c r="AA62" s="5"/>
      <c r="AB62" s="5"/>
      <c r="AC62" s="344"/>
      <c r="AD62" s="345"/>
      <c r="AE62" s="346" t="n">
        <f aca="false">AE64+AE63</f>
        <v>8.82550785903021</v>
      </c>
      <c r="AF62" s="347" t="s">
        <v>214</v>
      </c>
      <c r="AG62" s="348"/>
      <c r="AH62" s="349"/>
      <c r="AI62" s="350" t="n">
        <v>0.5</v>
      </c>
      <c r="AJ62" s="351"/>
      <c r="AK62" s="63"/>
      <c r="AL62" s="352" t="n">
        <f aca="false">R54</f>
        <v>9</v>
      </c>
      <c r="AM62" s="353" t="n">
        <f aca="false">AM64+AM63</f>
        <v>8.64576137028176</v>
      </c>
      <c r="AN62" s="319"/>
      <c r="AO62" s="319"/>
      <c r="AP62" s="319"/>
      <c r="AQ62" s="319"/>
      <c r="AR62" s="8"/>
      <c r="AS62" s="5"/>
      <c r="AT62" s="299"/>
      <c r="AU62" s="299" t="n">
        <f aca="false">HLOOKUP($AY$49,$AW$51:$BM$63,(H71+1), )</f>
        <v>10</v>
      </c>
      <c r="AV62" s="8"/>
      <c r="AW62" s="63" t="s">
        <v>215</v>
      </c>
      <c r="AX62" s="300" t="n">
        <v>3.6</v>
      </c>
      <c r="AY62" s="300" t="n">
        <v>2.4</v>
      </c>
      <c r="AZ62" s="300" t="n">
        <v>3.5</v>
      </c>
      <c r="BA62" s="300" t="n">
        <v>2.3</v>
      </c>
      <c r="BB62" s="300" t="n">
        <v>2.6</v>
      </c>
      <c r="BC62" s="300" t="n">
        <v>1.2</v>
      </c>
      <c r="BD62" s="300" t="n">
        <v>1.3</v>
      </c>
      <c r="BE62" s="300" t="n">
        <v>1</v>
      </c>
      <c r="BF62" s="300" t="n">
        <v>0.1</v>
      </c>
      <c r="BG62" s="300" t="n">
        <v>1.4</v>
      </c>
      <c r="BH62" s="300" t="n">
        <v>0.1</v>
      </c>
      <c r="BI62" s="300" t="n">
        <v>-0.4</v>
      </c>
      <c r="BJ62" s="300" t="n">
        <v>-1.2</v>
      </c>
      <c r="BK62" s="300" t="n">
        <v>-0.7</v>
      </c>
      <c r="BL62" s="300" t="n">
        <v>-5.3</v>
      </c>
      <c r="BM62" s="300" t="n">
        <v>-5.2</v>
      </c>
      <c r="BN62" s="63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</row>
    <row r="63" customFormat="false" ht="14.15" hidden="false" customHeight="true" outlineLevel="0" collapsed="false">
      <c r="A63" s="5"/>
      <c r="B63" s="36" t="s">
        <v>212</v>
      </c>
      <c r="C63" s="36"/>
      <c r="D63" s="36"/>
      <c r="E63" s="36"/>
      <c r="F63" s="115" t="n">
        <v>-15</v>
      </c>
      <c r="G63" s="340" t="n">
        <f aca="false">($T$61-F63)*$G$72</f>
        <v>5.87259262887063</v>
      </c>
      <c r="H63" s="5"/>
      <c r="I63" s="354" t="n">
        <f aca="false">G57/(F57/12)</f>
        <v>1.94950331125828</v>
      </c>
      <c r="J63" s="20" t="s">
        <v>216</v>
      </c>
      <c r="K63" s="20"/>
      <c r="L63" s="20"/>
      <c r="M63" s="20"/>
      <c r="N63" s="20"/>
      <c r="O63" s="20"/>
      <c r="P63" s="20"/>
      <c r="Q63" s="20"/>
      <c r="R63" s="20"/>
      <c r="S63" s="20"/>
      <c r="T63" s="355" t="s">
        <v>217</v>
      </c>
      <c r="U63" s="356"/>
      <c r="V63" s="355" t="s">
        <v>218</v>
      </c>
      <c r="W63" s="355" t="s">
        <v>219</v>
      </c>
      <c r="X63" s="355" t="s">
        <v>220</v>
      </c>
      <c r="Y63" s="355" t="s">
        <v>221</v>
      </c>
      <c r="Z63" s="355" t="s">
        <v>222</v>
      </c>
      <c r="AA63" s="355" t="s">
        <v>223</v>
      </c>
      <c r="AB63" s="355"/>
      <c r="AC63" s="319"/>
      <c r="AD63" s="357"/>
      <c r="AE63" s="358" t="n">
        <f aca="false">AC65</f>
        <v>0.45662100456621</v>
      </c>
      <c r="AF63" s="359" t="n">
        <f aca="false">G59</f>
        <v>9</v>
      </c>
      <c r="AG63" s="348"/>
      <c r="AH63" s="349"/>
      <c r="AI63" s="360" t="s">
        <v>224</v>
      </c>
      <c r="AJ63" s="361"/>
      <c r="AK63" s="362" t="n">
        <f aca="false">E98</f>
        <v>21</v>
      </c>
      <c r="AL63" s="352" t="n">
        <f aca="false">G61</f>
        <v>8.64576137028176</v>
      </c>
      <c r="AM63" s="353" t="n">
        <f aca="false">AC65</f>
        <v>0.45662100456621</v>
      </c>
      <c r="AN63" s="363"/>
      <c r="AO63" s="363"/>
      <c r="AP63" s="319"/>
      <c r="AQ63" s="288" t="s">
        <v>225</v>
      </c>
      <c r="AR63" s="364" t="s">
        <v>226</v>
      </c>
      <c r="AS63" s="364" t="s">
        <v>227</v>
      </c>
      <c r="AT63" s="365"/>
      <c r="AU63" s="299" t="n">
        <f aca="false">HLOOKUP($AY$49,$AW$51:$BM$63,(H72+1), )</f>
        <v>10</v>
      </c>
      <c r="AV63" s="8"/>
      <c r="AW63" s="63" t="s">
        <v>228</v>
      </c>
      <c r="AX63" s="300" t="n">
        <v>-0.8</v>
      </c>
      <c r="AY63" s="300" t="n">
        <v>-2.9</v>
      </c>
      <c r="AZ63" s="300" t="n">
        <v>-1.6</v>
      </c>
      <c r="BA63" s="300" t="n">
        <v>-3.4</v>
      </c>
      <c r="BB63" s="300" t="n">
        <v>-2.8</v>
      </c>
      <c r="BC63" s="300" t="n">
        <v>-4.5</v>
      </c>
      <c r="BD63" s="300" t="n">
        <v>-4.4</v>
      </c>
      <c r="BE63" s="300" t="n">
        <v>-5.3</v>
      </c>
      <c r="BF63" s="300" t="n">
        <v>-6.1</v>
      </c>
      <c r="BG63" s="300" t="n">
        <v>-4.4</v>
      </c>
      <c r="BH63" s="300" t="n">
        <v>-6.3</v>
      </c>
      <c r="BI63" s="300" t="n">
        <v>-6.8</v>
      </c>
      <c r="BJ63" s="300" t="n">
        <v>-7.6</v>
      </c>
      <c r="BK63" s="300" t="n">
        <v>-6.4</v>
      </c>
      <c r="BL63" s="300" t="n">
        <v>-9.6</v>
      </c>
      <c r="BM63" s="300" t="n">
        <v>-9.1</v>
      </c>
      <c r="BN63" s="63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</row>
    <row r="64" customFormat="false" ht="14.15" hidden="false" customHeight="true" outlineLevel="0" collapsed="false">
      <c r="A64" s="5"/>
      <c r="B64" s="36" t="s">
        <v>212</v>
      </c>
      <c r="C64" s="36"/>
      <c r="D64" s="36"/>
      <c r="E64" s="36"/>
      <c r="F64" s="115" t="n">
        <v>-20</v>
      </c>
      <c r="G64" s="340" t="n">
        <f aca="false">($T$61-F64)*$G$72</f>
        <v>6.68823049399155</v>
      </c>
      <c r="H64" s="5"/>
      <c r="I64" s="7" t="s">
        <v>148</v>
      </c>
      <c r="J64" s="7" t="s">
        <v>229</v>
      </c>
      <c r="K64" s="7" t="s">
        <v>230</v>
      </c>
      <c r="L64" s="366" t="s">
        <v>231</v>
      </c>
      <c r="M64" s="366" t="s">
        <v>232</v>
      </c>
      <c r="N64" s="7" t="s">
        <v>233</v>
      </c>
      <c r="O64" s="7" t="s">
        <v>234</v>
      </c>
      <c r="P64" s="7" t="s">
        <v>235</v>
      </c>
      <c r="Q64" s="7" t="s">
        <v>236</v>
      </c>
      <c r="R64" s="7" t="s">
        <v>237</v>
      </c>
      <c r="S64" s="7" t="s">
        <v>238</v>
      </c>
      <c r="T64" s="7" t="s">
        <v>239</v>
      </c>
      <c r="U64" s="7" t="s">
        <v>240</v>
      </c>
      <c r="V64" s="7" t="s">
        <v>241</v>
      </c>
      <c r="W64" s="7" t="s">
        <v>242</v>
      </c>
      <c r="X64" s="7" t="s">
        <v>243</v>
      </c>
      <c r="Y64" s="7" t="s">
        <v>244</v>
      </c>
      <c r="Z64" s="367" t="n">
        <f aca="false">E100</f>
        <v>-32</v>
      </c>
      <c r="AA64" s="355" t="s">
        <v>245</v>
      </c>
      <c r="AB64" s="7" t="n">
        <f aca="false">SUM(AB66:AB77)</f>
        <v>4832</v>
      </c>
      <c r="AC64" s="368" t="s">
        <v>246</v>
      </c>
      <c r="AD64" s="369" t="s">
        <v>247</v>
      </c>
      <c r="AE64" s="370" t="n">
        <f aca="false">H8</f>
        <v>8.368886854464</v>
      </c>
      <c r="AF64" s="359" t="n">
        <f aca="false">AE64</f>
        <v>8.368886854464</v>
      </c>
      <c r="AG64" s="371" t="s">
        <v>248</v>
      </c>
      <c r="AH64" s="372" t="s">
        <v>249</v>
      </c>
      <c r="AI64" s="373" t="str">
        <f aca="false">G9</f>
        <v>Ei</v>
      </c>
      <c r="AJ64" s="374" t="s">
        <v>25</v>
      </c>
      <c r="AK64" s="362" t="n">
        <v>18.5</v>
      </c>
      <c r="AL64" s="375" t="n">
        <f aca="false">1.08*AL62/AL63</f>
        <v>1.12425032148247</v>
      </c>
      <c r="AM64" s="376" t="n">
        <f aca="false">AD81*AD80*(AM78/AD79)</f>
        <v>8.18914036571555</v>
      </c>
      <c r="AN64" s="363"/>
      <c r="AO64" s="363"/>
      <c r="AP64" s="319" t="s">
        <v>250</v>
      </c>
      <c r="AQ64" s="288" t="s">
        <v>251</v>
      </c>
      <c r="AR64" s="364" t="s">
        <v>252</v>
      </c>
      <c r="AS64" s="364" t="s">
        <v>244</v>
      </c>
      <c r="AT64" s="288" t="s">
        <v>222</v>
      </c>
      <c r="AU64" s="377" t="s">
        <v>253</v>
      </c>
      <c r="AV64" s="364" t="s">
        <v>148</v>
      </c>
      <c r="AW64" s="63" t="s">
        <v>252</v>
      </c>
      <c r="AX64" s="300" t="n">
        <f aca="false">AVERAGE(AX52:AX63)</f>
        <v>6.21666666666667</v>
      </c>
      <c r="AY64" s="300" t="n">
        <f aca="false">AVERAGE(AY52:AY63)</f>
        <v>5.90833333333333</v>
      </c>
      <c r="AZ64" s="300" t="n">
        <f aca="false">AVERAGE(AZ52:AZ63)</f>
        <v>6.46666666666667</v>
      </c>
      <c r="BA64" s="300" t="n">
        <f aca="false">AVERAGE(BA52:BA63)</f>
        <v>5.54166666666667</v>
      </c>
      <c r="BB64" s="300" t="n">
        <f aca="false">AVERAGE(BB52:BB63)</f>
        <v>5.81666666666667</v>
      </c>
      <c r="BC64" s="300" t="n">
        <f aca="false">AVERAGE(BC52:BC63)</f>
        <v>4.775</v>
      </c>
      <c r="BD64" s="300" t="n">
        <f aca="false">AVERAGE(BD52:BD63)</f>
        <v>4.93333333333333</v>
      </c>
      <c r="BE64" s="300" t="n">
        <f aca="false">AVERAGE(BE52:BE63)</f>
        <v>4.71666666666667</v>
      </c>
      <c r="BF64" s="300" t="n">
        <f aca="false">AVERAGE(BF52:BF63)</f>
        <v>3.73333333333333</v>
      </c>
      <c r="BG64" s="300" t="n">
        <f aca="false">AVERAGE(BG52:BG63)</f>
        <v>4.69166666666667</v>
      </c>
      <c r="BH64" s="300" t="n">
        <f aca="false">AVERAGE(BH52:BH63)</f>
        <v>3.85833333333333</v>
      </c>
      <c r="BI64" s="300" t="n">
        <f aca="false">AVERAGE(BI52:BI63)</f>
        <v>3.49166666666667</v>
      </c>
      <c r="BJ64" s="300" t="n">
        <f aca="false">AVERAGE(BJ52:BJ63)</f>
        <v>2.48333333333333</v>
      </c>
      <c r="BK64" s="300" t="n">
        <f aca="false">AVERAGE(BK52:BK63)</f>
        <v>3.03333333333333</v>
      </c>
      <c r="BL64" s="300" t="n">
        <f aca="false">AVERAGE(BL52:BL63)</f>
        <v>0.383333333333334</v>
      </c>
      <c r="BM64" s="300" t="n">
        <f aca="false">AVERAGE(BM52:BM63)</f>
        <v>0.291666666666666</v>
      </c>
      <c r="BN64" s="63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</row>
    <row r="65" customFormat="false" ht="14.15" hidden="false" customHeight="true" outlineLevel="0" collapsed="false">
      <c r="A65" s="5"/>
      <c r="B65" s="36" t="s">
        <v>212</v>
      </c>
      <c r="C65" s="36"/>
      <c r="D65" s="36"/>
      <c r="E65" s="36"/>
      <c r="F65" s="115" t="n">
        <v>-25</v>
      </c>
      <c r="G65" s="340" t="n">
        <f aca="false">($T$61-F65)*$G$72</f>
        <v>7.50386835911247</v>
      </c>
      <c r="H65" s="378"/>
      <c r="I65" s="379" t="s">
        <v>254</v>
      </c>
      <c r="J65" s="7" t="n">
        <f aca="false">SUM(J66:J77)</f>
        <v>365</v>
      </c>
      <c r="K65" s="7" t="s">
        <v>187</v>
      </c>
      <c r="L65" s="380" t="n">
        <f aca="false">M65/(J65*24)</f>
        <v>0.353335870116692</v>
      </c>
      <c r="M65" s="381" t="n">
        <f aca="false">SUM(M66:M77)</f>
        <v>3095.22222222222</v>
      </c>
      <c r="N65" s="382" t="n">
        <f aca="false">R9</f>
        <v>4000</v>
      </c>
      <c r="O65" s="382" t="n">
        <f aca="false">R7+R8</f>
        <v>23857</v>
      </c>
      <c r="P65" s="382" t="n">
        <f aca="false">R10</f>
        <v>27857</v>
      </c>
      <c r="Q65" s="383" t="n">
        <f aca="false">SUM(Q66:Q77)</f>
        <v>27857</v>
      </c>
      <c r="R65" s="383" t="n">
        <f aca="false">SUM(R66:R77)</f>
        <v>0</v>
      </c>
      <c r="S65" s="383" t="n">
        <f aca="false">SUM(S66:S77)</f>
        <v>8829.39393939394</v>
      </c>
      <c r="T65" s="384" t="n">
        <f aca="false">MAX(T66:T77)</f>
        <v>8.64576137028176</v>
      </c>
      <c r="U65" s="385" t="n">
        <f aca="false">AVERAGE(U66:U77)</f>
        <v>3.19501766885118</v>
      </c>
      <c r="V65" s="380" t="n">
        <f aca="false">SUM(V66:V77)</f>
        <v>1</v>
      </c>
      <c r="W65" s="386" t="n">
        <f aca="false">SUM(W66:W77)</f>
        <v>1600</v>
      </c>
      <c r="X65" s="386" t="n">
        <f aca="false">SUM(X66:X77)</f>
        <v>7229.39393939394</v>
      </c>
      <c r="Y65" s="387" t="n">
        <f aca="false">AVERAGE(Y66:Y77)</f>
        <v>0.533333333333333</v>
      </c>
      <c r="Z65" s="367" t="s">
        <v>255</v>
      </c>
      <c r="AA65" s="388" t="n">
        <f aca="false">E57</f>
        <v>1.01</v>
      </c>
      <c r="AB65" s="389" t="n">
        <f aca="false">AB64/AA65</f>
        <v>4784.15841584159</v>
      </c>
      <c r="AC65" s="390" t="n">
        <f aca="false">AC67</f>
        <v>0.45662100456621</v>
      </c>
      <c r="AD65" s="391" t="s">
        <v>256</v>
      </c>
      <c r="AE65" s="370" t="s">
        <v>257</v>
      </c>
      <c r="AF65" s="392" t="n">
        <f aca="false">1.05*(AF63/AF64)</f>
        <v>1.12918243063106</v>
      </c>
      <c r="AG65" s="353" t="n">
        <f aca="false">AF65*AG67</f>
        <v>5.98162260386318</v>
      </c>
      <c r="AH65" s="393" t="s">
        <v>258</v>
      </c>
      <c r="AI65" s="353" t="s">
        <v>214</v>
      </c>
      <c r="AJ65" s="394" t="s">
        <v>258</v>
      </c>
      <c r="AK65" s="395" t="n">
        <v>0.627</v>
      </c>
      <c r="AL65" s="396" t="n">
        <f aca="false">AL64*AG67</f>
        <v>5.95549572235348</v>
      </c>
      <c r="AM65" s="397" t="s">
        <v>259</v>
      </c>
      <c r="AN65" s="398" t="s">
        <v>252</v>
      </c>
      <c r="AO65" s="399" t="n">
        <v>3.2</v>
      </c>
      <c r="AP65" s="344" t="s">
        <v>260</v>
      </c>
      <c r="AQ65" s="400" t="n">
        <f aca="false">HLOOKUP($AY$49,AW51:BM64,14,0)</f>
        <v>3.73333333333333</v>
      </c>
      <c r="AR65" s="364" t="n">
        <f aca="false">VLOOKUP(AX49,AW97:BA112,5,1)</f>
        <v>-1</v>
      </c>
      <c r="AS65" s="364" t="n">
        <f aca="false">VLOOKUP(AX49,AW97:BA112,4,1)</f>
        <v>2</v>
      </c>
      <c r="AT65" s="282" t="n">
        <f aca="false">VLOOKUP(AX49,AW97:BA112,3,1 )</f>
        <v>-32</v>
      </c>
      <c r="AU65" s="377" t="str">
        <f aca="false">AX49</f>
        <v>Jyväskylä</v>
      </c>
      <c r="AV65" s="364" t="n">
        <f aca="false">AY49</f>
        <v>10</v>
      </c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63"/>
      <c r="BN65" s="63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</row>
    <row r="66" customFormat="false" ht="14.15" hidden="false" customHeight="true" outlineLevel="0" collapsed="false">
      <c r="A66" s="5"/>
      <c r="B66" s="36" t="s">
        <v>212</v>
      </c>
      <c r="C66" s="36"/>
      <c r="D66" s="36"/>
      <c r="E66" s="36"/>
      <c r="F66" s="115" t="n">
        <v>-30</v>
      </c>
      <c r="G66" s="340" t="n">
        <f aca="false">($T$61-F66)*$G$72</f>
        <v>8.31950622423339</v>
      </c>
      <c r="H66" s="319" t="str">
        <f aca="false">IF(F127&lt;50,"","* KAIVO *")</f>
        <v/>
      </c>
      <c r="I66" s="401" t="n">
        <v>1</v>
      </c>
      <c r="J66" s="114" t="n">
        <v>31</v>
      </c>
      <c r="K66" s="114" t="s">
        <v>150</v>
      </c>
      <c r="L66" s="402" t="n">
        <f aca="false">IF(1&lt;M66/(J66*24),1,M66/(J66*24))</f>
        <v>0.629555117799879</v>
      </c>
      <c r="M66" s="403" t="n">
        <f aca="false">IF(I66&lt;1,J66*24,P66/$G$59)</f>
        <v>468.38900764311</v>
      </c>
      <c r="N66" s="404" t="n">
        <f aca="false">$N$65/365*J66</f>
        <v>339.72602739726</v>
      </c>
      <c r="O66" s="404" t="n">
        <f aca="false">V66*$O$65</f>
        <v>3875.77504139073</v>
      </c>
      <c r="P66" s="404" t="n">
        <f aca="false">N66+O66</f>
        <v>4215.50106878799</v>
      </c>
      <c r="Q66" s="105" t="n">
        <f aca="false">P66-R66</f>
        <v>4215.50106878799</v>
      </c>
      <c r="R66" s="296" t="n">
        <f aca="false">AI66</f>
        <v>0</v>
      </c>
      <c r="S66" s="105" t="n">
        <f aca="false">Q66/$S$23+R66</f>
        <v>1336.12088840382</v>
      </c>
      <c r="T66" s="405" t="n">
        <f aca="false">IF($G$9="Ei",AC66+AK66,AC66+AE66)</f>
        <v>8.50983138613428</v>
      </c>
      <c r="U66" s="406" t="n">
        <f aca="false">IF($G$9="Ei",P66/(J66*24),AG66+AC66)</f>
        <v>5.66599606019891</v>
      </c>
      <c r="V66" s="407" t="n">
        <f aca="false">AA66/$AB$65</f>
        <v>0.162458609271523</v>
      </c>
      <c r="W66" s="408" t="n">
        <f aca="false">N66/$F$40</f>
        <v>135.890410958904</v>
      </c>
      <c r="X66" s="408" t="n">
        <f aca="false">(O66-(R66/$F$36))/$F$36</f>
        <v>1174.47728526992</v>
      </c>
      <c r="Y66" s="115" t="n">
        <f aca="false">AO66</f>
        <v>-11.7</v>
      </c>
      <c r="Z66" s="387" t="n">
        <f aca="false">Z64</f>
        <v>-32</v>
      </c>
      <c r="AA66" s="409" t="n">
        <f aca="false">AB66/$E$57</f>
        <v>777.227722772277</v>
      </c>
      <c r="AB66" s="410" t="n">
        <f aca="false">VLOOKUP($D$55,$AW$136:$BJ$151,2,0)</f>
        <v>785</v>
      </c>
      <c r="AC66" s="411" t="n">
        <f aca="false">N66/J66/24</f>
        <v>0.45662100456621</v>
      </c>
      <c r="AD66" s="412" t="n">
        <f aca="false">AA66/J66</f>
        <v>25.0718620249122</v>
      </c>
      <c r="AE66" s="413" t="n">
        <f aca="false">AD66*$AE$79</f>
        <v>8.22997329252019</v>
      </c>
      <c r="AF66" s="414" t="n">
        <f aca="false">24*J66*$AG$65</f>
        <v>4450.3272172742</v>
      </c>
      <c r="AG66" s="415" t="n">
        <f aca="false">O66/(J66*24)</f>
        <v>5.2093750556327</v>
      </c>
      <c r="AH66" s="416" t="n">
        <f aca="false">IF(1&gt;P66-AF66,0,P66-AF66)</f>
        <v>0</v>
      </c>
      <c r="AI66" s="417" t="n">
        <f aca="false">IF($G$9="Ei",$AI$62*AJ66,$AI$62*AH66)</f>
        <v>0</v>
      </c>
      <c r="AJ66" s="418" t="n">
        <f aca="false">IF(1&gt;P66-AL66,0,P66-AL66)</f>
        <v>0</v>
      </c>
      <c r="AK66" s="419" t="n">
        <f aca="false">AD66*$AK$79</f>
        <v>8.05321038156806</v>
      </c>
      <c r="AL66" s="420" t="n">
        <f aca="false">24*J66*$AL$65</f>
        <v>4430.88881743099</v>
      </c>
      <c r="AM66" s="421" t="n">
        <f aca="false">O66/(24*J66)</f>
        <v>5.2093750556327</v>
      </c>
      <c r="AN66" s="422" t="n">
        <f aca="false">HLOOKUP($AY$49,AX51:BN64,2,0)</f>
        <v>-8.5</v>
      </c>
      <c r="AO66" s="422" t="n">
        <f aca="false">AN66-$AO$65</f>
        <v>-11.7</v>
      </c>
      <c r="AP66" s="423" t="n">
        <f aca="false">V66*1</f>
        <v>0.162458609271523</v>
      </c>
      <c r="AQ66" s="319"/>
      <c r="AR66" s="8"/>
      <c r="AS66" s="5"/>
      <c r="AT66" s="299"/>
      <c r="AU66" s="424" t="n">
        <f aca="false">HLOOKUP($AY$49,$AW$80:$BM$92,(I66+1))</f>
        <v>0.159974905897114</v>
      </c>
      <c r="AV66" s="319" t="n">
        <f aca="false">HLOOKUP($AY$49,$AW$51:$BM$63,(I66+1), )</f>
        <v>-8.5</v>
      </c>
      <c r="AW66" s="63" t="s">
        <v>174</v>
      </c>
      <c r="AX66" s="425" t="n">
        <f aca="false">IF(0.1&gt;17-AX52,0,17-AX52)</f>
        <v>19.5</v>
      </c>
      <c r="AY66" s="425" t="n">
        <f aca="false">IF(0.1&gt;17-AY52,0,17-AY52)</f>
        <v>22.5</v>
      </c>
      <c r="AZ66" s="425" t="n">
        <f aca="false">IF(0.1&gt;17-AZ52,0,17-AZ52)</f>
        <v>21.2</v>
      </c>
      <c r="BA66" s="425" t="n">
        <f aca="false">IF(0.1&gt;17-BA52,0,17-BA52)</f>
        <v>22.1</v>
      </c>
      <c r="BB66" s="425" t="n">
        <f aca="false">IF(0.1&gt;17-BB52,0,17-BB52)</f>
        <v>22</v>
      </c>
      <c r="BC66" s="425" t="n">
        <f aca="false">IF(0.1&gt;17-BC52,0,17-BC52)</f>
        <v>23.8</v>
      </c>
      <c r="BD66" s="425" t="n">
        <f aca="false">IF(0.1&gt;17-BD52,0,17-BD52)</f>
        <v>23.8</v>
      </c>
      <c r="BE66" s="425" t="n">
        <f aca="false">IF(0.1&gt;17-BE52,0,17-BE52)</f>
        <v>24.7</v>
      </c>
      <c r="BF66" s="425" t="n">
        <f aca="false">IF(0.1&gt;17-BF52,0,17-BF52)</f>
        <v>25.5</v>
      </c>
      <c r="BG66" s="425" t="n">
        <f aca="false">IF(0.1&gt;17-BG52,0,17-BG52)</f>
        <v>23</v>
      </c>
      <c r="BH66" s="425" t="n">
        <f aca="false">IF(0.1&gt;17-BH52,0,17-BH52)</f>
        <v>26.1</v>
      </c>
      <c r="BI66" s="425" t="n">
        <f aca="false">IF(0.1&gt;17-BI52,0,17-BI52)</f>
        <v>26.5</v>
      </c>
      <c r="BJ66" s="425" t="n">
        <f aca="false">IF(0.1&gt;17-BJ52,0,17-BJ52)</f>
        <v>27.5</v>
      </c>
      <c r="BK66" s="425" t="n">
        <f aca="false">IF(0.1&gt;17-BK52,0,17-BK52)</f>
        <v>26</v>
      </c>
      <c r="BL66" s="425" t="n">
        <f aca="false">IF(0.1&gt;17-BL52,0,17-BL52)</f>
        <v>29.1</v>
      </c>
      <c r="BM66" s="425" t="n">
        <f aca="false">IF(0.1&gt;17-BM52,0,17-BM52)</f>
        <v>27.8</v>
      </c>
      <c r="BN66" s="426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</row>
    <row r="67" customFormat="false" ht="14.15" hidden="false" customHeight="true" outlineLevel="0" collapsed="false">
      <c r="A67" s="5"/>
      <c r="B67" s="36" t="s">
        <v>212</v>
      </c>
      <c r="C67" s="36"/>
      <c r="D67" s="36"/>
      <c r="E67" s="36"/>
      <c r="F67" s="115" t="n">
        <v>-35</v>
      </c>
      <c r="G67" s="340" t="n">
        <f aca="false">($T$61-F67)*$G$72</f>
        <v>9.13514408935431</v>
      </c>
      <c r="H67" s="427"/>
      <c r="I67" s="401" t="n">
        <v>2</v>
      </c>
      <c r="J67" s="114" t="n">
        <v>28</v>
      </c>
      <c r="K67" s="114" t="s">
        <v>261</v>
      </c>
      <c r="L67" s="402" t="n">
        <f aca="false">IF(1&lt;M67/(J67*24),1,M67/(J67*24))</f>
        <v>0.639325000246748</v>
      </c>
      <c r="M67" s="403" t="n">
        <f aca="false">IF(I67&lt;1,J67*24,P67/$G$59)</f>
        <v>429.626400165815</v>
      </c>
      <c r="N67" s="404" t="n">
        <f aca="false">$N$65/365*J67</f>
        <v>306.849315068493</v>
      </c>
      <c r="O67" s="404" t="n">
        <f aca="false">V67*$O$65</f>
        <v>3559.78828642384</v>
      </c>
      <c r="P67" s="404" t="n">
        <f aca="false">N67+O67</f>
        <v>3866.63760149233</v>
      </c>
      <c r="Q67" s="105" t="n">
        <f aca="false">P67-R67</f>
        <v>3866.63760149233</v>
      </c>
      <c r="R67" s="296" t="n">
        <f aca="false">AI67</f>
        <v>0</v>
      </c>
      <c r="S67" s="105" t="n">
        <f aca="false">Q67/$S$23+R67</f>
        <v>1225.54713732452</v>
      </c>
      <c r="T67" s="405" t="n">
        <f aca="false">IF($G$9="Ei",AC67+AK67,AC67+AE67)</f>
        <v>8.64576137028176</v>
      </c>
      <c r="U67" s="406" t="n">
        <f aca="false">IF($G$9="Ei",P67/(J67*24),AG67+AC67)</f>
        <v>5.75392500222073</v>
      </c>
      <c r="V67" s="407" t="n">
        <f aca="false">AA67/$AB$65</f>
        <v>0.14921357615894</v>
      </c>
      <c r="W67" s="408" t="n">
        <f aca="false">N67/$F$40</f>
        <v>122.739726027397</v>
      </c>
      <c r="X67" s="408" t="n">
        <f aca="false">(O67-(R67/$F$36))/$F$36</f>
        <v>1078.72372315874</v>
      </c>
      <c r="Y67" s="115" t="n">
        <f aca="false">AO67</f>
        <v>-11.9</v>
      </c>
      <c r="Z67" s="387" t="n">
        <f aca="false">Z64</f>
        <v>-32</v>
      </c>
      <c r="AA67" s="409" t="n">
        <f aca="false">AB67/$E$57</f>
        <v>713.861386138614</v>
      </c>
      <c r="AB67" s="410" t="n">
        <f aca="false">VLOOKUP($D$55,$AW$136:$BJ$151,3,0)</f>
        <v>721</v>
      </c>
      <c r="AC67" s="411" t="n">
        <f aca="false">N67/J67/24</f>
        <v>0.45662100456621</v>
      </c>
      <c r="AD67" s="412" t="n">
        <f aca="false">AA67/J67</f>
        <v>25.4950495049505</v>
      </c>
      <c r="AE67" s="413" t="n">
        <f aca="false">AD67*$AE$79</f>
        <v>8.368886854464</v>
      </c>
      <c r="AF67" s="414" t="n">
        <f aca="false">24*J67*$AG$65</f>
        <v>4019.65038979605</v>
      </c>
      <c r="AG67" s="428" t="n">
        <f aca="false">O67/(J67*24)</f>
        <v>5.29730399765452</v>
      </c>
      <c r="AH67" s="416" t="n">
        <f aca="false">IF(1&gt;P67-AF67,0,P67-AF67)</f>
        <v>0</v>
      </c>
      <c r="AI67" s="417" t="n">
        <f aca="false">IF($G$9="Ei",$AI$62*AJ67,$AI$62*AH67)</f>
        <v>0</v>
      </c>
      <c r="AJ67" s="418" t="n">
        <f aca="false">IF(1&gt;P67-AL67,0,P67-AL67)</f>
        <v>0</v>
      </c>
      <c r="AK67" s="419" t="n">
        <f aca="false">AD67*$AK$79</f>
        <v>8.18914036571555</v>
      </c>
      <c r="AL67" s="420" t="n">
        <f aca="false">24*J67*$AL$65</f>
        <v>4002.09312542154</v>
      </c>
      <c r="AM67" s="429" t="n">
        <f aca="false">O67/(24*J67)</f>
        <v>5.29730399765452</v>
      </c>
      <c r="AN67" s="422" t="n">
        <f aca="false">HLOOKUP($AY$49,AX51:BN64,3,0)</f>
        <v>-8.7</v>
      </c>
      <c r="AO67" s="422" t="n">
        <f aca="false">AN67-$AO$65</f>
        <v>-11.9</v>
      </c>
      <c r="AP67" s="423" t="n">
        <f aca="false">V67*1</f>
        <v>0.14921357615894</v>
      </c>
      <c r="AQ67" s="319"/>
      <c r="AR67" s="8"/>
      <c r="AS67" s="5"/>
      <c r="AT67" s="299"/>
      <c r="AU67" s="424" t="n">
        <f aca="false">HLOOKUP($AY$49,$AW$80:$BM$92,(I67+1))</f>
        <v>0.161229611041405</v>
      </c>
      <c r="AV67" s="319" t="n">
        <f aca="false">HLOOKUP($AY$49,$AW$51:$BM$63,(I67+1), )</f>
        <v>-8.7</v>
      </c>
      <c r="AW67" s="63" t="s">
        <v>180</v>
      </c>
      <c r="AX67" s="425" t="n">
        <f aca="false">IF(0.1&gt;17-AX53,0,17-AX53)</f>
        <v>20.5</v>
      </c>
      <c r="AY67" s="425" t="n">
        <f aca="false">IF(0.1&gt;17-AY53,0,17-AY53)</f>
        <v>23</v>
      </c>
      <c r="AZ67" s="425" t="n">
        <f aca="false">IF(0.1&gt;17-AZ53,0,17-AZ53)</f>
        <v>21.9</v>
      </c>
      <c r="BA67" s="425" t="n">
        <f aca="false">IF(0.1&gt;17-BA53,0,17-BA53)</f>
        <v>22.3</v>
      </c>
      <c r="BB67" s="425" t="n">
        <f aca="false">IF(0.1&gt;17-BB53,0,17-BB53)</f>
        <v>22.4</v>
      </c>
      <c r="BC67" s="425" t="n">
        <f aca="false">IF(0.1&gt;17-BC53,0,17-BC53)</f>
        <v>23.9</v>
      </c>
      <c r="BD67" s="425" t="n">
        <f aca="false">IF(0.1&gt;17-BD53,0,17-BD53)</f>
        <v>24.1</v>
      </c>
      <c r="BE67" s="425" t="n">
        <f aca="false">IF(0.1&gt;17-BE53,0,17-BE53)</f>
        <v>25</v>
      </c>
      <c r="BF67" s="425" t="n">
        <f aca="false">IF(0.1&gt;17-BF53,0,17-BF53)</f>
        <v>25.7</v>
      </c>
      <c r="BG67" s="425" t="n">
        <f aca="false">IF(0.1&gt;17-BG53,0,17-BG53)</f>
        <v>23.9</v>
      </c>
      <c r="BH67" s="425" t="n">
        <f aca="false">IF(0.1&gt;17-BH53,0,17-BH53)</f>
        <v>26.7</v>
      </c>
      <c r="BI67" s="425" t="n">
        <f aca="false">IF(0.1&gt;17-BI53,0,17-BI53)</f>
        <v>26.9</v>
      </c>
      <c r="BJ67" s="425" t="n">
        <f aca="false">IF(0.1&gt;17-BJ53,0,17-BJ53)</f>
        <v>28.2</v>
      </c>
      <c r="BK67" s="425" t="n">
        <f aca="false">IF(0.1&gt;17-BK53,0,17-BK53)</f>
        <v>27</v>
      </c>
      <c r="BL67" s="425" t="n">
        <f aca="false">IF(0.1&gt;17-BL53,0,17-BL53)</f>
        <v>30.9</v>
      </c>
      <c r="BM67" s="425" t="n">
        <f aca="false">IF(0.1&gt;17-BM53,0,17-BM53)</f>
        <v>30.5</v>
      </c>
      <c r="BN67" s="426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</row>
    <row r="68" customFormat="false" ht="14.15" hidden="false" customHeight="true" outlineLevel="0" collapsed="false">
      <c r="A68" s="5"/>
      <c r="B68" s="36" t="s">
        <v>212</v>
      </c>
      <c r="C68" s="36"/>
      <c r="D68" s="36"/>
      <c r="E68" s="36"/>
      <c r="F68" s="115" t="n">
        <v>-40</v>
      </c>
      <c r="G68" s="340" t="n">
        <f aca="false">($T$61-F68)*$G$72</f>
        <v>9.95078195447524</v>
      </c>
      <c r="H68" s="430"/>
      <c r="I68" s="431" t="n">
        <v>3</v>
      </c>
      <c r="J68" s="13" t="n">
        <v>31</v>
      </c>
      <c r="K68" s="13" t="s">
        <v>262</v>
      </c>
      <c r="L68" s="432" t="n">
        <f aca="false">IF(1&lt;M68/(J68*24),1,M68/(J68*24))</f>
        <v>0.527063520810078</v>
      </c>
      <c r="M68" s="433" t="n">
        <f aca="false">IF(I68&lt;1,J68*24,P68/$G$59)</f>
        <v>392.135259482698</v>
      </c>
      <c r="N68" s="434" t="n">
        <f aca="false">$N$65/365*J68</f>
        <v>339.72602739726</v>
      </c>
      <c r="O68" s="434" t="n">
        <f aca="false">V68*$O$65</f>
        <v>3189.49130794702</v>
      </c>
      <c r="P68" s="434" t="n">
        <f aca="false">N68+O68</f>
        <v>3529.21733534428</v>
      </c>
      <c r="Q68" s="435" t="n">
        <f aca="false">P68-R68</f>
        <v>3529.21733534428</v>
      </c>
      <c r="R68" s="435" t="n">
        <f aca="false">AI68</f>
        <v>0</v>
      </c>
      <c r="S68" s="435" t="n">
        <f aca="false">Q68/$S$23+R68</f>
        <v>1118.60035723491</v>
      </c>
      <c r="T68" s="436" t="n">
        <f aca="false">IF($G$9="Ei",AC68+AK68,AC68+AE68)</f>
        <v>7.08384891092668</v>
      </c>
      <c r="U68" s="437" t="n">
        <f aca="false">IF($G$9="Ei",P68/(J68*24),AG68+AC68)</f>
        <v>4.7435716872907</v>
      </c>
      <c r="V68" s="438" t="n">
        <f aca="false">AA68/$AB$65</f>
        <v>0.133692052980132</v>
      </c>
      <c r="W68" s="439" t="n">
        <f aca="false">N68/$F$40</f>
        <v>135.890410958904</v>
      </c>
      <c r="X68" s="439" t="n">
        <f aca="false">(O68-(R68/$F$36))/$F$36</f>
        <v>966.512517559703</v>
      </c>
      <c r="Y68" s="440" t="n">
        <f aca="false">AO68</f>
        <v>-7.6</v>
      </c>
      <c r="Z68" s="440" t="n">
        <f aca="false">IF($AB68&lt;300,-$AO$130*($AA68+50+30/$AA68)/$J68+17,-$AO$130*$AA68/$J68+17)</f>
        <v>-20.5509421909933</v>
      </c>
      <c r="AA68" s="441" t="n">
        <f aca="false">AB68/$E$57</f>
        <v>639.60396039604</v>
      </c>
      <c r="AB68" s="410" t="n">
        <f aca="false">VLOOKUP($D$55,$AW$136:$BJ$151,4,0)</f>
        <v>646</v>
      </c>
      <c r="AC68" s="411" t="n">
        <f aca="false">N68/J68/24</f>
        <v>0.45662100456621</v>
      </c>
      <c r="AD68" s="412" t="n">
        <f aca="false">AA68/J68</f>
        <v>20.6323858192271</v>
      </c>
      <c r="AE68" s="413" t="n">
        <f aca="false">AD68*$AE$79</f>
        <v>6.77269139741152</v>
      </c>
      <c r="AF68" s="414" t="n">
        <f aca="false">24*J68*$AG$65</f>
        <v>4450.3272172742</v>
      </c>
      <c r="AG68" s="415" t="n">
        <f aca="false">O68/(J68*24)</f>
        <v>4.28695068272449</v>
      </c>
      <c r="AH68" s="416" t="n">
        <f aca="false">IF(1&gt;P68-AF68,0,P68-AF68)</f>
        <v>0</v>
      </c>
      <c r="AI68" s="417" t="n">
        <f aca="false">IF($G$9="Ei",$AI$62*AJ68,$AI$62*AH68)</f>
        <v>0</v>
      </c>
      <c r="AJ68" s="418" t="n">
        <f aca="false">IF(1&gt;P68-AL68,0,P68-AL68)</f>
        <v>0</v>
      </c>
      <c r="AK68" s="419" t="n">
        <f aca="false">AD68*$AK$79</f>
        <v>6.62722790636047</v>
      </c>
      <c r="AL68" s="420" t="n">
        <f aca="false">24*J68*$AL$65</f>
        <v>4430.88881743099</v>
      </c>
      <c r="AM68" s="429" t="n">
        <f aca="false">O68/(24*J68)</f>
        <v>4.28695068272449</v>
      </c>
      <c r="AN68" s="422" t="n">
        <f aca="false">HLOOKUP($AY$49,AX51:BN64,4,0)</f>
        <v>-4.4</v>
      </c>
      <c r="AO68" s="422" t="n">
        <f aca="false">AN68-$AO$65</f>
        <v>-7.6</v>
      </c>
      <c r="AP68" s="423" t="n">
        <f aca="false">V68*1</f>
        <v>0.133692052980132</v>
      </c>
      <c r="AQ68" s="319"/>
      <c r="AR68" s="8"/>
      <c r="AS68" s="5"/>
      <c r="AT68" s="299"/>
      <c r="AU68" s="424" t="n">
        <f aca="false">HLOOKUP($AY$49,$AW$80:$BM$92,(I68+1))</f>
        <v>0.134253450439147</v>
      </c>
      <c r="AV68" s="319" t="n">
        <f aca="false">HLOOKUP($AY$49,$AW$51:$BM$63,(I68+1), )</f>
        <v>-4.4</v>
      </c>
      <c r="AW68" s="63" t="s">
        <v>185</v>
      </c>
      <c r="AX68" s="425" t="n">
        <f aca="false">IF(0.1&gt;17-AX54,0,17-AX54)</f>
        <v>17.9</v>
      </c>
      <c r="AY68" s="425" t="n">
        <f aca="false">IF(0.1&gt;17-AY54,0,17-AY54)</f>
        <v>19.3</v>
      </c>
      <c r="AZ68" s="425" t="n">
        <f aca="false">IF(0.1&gt;17-AZ54,0,17-AZ54)</f>
        <v>18.3</v>
      </c>
      <c r="BA68" s="425" t="n">
        <f aca="false">IF(0.1&gt;17-BA54,0,17-BA54)</f>
        <v>18.9</v>
      </c>
      <c r="BB68" s="425" t="n">
        <f aca="false">IF(0.1&gt;17-BB54,0,17-BB54)</f>
        <v>19</v>
      </c>
      <c r="BC68" s="425" t="n">
        <f aca="false">IF(0.1&gt;17-BC54,0,17-BC54)</f>
        <v>20.2</v>
      </c>
      <c r="BD68" s="425" t="n">
        <f aca="false">IF(0.1&gt;17-BD54,0,17-BD54)</f>
        <v>20.1</v>
      </c>
      <c r="BE68" s="425" t="n">
        <f aca="false">IF(0.1&gt;17-BE54,0,17-BE54)</f>
        <v>20.7</v>
      </c>
      <c r="BF68" s="425" t="n">
        <f aca="false">IF(0.1&gt;17-BF54,0,17-BF54)</f>
        <v>21.4</v>
      </c>
      <c r="BG68" s="425" t="n">
        <f aca="false">IF(0.1&gt;17-BG54,0,17-BG54)</f>
        <v>19.9</v>
      </c>
      <c r="BH68" s="425" t="n">
        <f aca="false">IF(0.1&gt;17-BH54,0,17-BH54)</f>
        <v>21.8</v>
      </c>
      <c r="BI68" s="425" t="n">
        <f aca="false">IF(0.1&gt;17-BI54,0,17-BI54)</f>
        <v>22.2</v>
      </c>
      <c r="BJ68" s="425" t="n">
        <f aca="false">IF(0.1&gt;17-BJ54,0,17-BJ54)</f>
        <v>23.5</v>
      </c>
      <c r="BK68" s="425" t="n">
        <f aca="false">IF(0.1&gt;17-BK54,0,17-BK54)</f>
        <v>22.6</v>
      </c>
      <c r="BL68" s="425" t="n">
        <f aca="false">IF(0.1&gt;17-BL54,0,17-BL54)</f>
        <v>25.5</v>
      </c>
      <c r="BM68" s="425" t="n">
        <f aca="false">IF(0.1&gt;17-BM54,0,17-BM54)</f>
        <v>25</v>
      </c>
      <c r="BN68" s="426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</row>
    <row r="69" customFormat="false" ht="14.15" hidden="false" customHeight="true" outlineLevel="0" collapsed="false">
      <c r="A69" s="5"/>
      <c r="B69" s="35" t="s">
        <v>263</v>
      </c>
      <c r="C69" s="35"/>
      <c r="D69" s="35"/>
      <c r="E69" s="35"/>
      <c r="F69" s="35"/>
      <c r="G69" s="404" t="n">
        <f aca="false">P66</f>
        <v>4215.50106878799</v>
      </c>
      <c r="H69" s="430"/>
      <c r="I69" s="401" t="n">
        <v>4</v>
      </c>
      <c r="J69" s="114" t="n">
        <v>30</v>
      </c>
      <c r="K69" s="114" t="s">
        <v>264</v>
      </c>
      <c r="L69" s="402" t="n">
        <f aca="false">IF(1&lt;M69/(J69*24),1,M69/(J69*24))</f>
        <v>0.385983960445219</v>
      </c>
      <c r="M69" s="403" t="n">
        <f aca="false">IF(I69&lt;1,J69*24,P69/$G$59)</f>
        <v>277.908451520558</v>
      </c>
      <c r="N69" s="404" t="n">
        <f aca="false">$N$65/365*J69</f>
        <v>328.767123287671</v>
      </c>
      <c r="O69" s="404" t="n">
        <f aca="false">V69*$O$65</f>
        <v>2172.40894039735</v>
      </c>
      <c r="P69" s="404" t="n">
        <f aca="false">N69+O69</f>
        <v>2501.17606368502</v>
      </c>
      <c r="Q69" s="105" t="n">
        <f aca="false">P69-R69</f>
        <v>2501.17606368502</v>
      </c>
      <c r="R69" s="296" t="n">
        <f aca="false">AI69</f>
        <v>0</v>
      </c>
      <c r="S69" s="105" t="n">
        <f aca="false">Q69/$S$23+R69</f>
        <v>792.758329255043</v>
      </c>
      <c r="T69" s="405" t="n">
        <f aca="false">IF($G$9="Ei",AC69+AK69,AC69+AE69)</f>
        <v>5.12098574361455</v>
      </c>
      <c r="U69" s="406" t="n">
        <f aca="false">IF($G$9="Ei",P69/(J69*24),AG69+AC69)</f>
        <v>3.47385564400698</v>
      </c>
      <c r="V69" s="407" t="n">
        <f aca="false">AA69/$AB$65</f>
        <v>0.0910596026490066</v>
      </c>
      <c r="W69" s="408" t="n">
        <f aca="false">N69/$F$40</f>
        <v>131.506849315068</v>
      </c>
      <c r="X69" s="408" t="n">
        <f aca="false">(O69-(R69/$F$36))/$F$36</f>
        <v>658.305739514349</v>
      </c>
      <c r="Y69" s="115" t="n">
        <f aca="false">AO69</f>
        <v>-0.3</v>
      </c>
      <c r="Z69" s="115" t="n">
        <f aca="false">IF($AB69&lt;300,-$AO$130*($AA69+50+30/$AA69)/$J69+17,-$AO$130*$AA69/$J69+17)</f>
        <v>-9.42904290429043</v>
      </c>
      <c r="AA69" s="409" t="n">
        <f aca="false">AB69/$E$57</f>
        <v>435.643564356436</v>
      </c>
      <c r="AB69" s="410" t="n">
        <f aca="false">VLOOKUP($D$55,$AW$136:$BJ$151,5,0)</f>
        <v>440</v>
      </c>
      <c r="AC69" s="411" t="n">
        <f aca="false">N69/J69/24</f>
        <v>0.45662100456621</v>
      </c>
      <c r="AD69" s="412" t="n">
        <f aca="false">AA69/J69</f>
        <v>14.5214521452145</v>
      </c>
      <c r="AE69" s="413" t="n">
        <f aca="false">AD69*$AE$79</f>
        <v>4.76674461613484</v>
      </c>
      <c r="AF69" s="414" t="n">
        <f aca="false">24*J69*$AG$65</f>
        <v>4306.76827478149</v>
      </c>
      <c r="AG69" s="415" t="n">
        <f aca="false">O69/(J69*24)</f>
        <v>3.01723463944076</v>
      </c>
      <c r="AH69" s="416" t="n">
        <f aca="false">IF(1&gt;P69-AF69,0,P69-AF69)</f>
        <v>0</v>
      </c>
      <c r="AI69" s="417" t="n">
        <f aca="false">IF($G$9="Ei",$AI$62*AJ69,$AI$62*AH69)</f>
        <v>0</v>
      </c>
      <c r="AJ69" s="418" t="n">
        <f aca="false">IF(1&gt;P69-AL69,0,P69-AL69)</f>
        <v>0</v>
      </c>
      <c r="AK69" s="419" t="n">
        <f aca="false">AD69*$AK$79</f>
        <v>4.66436473904834</v>
      </c>
      <c r="AL69" s="420" t="n">
        <f aca="false">24*J69*$AL$65</f>
        <v>4287.95692009451</v>
      </c>
      <c r="AM69" s="429" t="n">
        <f aca="false">O69/(24*J69)</f>
        <v>3.01723463944076</v>
      </c>
      <c r="AN69" s="422" t="n">
        <f aca="false">HLOOKUP($AY$49,AX51:BN64,5,0)</f>
        <v>2.9</v>
      </c>
      <c r="AO69" s="422" t="n">
        <f aca="false">AN69-$AO$65</f>
        <v>-0.3</v>
      </c>
      <c r="AP69" s="423" t="n">
        <f aca="false">V69*1</f>
        <v>0.0910596026490066</v>
      </c>
      <c r="AQ69" s="319"/>
      <c r="AR69" s="8"/>
      <c r="AS69" s="5"/>
      <c r="AT69" s="299"/>
      <c r="AU69" s="424" t="n">
        <f aca="false">HLOOKUP($AY$49,$AW$80:$BM$92,(I69+1))</f>
        <v>0.088456712672522</v>
      </c>
      <c r="AV69" s="319" t="n">
        <f aca="false">HLOOKUP($AY$49,$AW$51:$BM$63,(I69+1), )</f>
        <v>2.9</v>
      </c>
      <c r="AW69" s="63" t="s">
        <v>190</v>
      </c>
      <c r="AX69" s="425" t="n">
        <f aca="false">IF(0.1&gt;17-AX55,0,17-AX55)</f>
        <v>13.2</v>
      </c>
      <c r="AY69" s="425" t="n">
        <f aca="false">IF(0.1&gt;17-AY55,0,17-AY55)</f>
        <v>12.3</v>
      </c>
      <c r="AZ69" s="425" t="n">
        <f aca="false">IF(0.1&gt;17-AZ55,0,17-AZ55)</f>
        <v>12.3</v>
      </c>
      <c r="BA69" s="425" t="n">
        <f aca="false">IF(0.1&gt;17-BA55,0,17-BA55)</f>
        <v>12.9</v>
      </c>
      <c r="BB69" s="425" t="n">
        <f aca="false">IF(0.1&gt;17-BB55,0,17-BB55)</f>
        <v>12.6</v>
      </c>
      <c r="BC69" s="425" t="n">
        <f aca="false">IF(0.1&gt;17-BC55,0,17-BC55)</f>
        <v>13.3</v>
      </c>
      <c r="BD69" s="425" t="n">
        <f aca="false">IF(0.1&gt;17-BD55,0,17-BD55)</f>
        <v>12.9</v>
      </c>
      <c r="BE69" s="425" t="n">
        <f aca="false">IF(0.1&gt;17-BE55,0,17-BE55)</f>
        <v>13.2</v>
      </c>
      <c r="BF69" s="425" t="n">
        <f aca="false">IF(0.1&gt;17-BF55,0,17-BF55)</f>
        <v>14.1</v>
      </c>
      <c r="BG69" s="425" t="n">
        <f aca="false">IF(0.1&gt;17-BG55,0,17-BG55)</f>
        <v>13.9</v>
      </c>
      <c r="BH69" s="425" t="n">
        <f aca="false">IF(0.1&gt;17-BH55,0,17-BH55)</f>
        <v>14.4</v>
      </c>
      <c r="BI69" s="425" t="n">
        <f aca="false">IF(0.1&gt;17-BI55,0,17-BI55)</f>
        <v>14.7</v>
      </c>
      <c r="BJ69" s="425" t="n">
        <f aca="false">IF(0.1&gt;17-BJ55,0,17-BJ55)</f>
        <v>15.7</v>
      </c>
      <c r="BK69" s="425" t="n">
        <f aca="false">IF(0.1&gt;17-BK55,0,17-BK55)</f>
        <v>15.6</v>
      </c>
      <c r="BL69" s="425" t="n">
        <f aca="false">IF(0.1&gt;17-BL55,0,17-BL55)</f>
        <v>17.4</v>
      </c>
      <c r="BM69" s="425" t="n">
        <f aca="false">IF(0.1&gt;17-BM55,0,17-BM55)</f>
        <v>17.7</v>
      </c>
      <c r="BN69" s="426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</row>
    <row r="70" customFormat="false" ht="14.15" hidden="false" customHeight="true" outlineLevel="0" collapsed="false">
      <c r="A70" s="5"/>
      <c r="B70" s="136" t="s">
        <v>265</v>
      </c>
      <c r="C70" s="136"/>
      <c r="D70" s="136"/>
      <c r="E70" s="136"/>
      <c r="F70" s="136"/>
      <c r="G70" s="325" t="n">
        <f aca="false">U67</f>
        <v>5.75392500222073</v>
      </c>
      <c r="H70" s="430"/>
      <c r="I70" s="401" t="n">
        <v>5</v>
      </c>
      <c r="J70" s="114" t="n">
        <v>31</v>
      </c>
      <c r="K70" s="114" t="s">
        <v>266</v>
      </c>
      <c r="L70" s="402" t="n">
        <f aca="false">IF(1&lt;M70/(J70*24),1,M70/(J70*24))</f>
        <v>0.202629688612146</v>
      </c>
      <c r="M70" s="403" t="n">
        <f aca="false">IF(I70&lt;1,J70*24,P70/$G$59)</f>
        <v>150.756488327437</v>
      </c>
      <c r="N70" s="404" t="n">
        <f aca="false">$N$65/365*J70</f>
        <v>339.72602739726</v>
      </c>
      <c r="O70" s="404" t="n">
        <f aca="false">V70*$O$65</f>
        <v>1017.08236754967</v>
      </c>
      <c r="P70" s="404" t="n">
        <f aca="false">N70+O70</f>
        <v>1356.80839494693</v>
      </c>
      <c r="Q70" s="105" t="n">
        <f aca="false">P70-R70</f>
        <v>1356.80839494693</v>
      </c>
      <c r="R70" s="296" t="n">
        <f aca="false">AI70</f>
        <v>0</v>
      </c>
      <c r="S70" s="105" t="n">
        <f aca="false">Q70/$S$23+R70</f>
        <v>430.046157851285</v>
      </c>
      <c r="T70" s="405" t="n">
        <f aca="false">IF($G$9="Ei",AC70+AK70,AC70+AE70)</f>
        <v>2.56994755055732</v>
      </c>
      <c r="U70" s="406" t="n">
        <f aca="false">IF($G$9="Ei",P70/(J70*24),AG70+AC70)</f>
        <v>1.82366719750931</v>
      </c>
      <c r="V70" s="407" t="n">
        <f aca="false">AA70/$AB$65</f>
        <v>0.0426324503311258</v>
      </c>
      <c r="W70" s="408" t="n">
        <f aca="false">N70/$F$40</f>
        <v>135.890410958904</v>
      </c>
      <c r="X70" s="408" t="n">
        <f aca="false">(O70-(R70/$F$36))/$F$36</f>
        <v>308.206778045354</v>
      </c>
      <c r="Y70" s="115" t="n">
        <f aca="false">AO70</f>
        <v>7.1</v>
      </c>
      <c r="Z70" s="115" t="n">
        <f aca="false">IF($AB70&lt;300,-$AO$130*($AA70+50+30/$AA70)/$J70+17,-$AO$130*$AA70/$J70+17)</f>
        <v>2.08143161867079</v>
      </c>
      <c r="AA70" s="409" t="n">
        <f aca="false">AB70/$E$57</f>
        <v>203.960396039604</v>
      </c>
      <c r="AB70" s="410" t="n">
        <f aca="false">VLOOKUP($D$55,$AW$136:$BJ$151,6,0)</f>
        <v>206</v>
      </c>
      <c r="AC70" s="411" t="n">
        <f aca="false">N70/J70/24</f>
        <v>0.45662100456621</v>
      </c>
      <c r="AD70" s="412" t="n">
        <f aca="false">AA70/J70</f>
        <v>6.57936761418077</v>
      </c>
      <c r="AE70" s="413" t="n">
        <f aca="false">AD70*$AE$79</f>
        <v>2.15971273663587</v>
      </c>
      <c r="AF70" s="414" t="n">
        <f aca="false">24*J70*$AG$65</f>
        <v>4450.3272172742</v>
      </c>
      <c r="AG70" s="415" t="n">
        <f aca="false">O70/(J70*24)</f>
        <v>1.3670461929431</v>
      </c>
      <c r="AH70" s="416" t="n">
        <f aca="false">IF(1&gt;P70-AF70,0,P70-AF70)</f>
        <v>0</v>
      </c>
      <c r="AI70" s="417" t="n">
        <f aca="false">IF($G$9="Ei",$AI$62*AJ70,$AI$62*AH70)</f>
        <v>0</v>
      </c>
      <c r="AJ70" s="418" t="n">
        <f aca="false">IF(1&gt;P70-AL70,0,P70-AL70)</f>
        <v>0</v>
      </c>
      <c r="AK70" s="419" t="n">
        <f aca="false">AD70*$AK$79</f>
        <v>2.11332654599111</v>
      </c>
      <c r="AL70" s="420" t="n">
        <f aca="false">24*J70*$AL$65</f>
        <v>4430.88881743099</v>
      </c>
      <c r="AM70" s="429" t="n">
        <f aca="false">O70/(24*J70)</f>
        <v>1.3670461929431</v>
      </c>
      <c r="AN70" s="422" t="n">
        <f aca="false">HLOOKUP($AY$49,AX51:BN64,6,0)</f>
        <v>10.3</v>
      </c>
      <c r="AO70" s="422" t="n">
        <f aca="false">AN70-$AO$65</f>
        <v>7.1</v>
      </c>
      <c r="AP70" s="423" t="n">
        <f aca="false">V70*1</f>
        <v>0.0426324503311258</v>
      </c>
      <c r="AQ70" s="319"/>
      <c r="AR70" s="8"/>
      <c r="AS70" s="5"/>
      <c r="AT70" s="299"/>
      <c r="AU70" s="424" t="n">
        <f aca="false">HLOOKUP($AY$49,$AW$80:$BM$92,(I70+1))</f>
        <v>0.0420326223337516</v>
      </c>
      <c r="AV70" s="319" t="n">
        <f aca="false">HLOOKUP($AY$49,$AW$51:$BM$63,(I70+1), )</f>
        <v>10.3</v>
      </c>
      <c r="AW70" s="63" t="s">
        <v>194</v>
      </c>
      <c r="AX70" s="425" t="n">
        <f aca="false">IF(0.1&gt;17-AX56,0,17-AX56)</f>
        <v>7.4</v>
      </c>
      <c r="AY70" s="425" t="n">
        <f aca="false">IF(0.1&gt;17-AY56,0,17-AY56)</f>
        <v>5.3</v>
      </c>
      <c r="AZ70" s="425" t="n">
        <f aca="false">IF(0.1&gt;17-AZ56,0,17-AZ56)</f>
        <v>5.9</v>
      </c>
      <c r="BA70" s="425" t="n">
        <f aca="false">IF(0.1&gt;17-BA56,0,17-BA56)</f>
        <v>6.1</v>
      </c>
      <c r="BB70" s="425" t="n">
        <f aca="false">IF(0.1&gt;17-BB56,0,17-BB56)</f>
        <v>6</v>
      </c>
      <c r="BC70" s="425" t="n">
        <f aca="false">IF(0.1&gt;17-BC56,0,17-BC56)</f>
        <v>6.1</v>
      </c>
      <c r="BD70" s="425" t="n">
        <f aca="false">IF(0.1&gt;17-BD56,0,17-BD56)</f>
        <v>5.8</v>
      </c>
      <c r="BE70" s="425" t="n">
        <f aca="false">IF(0.1&gt;17-BE56,0,17-BE56)</f>
        <v>5.8</v>
      </c>
      <c r="BF70" s="425" t="n">
        <f aca="false">IF(0.1&gt;17-BF56,0,17-BF56)</f>
        <v>6.7</v>
      </c>
      <c r="BG70" s="425" t="n">
        <f aca="false">IF(0.1&gt;17-BG56,0,17-BG56)</f>
        <v>6.9</v>
      </c>
      <c r="BH70" s="425" t="n">
        <f aca="false">IF(0.1&gt;17-BH56,0,17-BH56)</f>
        <v>6.6</v>
      </c>
      <c r="BI70" s="425" t="n">
        <f aca="false">IF(0.1&gt;17-BI56,0,17-BI56)</f>
        <v>6.8</v>
      </c>
      <c r="BJ70" s="425" t="n">
        <f aca="false">IF(0.1&gt;17-BJ56,0,17-BJ56)</f>
        <v>8</v>
      </c>
      <c r="BK70" s="425" t="n">
        <f aca="false">IF(0.1&gt;17-BK56,0,17-BK56)</f>
        <v>7.7</v>
      </c>
      <c r="BL70" s="425" t="n">
        <f aca="false">IF(0.1&gt;17-BL56,0,17-BL56)</f>
        <v>9.9</v>
      </c>
      <c r="BM70" s="425" t="n">
        <f aca="false">IF(0.1&gt;17-BM56,0,17-BM56)</f>
        <v>10.9</v>
      </c>
      <c r="BN70" s="426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</row>
    <row r="71" customFormat="false" ht="14.15" hidden="false" customHeight="true" outlineLevel="0" collapsed="false">
      <c r="A71" s="5"/>
      <c r="B71" s="136" t="s">
        <v>267</v>
      </c>
      <c r="C71" s="136"/>
      <c r="D71" s="136"/>
      <c r="E71" s="136"/>
      <c r="F71" s="442" t="n">
        <f aca="false">AR65</f>
        <v>-1</v>
      </c>
      <c r="G71" s="443" t="n">
        <f aca="false">AN66</f>
        <v>-8.5</v>
      </c>
      <c r="H71" s="430"/>
      <c r="I71" s="431" t="n">
        <v>6</v>
      </c>
      <c r="J71" s="13" t="n">
        <v>30</v>
      </c>
      <c r="K71" s="13" t="s">
        <v>268</v>
      </c>
      <c r="L71" s="432" t="n">
        <f aca="false">IF(1&lt;M71/(J71*24),1,M71/(J71*24))</f>
        <v>0.0812127847441321</v>
      </c>
      <c r="M71" s="433" t="n">
        <f aca="false">IF(I71&lt;1,J71*24,P71/$G$59)</f>
        <v>58.4732050157751</v>
      </c>
      <c r="N71" s="434" t="n">
        <f aca="false">$N$65/365*J71</f>
        <v>328.767123287671</v>
      </c>
      <c r="O71" s="434" t="n">
        <f aca="false">V71*$O$65</f>
        <v>197.491721854305</v>
      </c>
      <c r="P71" s="434" t="n">
        <f aca="false">N71+O71</f>
        <v>526.258845141976</v>
      </c>
      <c r="Q71" s="435" t="n">
        <f aca="false">P71-R71</f>
        <v>526.258845141976</v>
      </c>
      <c r="R71" s="435" t="n">
        <f aca="false">AI71</f>
        <v>0</v>
      </c>
      <c r="S71" s="435" t="n">
        <f aca="false">Q71/$S$23+R71</f>
        <v>166.799966179022</v>
      </c>
      <c r="T71" s="436" t="n">
        <f aca="false">IF($G$9="Ei",AC71+AK71,AC71+AE71)</f>
        <v>0.880654162661514</v>
      </c>
      <c r="U71" s="437" t="n">
        <f aca="false">IF($G$9="Ei",P71/(J71*24),AG71+AC71)</f>
        <v>0.730915062697189</v>
      </c>
      <c r="V71" s="438" t="n">
        <f aca="false">AA71/$AB$65</f>
        <v>0.00827814569536424</v>
      </c>
      <c r="W71" s="439" t="n">
        <f aca="false">N71/$F$40</f>
        <v>131.506849315068</v>
      </c>
      <c r="X71" s="439" t="n">
        <f aca="false">(O71-(R71/$F$36))/$F$36</f>
        <v>59.8459763194863</v>
      </c>
      <c r="Y71" s="440" t="n">
        <f aca="false">AO71</f>
        <v>10.9</v>
      </c>
      <c r="Z71" s="440" t="n">
        <f aca="false">IF($AB71&lt;300,-$AO$130*($AA71+50+30/$AA71)/$J71+17,-$AO$130*$AA71/$J71+17)</f>
        <v>11.5180714026403</v>
      </c>
      <c r="AA71" s="441" t="n">
        <f aca="false">AB71/$E$57</f>
        <v>39.6039603960396</v>
      </c>
      <c r="AB71" s="410" t="n">
        <f aca="false">VLOOKUP($D$55,$AW$136:$BJ$151,7,0)</f>
        <v>40</v>
      </c>
      <c r="AC71" s="411" t="n">
        <f aca="false">N71/J71/24</f>
        <v>0.45662100456621</v>
      </c>
      <c r="AD71" s="412" t="n">
        <f aca="false">AA71/J71</f>
        <v>1.32013201320132</v>
      </c>
      <c r="AE71" s="413" t="n">
        <f aca="false">AD71*$AE$79</f>
        <v>0.433340419648621</v>
      </c>
      <c r="AF71" s="414" t="n">
        <f aca="false">24*J71*$AG$65</f>
        <v>4306.76827478149</v>
      </c>
      <c r="AG71" s="415" t="n">
        <f aca="false">O71/(J71*24)</f>
        <v>0.274294058130979</v>
      </c>
      <c r="AH71" s="416" t="n">
        <f aca="false">IF(1&gt;P71-AF71,0,P71-AF71)</f>
        <v>0</v>
      </c>
      <c r="AI71" s="417" t="n">
        <f aca="false">IF($G$9="Ei",$AI$62*AJ71,$AI$62*AH71)</f>
        <v>0</v>
      </c>
      <c r="AJ71" s="418" t="n">
        <f aca="false">IF(1&gt;P71-AL71,0,P71-AL71)</f>
        <v>0</v>
      </c>
      <c r="AK71" s="419" t="n">
        <f aca="false">AD71*$AK$79</f>
        <v>0.424033158095304</v>
      </c>
      <c r="AL71" s="420" t="n">
        <f aca="false">24*J71*$AL$65</f>
        <v>4287.95692009451</v>
      </c>
      <c r="AM71" s="429" t="n">
        <f aca="false">O71/(24*J71)</f>
        <v>0.274294058130979</v>
      </c>
      <c r="AN71" s="422" t="n">
        <f aca="false">HLOOKUP($AY$49,AX51:BN64,7, )</f>
        <v>14.1</v>
      </c>
      <c r="AO71" s="422" t="n">
        <f aca="false">AN71-$AO$65</f>
        <v>10.9</v>
      </c>
      <c r="AP71" s="423" t="n">
        <f aca="false">V71*1</f>
        <v>0.00827814569536424</v>
      </c>
      <c r="AQ71" s="319"/>
      <c r="AR71" s="8"/>
      <c r="AS71" s="5"/>
      <c r="AT71" s="299"/>
      <c r="AU71" s="424" t="n">
        <f aca="false">HLOOKUP($AY$49,$AW$80:$BM$92,(I71+1))</f>
        <v>0.0181932245922208</v>
      </c>
      <c r="AV71" s="319" t="n">
        <f aca="false">HLOOKUP($AY$49,$AW$51:$BM$63,(I71+1), )</f>
        <v>14.1</v>
      </c>
      <c r="AW71" s="63" t="s">
        <v>197</v>
      </c>
      <c r="AX71" s="425" t="n">
        <f aca="false">IF(0.1&gt;17-AX57,0,17-AX57)</f>
        <v>3.6</v>
      </c>
      <c r="AY71" s="425" t="n">
        <f aca="false">IF(0.1&gt;17-AY57,0,17-AY57)</f>
        <v>1.5</v>
      </c>
      <c r="AZ71" s="425" t="n">
        <f aca="false">IF(0.1&gt;17-AZ57,0,17-AZ57)</f>
        <v>1.8</v>
      </c>
      <c r="BA71" s="425" t="n">
        <f aca="false">IF(0.1&gt;17-BA57,0,17-BA57)</f>
        <v>2.6</v>
      </c>
      <c r="BB71" s="425" t="n">
        <f aca="false">IF(0.1&gt;17-BB57,0,17-BB57)</f>
        <v>2.1</v>
      </c>
      <c r="BC71" s="425" t="n">
        <f aca="false">IF(0.1&gt;17-BC57,0,17-BC57)</f>
        <v>2.5</v>
      </c>
      <c r="BD71" s="425" t="n">
        <f aca="false">IF(0.1&gt;17-BD57,0,17-BD57)</f>
        <v>2.1</v>
      </c>
      <c r="BE71" s="425" t="n">
        <f aca="false">IF(0.1&gt;17-BE57,0,17-BE57)</f>
        <v>1.9</v>
      </c>
      <c r="BF71" s="425" t="n">
        <f aca="false">IF(0.1&gt;17-BF57,0,17-BF57)</f>
        <v>2.9</v>
      </c>
      <c r="BG71" s="425" t="n">
        <f aca="false">IF(0.1&gt;17-BG57,0,17-BG57)</f>
        <v>3</v>
      </c>
      <c r="BH71" s="425" t="n">
        <f aca="false">IF(0.1&gt;17-BH57,0,17-BH57)</f>
        <v>2.2</v>
      </c>
      <c r="BI71" s="425" t="n">
        <f aca="false">IF(0.1&gt;17-BI57,0,17-BI57)</f>
        <v>2.7</v>
      </c>
      <c r="BJ71" s="425" t="n">
        <f aca="false">IF(0.1&gt;17-BJ57,0,17-BJ57)</f>
        <v>3.5</v>
      </c>
      <c r="BK71" s="425" t="n">
        <f aca="false">IF(0.1&gt;17-BK57,0,17-BK57)</f>
        <v>3.4</v>
      </c>
      <c r="BL71" s="425" t="n">
        <f aca="false">IF(0.1&gt;17-BL57,0,17-BL57)</f>
        <v>4.9</v>
      </c>
      <c r="BM71" s="425" t="n">
        <f aca="false">IF(0.1&gt;17-BM57,0,17-BM57)</f>
        <v>6.1</v>
      </c>
      <c r="BN71" s="426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</row>
    <row r="72" customFormat="false" ht="14.15" hidden="false" customHeight="true" outlineLevel="0" collapsed="false">
      <c r="A72" s="5"/>
      <c r="B72" s="50" t="s">
        <v>269</v>
      </c>
      <c r="C72" s="50"/>
      <c r="D72" s="50"/>
      <c r="E72" s="50"/>
      <c r="F72" s="50"/>
      <c r="G72" s="444" t="n">
        <f aca="false">G61/(T61-Z64)</f>
        <v>0.163127573024184</v>
      </c>
      <c r="H72" s="430"/>
      <c r="I72" s="401" t="n">
        <v>7</v>
      </c>
      <c r="J72" s="114" t="n">
        <v>31</v>
      </c>
      <c r="K72" s="114" t="s">
        <v>270</v>
      </c>
      <c r="L72" s="402" t="n">
        <f aca="false">IF(1&lt;M72/(J72*24),1,M72/(J72*24))</f>
        <v>0.05810916336034</v>
      </c>
      <c r="M72" s="403" t="n">
        <f aca="false">IF(I72&lt;1,J72*24,P72/$G$59)</f>
        <v>43.2332175400929</v>
      </c>
      <c r="N72" s="404" t="n">
        <f aca="false">$N$65/365*J72</f>
        <v>339.72602739726</v>
      </c>
      <c r="O72" s="404" t="n">
        <f aca="false">V72*$O$65</f>
        <v>49.3729304635762</v>
      </c>
      <c r="P72" s="404" t="n">
        <f aca="false">N72+O72</f>
        <v>389.098957860836</v>
      </c>
      <c r="Q72" s="105" t="n">
        <f aca="false">P72-R72</f>
        <v>389.098957860836</v>
      </c>
      <c r="R72" s="296" t="n">
        <f aca="false">AI72</f>
        <v>0</v>
      </c>
      <c r="S72" s="105" t="n">
        <f aca="false">Q72/$S$23+R72</f>
        <v>123.326559944034</v>
      </c>
      <c r="T72" s="405" t="n">
        <f aca="false">IF($G$9="Ei",AC72+AK72,AC72+AE72)</f>
        <v>0.559209671847332</v>
      </c>
      <c r="U72" s="406" t="n">
        <f aca="false">IF($G$9="Ei",P72/(J72*24),AG72+AC72)</f>
        <v>0.52298247024306</v>
      </c>
      <c r="V72" s="407" t="n">
        <f aca="false">AA72/$AB$65</f>
        <v>0.00206953642384106</v>
      </c>
      <c r="W72" s="408" t="n">
        <f aca="false">N72/$F$40</f>
        <v>135.890410958904</v>
      </c>
      <c r="X72" s="408" t="n">
        <f aca="false">(O72-(R72/$F$36))/$F$36</f>
        <v>14.9614940798716</v>
      </c>
      <c r="Y72" s="115" t="n">
        <f aca="false">AO72</f>
        <v>14</v>
      </c>
      <c r="Z72" s="115" t="n">
        <f aca="false">IF($AB72&lt;300,-$AO$130*($AA72+50+30/$AA72)/$J72+17,-$AO$130*$AA72/$J72+17)</f>
        <v>13.3053418716065</v>
      </c>
      <c r="AA72" s="409" t="n">
        <f aca="false">AB72/$E$57</f>
        <v>9.9009900990099</v>
      </c>
      <c r="AB72" s="410" t="n">
        <f aca="false">VLOOKUP($D$55,$AW$136:$BJ$151,8,0)</f>
        <v>10</v>
      </c>
      <c r="AC72" s="411" t="n">
        <f aca="false">N72/J72/24</f>
        <v>0.45662100456621</v>
      </c>
      <c r="AD72" s="412" t="n">
        <f aca="false">AA72/J72</f>
        <v>0.319386777387416</v>
      </c>
      <c r="AE72" s="413" t="n">
        <f aca="false">AD72*$AE$79</f>
        <v>0.104840424108537</v>
      </c>
      <c r="AF72" s="414" t="n">
        <f aca="false">24*J72*$AG$65</f>
        <v>4450.3272172742</v>
      </c>
      <c r="AG72" s="415" t="n">
        <f aca="false">O72/(J72*24)</f>
        <v>0.0663614656768497</v>
      </c>
      <c r="AH72" s="416" t="n">
        <f aca="false">IF(1&gt;P72-AF72,0,P72-AF72)</f>
        <v>0</v>
      </c>
      <c r="AI72" s="417" t="n">
        <f aca="false">IF($G$9="Ei",$AI$62*AJ72,$AI$62*AH72)</f>
        <v>0</v>
      </c>
      <c r="AJ72" s="418" t="n">
        <f aca="false">IF(1&gt;P72-AL72,0,P72-AL72)</f>
        <v>0</v>
      </c>
      <c r="AK72" s="419" t="n">
        <f aca="false">AD72*$AK$79</f>
        <v>0.102588667281122</v>
      </c>
      <c r="AL72" s="420" t="n">
        <f aca="false">24*J72*$AL$65</f>
        <v>4430.88881743099</v>
      </c>
      <c r="AM72" s="429" t="n">
        <f aca="false">O72/(24*J72)</f>
        <v>0.0663614656768497</v>
      </c>
      <c r="AN72" s="422" t="n">
        <f aca="false">HLOOKUP($AY$49,AX51:BN64,8,0)</f>
        <v>17.2</v>
      </c>
      <c r="AO72" s="422" t="n">
        <f aca="false">AN72-$AO$65</f>
        <v>14</v>
      </c>
      <c r="AP72" s="423" t="n">
        <f aca="false">V72*1</f>
        <v>0.00206953642384106</v>
      </c>
      <c r="AQ72" s="319"/>
      <c r="AR72" s="8"/>
      <c r="AS72" s="5"/>
      <c r="AT72" s="299"/>
      <c r="AU72" s="424" t="n">
        <f aca="false">HLOOKUP($AY$49,$AW$80:$BM$92,(I72+1))</f>
        <v>0</v>
      </c>
      <c r="AV72" s="319" t="n">
        <f aca="false">HLOOKUP($AY$49,$AW$51:$BM$63,(I72+1), )</f>
        <v>17.2</v>
      </c>
      <c r="AW72" s="63" t="s">
        <v>200</v>
      </c>
      <c r="AX72" s="425" t="n">
        <f aca="false">IF(0.1&gt;17-AX58,0,17-AX58)</f>
        <v>0</v>
      </c>
      <c r="AY72" s="425" t="n">
        <f aca="false">IF(0.1&gt;17-AY58,0,17-AY58)</f>
        <v>0</v>
      </c>
      <c r="AZ72" s="425" t="n">
        <f aca="false">IF(0.1&gt;17-AZ58,0,17-AZ58)</f>
        <v>0</v>
      </c>
      <c r="BA72" s="425" t="n">
        <f aca="false">IF(0.1&gt;17-BA58,0,17-BA58)</f>
        <v>0</v>
      </c>
      <c r="BB72" s="425" t="n">
        <f aca="false">IF(0.1&gt;17-BB58,0,17-BB58)</f>
        <v>0</v>
      </c>
      <c r="BC72" s="425" t="n">
        <f aca="false">IF(0.1&gt;17-BC58,0,17-BC58)</f>
        <v>0</v>
      </c>
      <c r="BD72" s="425" t="n">
        <f aca="false">IF(0.1&gt;17-BD58,0,17-BD58)</f>
        <v>0</v>
      </c>
      <c r="BE72" s="425" t="n">
        <f aca="false">IF(0.1&gt;17-BE58,0,17-BE58)</f>
        <v>0</v>
      </c>
      <c r="BF72" s="425" t="n">
        <f aca="false">IF(0.1&gt;17-BF58,0,17-BF58)</f>
        <v>0</v>
      </c>
      <c r="BG72" s="425" t="n">
        <f aca="false">IF(0.1&gt;17-BG58,0,17-BG58)</f>
        <v>0</v>
      </c>
      <c r="BH72" s="425" t="n">
        <f aca="false">IF(0.1&gt;17-BH58,0,17-BH58)</f>
        <v>0</v>
      </c>
      <c r="BI72" s="425" t="n">
        <f aca="false">IF(0.1&gt;17-BI58,0,17-BI58)</f>
        <v>0</v>
      </c>
      <c r="BJ72" s="425" t="n">
        <f aca="false">IF(0.1&gt;17-BJ58,0,17-BJ58)</f>
        <v>0.399999999999999</v>
      </c>
      <c r="BK72" s="425" t="n">
        <f aca="false">IF(0.1&gt;17-BK58,0,17-BK58)</f>
        <v>0.5</v>
      </c>
      <c r="BL72" s="425" t="n">
        <f aca="false">IF(0.1&gt;17-BL58,0,17-BL58)</f>
        <v>2.3</v>
      </c>
      <c r="BM72" s="425" t="n">
        <f aca="false">IF(0.1&gt;17-BM58,0,17-BM58)</f>
        <v>3.2</v>
      </c>
      <c r="BN72" s="426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</row>
    <row r="73" customFormat="false" ht="14.15" hidden="false" customHeight="true" outlineLevel="0" collapsed="false">
      <c r="A73" s="5"/>
      <c r="B73" s="445" t="s">
        <v>271</v>
      </c>
      <c r="C73" s="445" t="s">
        <v>149</v>
      </c>
      <c r="D73" s="20" t="s">
        <v>272</v>
      </c>
      <c r="E73" s="20" t="s">
        <v>150</v>
      </c>
      <c r="F73" s="141" t="s">
        <v>273</v>
      </c>
      <c r="G73" s="355" t="s">
        <v>274</v>
      </c>
      <c r="H73" s="5"/>
      <c r="I73" s="401" t="n">
        <v>8</v>
      </c>
      <c r="J73" s="114" t="n">
        <v>31</v>
      </c>
      <c r="K73" s="114" t="s">
        <v>275</v>
      </c>
      <c r="L73" s="402" t="n">
        <f aca="false">IF(1&lt;M73/(J73*24),1,M73/(J73*24))</f>
        <v>0.0920272458173965</v>
      </c>
      <c r="M73" s="403" t="n">
        <f aca="false">IF(I73&lt;1,J73*24,P73/$G$59)</f>
        <v>68.468270888143</v>
      </c>
      <c r="N73" s="404" t="n">
        <f aca="false">$N$65/365*J73</f>
        <v>339.72602739726</v>
      </c>
      <c r="O73" s="404" t="n">
        <f aca="false">V73*$O$65</f>
        <v>276.488410596026</v>
      </c>
      <c r="P73" s="404" t="n">
        <f aca="false">N73+O73</f>
        <v>616.214437993287</v>
      </c>
      <c r="Q73" s="105" t="n">
        <f aca="false">P73-R73</f>
        <v>616.214437993287</v>
      </c>
      <c r="R73" s="296" t="n">
        <f aca="false">AI73</f>
        <v>0</v>
      </c>
      <c r="S73" s="105" t="n">
        <f aca="false">Q73/$S$23+R73</f>
        <v>195.311771697777</v>
      </c>
      <c r="T73" s="405" t="n">
        <f aca="false">IF($G$9="Ei",AC73+AK73,AC73+AE73)</f>
        <v>1.03111754134049</v>
      </c>
      <c r="U73" s="406" t="n">
        <f aca="false">IF($G$9="Ei",P73/(J73*24),AG73+AC73)</f>
        <v>0.828245212356568</v>
      </c>
      <c r="V73" s="407" t="n">
        <f aca="false">AA73/$AB$65</f>
        <v>0.0115894039735099</v>
      </c>
      <c r="W73" s="408" t="n">
        <f aca="false">N73/$F$40</f>
        <v>135.890410958904</v>
      </c>
      <c r="X73" s="408" t="n">
        <f aca="false">(O73-(R73/$F$36))/$F$36</f>
        <v>83.7843668472807</v>
      </c>
      <c r="Y73" s="115" t="n">
        <f aca="false">AO73</f>
        <v>11.2</v>
      </c>
      <c r="Z73" s="115" t="n">
        <f aca="false">IF($AB73&lt;300,-$AO$130*($AA73+50+30/$AA73)/$J73+17,-$AO$130*$AA73/$J73+17)</f>
        <v>10.7775599648675</v>
      </c>
      <c r="AA73" s="409" t="n">
        <f aca="false">AB73/$E$57</f>
        <v>55.4455445544554</v>
      </c>
      <c r="AB73" s="410" t="n">
        <f aca="false">VLOOKUP($D$55,$AW$136:$BJ$151,9,0)</f>
        <v>56</v>
      </c>
      <c r="AC73" s="411" t="n">
        <f aca="false">N73/J73/24</f>
        <v>0.45662100456621</v>
      </c>
      <c r="AD73" s="412" t="n">
        <f aca="false">AA73/J73</f>
        <v>1.78856595336953</v>
      </c>
      <c r="AE73" s="413" t="n">
        <f aca="false">AD73*$AE$79</f>
        <v>0.58710637500781</v>
      </c>
      <c r="AF73" s="414" t="n">
        <f aca="false">24*J73*$AG$65</f>
        <v>4450.3272172742</v>
      </c>
      <c r="AG73" s="415" t="n">
        <f aca="false">O73/(J73*24)</f>
        <v>0.371624207790358</v>
      </c>
      <c r="AH73" s="416" t="n">
        <f aca="false">IF(1&gt;P73-AF73,0,P73-AF73)</f>
        <v>0</v>
      </c>
      <c r="AI73" s="417" t="n">
        <f aca="false">IF($G$9="Ei",$AI$62*AJ73,$AI$62*AH73)</f>
        <v>0</v>
      </c>
      <c r="AJ73" s="418" t="n">
        <f aca="false">IF(1&gt;P73-AL73,0,P73-AL73)</f>
        <v>0</v>
      </c>
      <c r="AK73" s="419" t="n">
        <f aca="false">AD73*$AK$79</f>
        <v>0.574496536774282</v>
      </c>
      <c r="AL73" s="420" t="n">
        <f aca="false">24*J73*$AL$65</f>
        <v>4430.88881743099</v>
      </c>
      <c r="AM73" s="429" t="n">
        <f aca="false">O73/(24*J73)</f>
        <v>0.371624207790358</v>
      </c>
      <c r="AN73" s="422" t="n">
        <f aca="false">HLOOKUP($AY$49,AX51:BN64,9,0)</f>
        <v>14.4</v>
      </c>
      <c r="AO73" s="422" t="n">
        <f aca="false">AN73-$AO$65</f>
        <v>11.2</v>
      </c>
      <c r="AP73" s="423" t="n">
        <f aca="false">V73*1</f>
        <v>0.0115894039735099</v>
      </c>
      <c r="AQ73" s="319"/>
      <c r="AR73" s="8"/>
      <c r="AS73" s="5"/>
      <c r="AT73" s="299"/>
      <c r="AU73" s="424" t="n">
        <f aca="false">HLOOKUP($AY$49,$AW$80:$BM$92,(I73+1))</f>
        <v>0.0163111668757842</v>
      </c>
      <c r="AV73" s="319" t="n">
        <f aca="false">HLOOKUP($AY$49,$AW$51:$BM$63,(I73+1), )</f>
        <v>14.4</v>
      </c>
      <c r="AW73" s="63" t="s">
        <v>203</v>
      </c>
      <c r="AX73" s="425" t="n">
        <f aca="false">IF(0.1&gt;17-AX59,0,17-AX59)</f>
        <v>1</v>
      </c>
      <c r="AY73" s="425" t="n">
        <f aca="false">IF(0.1&gt;17-AY59,0,17-AY59)</f>
        <v>0.600000000000001</v>
      </c>
      <c r="AZ73" s="425" t="n">
        <f aca="false">IF(0.1&gt;17-AZ59,0,17-AZ59)</f>
        <v>0.199999999999999</v>
      </c>
      <c r="BA73" s="425" t="n">
        <f aca="false">IF(0.1&gt;17-BA59,0,17-BA59)</f>
        <v>1.2</v>
      </c>
      <c r="BB73" s="425" t="n">
        <f aca="false">IF(0.1&gt;17-BB59,0,17-BB59)</f>
        <v>0.800000000000001</v>
      </c>
      <c r="BC73" s="425" t="n">
        <f aca="false">IF(0.1&gt;17-BC59,0,17-BC59)</f>
        <v>1.7</v>
      </c>
      <c r="BD73" s="425" t="n">
        <f aca="false">IF(0.1&gt;17-BD59,0,17-BD59)</f>
        <v>1.6</v>
      </c>
      <c r="BE73" s="425" t="n">
        <f aca="false">IF(0.1&gt;17-BE59,0,17-BE59)</f>
        <v>1.3</v>
      </c>
      <c r="BF73" s="425" t="n">
        <f aca="false">IF(0.1&gt;17-BF59,0,17-BF59)</f>
        <v>2.6</v>
      </c>
      <c r="BG73" s="425" t="n">
        <f aca="false">IF(0.1&gt;17-BG59,0,17-BG59)</f>
        <v>1.9</v>
      </c>
      <c r="BH73" s="425" t="n">
        <f aca="false">IF(0.1&gt;17-BH59,0,17-BH59)</f>
        <v>1.7</v>
      </c>
      <c r="BI73" s="425" t="n">
        <f aca="false">IF(0.1&gt;17-BI59,0,17-BI59)</f>
        <v>2.2</v>
      </c>
      <c r="BJ73" s="425" t="n">
        <f aca="false">IF(0.1&gt;17-BJ59,0,17-BJ59)</f>
        <v>3.2</v>
      </c>
      <c r="BK73" s="425" t="n">
        <f aca="false">IF(0.1&gt;17-BK59,0,17-BK59)</f>
        <v>3</v>
      </c>
      <c r="BL73" s="425" t="n">
        <f aca="false">IF(0.1&gt;17-BL59,0,17-BL59)</f>
        <v>4.7</v>
      </c>
      <c r="BM73" s="425" t="n">
        <f aca="false">IF(0.1&gt;17-BM59,0,17-BM59)</f>
        <v>5.4</v>
      </c>
      <c r="BN73" s="426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</row>
    <row r="74" customFormat="false" ht="14.15" hidden="false" customHeight="true" outlineLevel="0" collapsed="false">
      <c r="A74" s="5"/>
      <c r="B74" s="446" t="s">
        <v>156</v>
      </c>
      <c r="C74" s="447" t="n">
        <v>3803</v>
      </c>
      <c r="D74" s="447" t="n">
        <v>592</v>
      </c>
      <c r="E74" s="443" t="n">
        <f aca="false">-1*(D74/31)+17</f>
        <v>-2.09677419354839</v>
      </c>
      <c r="F74" s="443" t="n">
        <f aca="false">-$AO$130*(D74/31)+17</f>
        <v>-17.7561290322581</v>
      </c>
      <c r="G74" s="268" t="n">
        <f aca="false">VLOOKUP(B74,$AW$136:$BL$151,16,1)</f>
        <v>6.65416438356164</v>
      </c>
      <c r="H74" s="448"/>
      <c r="I74" s="431" t="n">
        <v>9</v>
      </c>
      <c r="J74" s="13" t="n">
        <v>30</v>
      </c>
      <c r="K74" s="13" t="s">
        <v>276</v>
      </c>
      <c r="L74" s="432" t="n">
        <f aca="false">IF(1&lt;M74/(J74*24),1,M74/(J74*24))</f>
        <v>0.22369330938439</v>
      </c>
      <c r="M74" s="433" t="n">
        <f aca="false">IF(I74&lt;1,J74*24,P74/$G$59)</f>
        <v>161.059182756761</v>
      </c>
      <c r="N74" s="434" t="n">
        <f aca="false">$N$65/365*J74</f>
        <v>328.767123287671</v>
      </c>
      <c r="O74" s="434" t="n">
        <f aca="false">V74*$O$65</f>
        <v>1120.76552152318</v>
      </c>
      <c r="P74" s="434" t="n">
        <f aca="false">N74+O74</f>
        <v>1449.53264481085</v>
      </c>
      <c r="Q74" s="435" t="n">
        <f aca="false">P74-R74</f>
        <v>1449.53264481085</v>
      </c>
      <c r="R74" s="435" t="n">
        <f aca="false">AI74</f>
        <v>0</v>
      </c>
      <c r="S74" s="435" t="n">
        <f aca="false">Q74/$S$23+R74</f>
        <v>459.435500917062</v>
      </c>
      <c r="T74" s="436" t="n">
        <f aca="false">IF($G$9="Ei",AC74+AK74,AC74+AE74)</f>
        <v>2.86300917675706</v>
      </c>
      <c r="U74" s="437" t="n">
        <f aca="false">IF($G$9="Ei",P74/(J74*24),AG74+AC74)</f>
        <v>2.01323978445951</v>
      </c>
      <c r="V74" s="438" t="n">
        <f aca="false">AA74/$AB$65</f>
        <v>0.0469784768211921</v>
      </c>
      <c r="W74" s="439" t="n">
        <f aca="false">N74/$F$40</f>
        <v>131.506849315068</v>
      </c>
      <c r="X74" s="439" t="n">
        <f aca="false">(O74-(R74/$F$36))/$F$36</f>
        <v>339.625915613084</v>
      </c>
      <c r="Y74" s="440" t="n">
        <f aca="false">AO74</f>
        <v>6.4</v>
      </c>
      <c r="Z74" s="440" t="n">
        <f aca="false">IF($AB74&lt;300,-$AO$130*($AA74+50+30/$AA74)/$J74+17,-$AO$130*$AA74/$J74+17)</f>
        <v>0.323585370960004</v>
      </c>
      <c r="AA74" s="441" t="n">
        <f aca="false">AB74/$E$57</f>
        <v>224.752475247525</v>
      </c>
      <c r="AB74" s="410" t="n">
        <f aca="false">VLOOKUP($D$55,$AW$136:$BJ$151,10,0)</f>
        <v>227</v>
      </c>
      <c r="AC74" s="411" t="n">
        <f aca="false">N74/J74/24</f>
        <v>0.45662100456621</v>
      </c>
      <c r="AD74" s="412" t="n">
        <f aca="false">AA74/J74</f>
        <v>7.49174917491749</v>
      </c>
      <c r="AE74" s="413" t="n">
        <f aca="false">AD74*$AE$79</f>
        <v>2.45920688150593</v>
      </c>
      <c r="AF74" s="414" t="n">
        <f aca="false">24*J74*$AG$65</f>
        <v>4306.76827478149</v>
      </c>
      <c r="AG74" s="415" t="n">
        <f aca="false">O74/(J74*24)</f>
        <v>1.5566187798933</v>
      </c>
      <c r="AH74" s="416" t="n">
        <f aca="false">IF(1&gt;P74-AF74,0,P74-AF74)</f>
        <v>0</v>
      </c>
      <c r="AI74" s="417" t="n">
        <f aca="false">IF($G$9="Ei",$AI$62*AJ74,$AI$62*AH74)</f>
        <v>0</v>
      </c>
      <c r="AJ74" s="418" t="n">
        <f aca="false">IF(1&gt;P74-AL74,0,P74-AL74)</f>
        <v>0</v>
      </c>
      <c r="AK74" s="419" t="n">
        <f aca="false">AD74*$AK$79</f>
        <v>2.40638817219085</v>
      </c>
      <c r="AL74" s="420" t="n">
        <f aca="false">24*J74*$AL$65</f>
        <v>4287.95692009451</v>
      </c>
      <c r="AM74" s="429" t="n">
        <f aca="false">O74/(24*J74)</f>
        <v>1.5566187798933</v>
      </c>
      <c r="AN74" s="422" t="n">
        <f aca="false">HLOOKUP($AY$49,AX51:BN64,10,0)</f>
        <v>9.6</v>
      </c>
      <c r="AO74" s="422" t="n">
        <f aca="false">AN74-$AO$65</f>
        <v>6.4</v>
      </c>
      <c r="AP74" s="423" t="n">
        <f aca="false">V74*1</f>
        <v>0.0469784768211921</v>
      </c>
      <c r="AQ74" s="319"/>
      <c r="AR74" s="8"/>
      <c r="AS74" s="5"/>
      <c r="AT74" s="299"/>
      <c r="AU74" s="424" t="n">
        <f aca="false">HLOOKUP($AY$49,$AW$80:$BM$92,(I74+1))</f>
        <v>0.0464240903387704</v>
      </c>
      <c r="AV74" s="319" t="n">
        <f aca="false">HLOOKUP($AY$49,$AW$51:$BM$63,(I74+1), )</f>
        <v>9.6</v>
      </c>
      <c r="AW74" s="63" t="s">
        <v>205</v>
      </c>
      <c r="AX74" s="425" t="n">
        <f aca="false">IF(0.1&gt;17-AX60,0,17-AX60)</f>
        <v>5.1</v>
      </c>
      <c r="AY74" s="425" t="n">
        <f aca="false">IF(0.1&gt;17-AY60,0,17-AY60)</f>
        <v>5.2</v>
      </c>
      <c r="AZ74" s="425" t="n">
        <f aca="false">IF(0.1&gt;17-AZ60,0,17-AZ60)</f>
        <v>4.5</v>
      </c>
      <c r="BA74" s="425" t="n">
        <f aca="false">IF(0.1&gt;17-BA60,0,17-BA60)</f>
        <v>5.7</v>
      </c>
      <c r="BB74" s="425" t="n">
        <f aca="false">IF(0.1&gt;17-BB60,0,17-BB60)</f>
        <v>5.4</v>
      </c>
      <c r="BC74" s="425" t="n">
        <f aca="false">IF(0.1&gt;17-BC60,0,17-BC60)</f>
        <v>6.4</v>
      </c>
      <c r="BD74" s="425" t="n">
        <f aca="false">IF(0.1&gt;17-BD60,0,17-BD60)</f>
        <v>6.3</v>
      </c>
      <c r="BE74" s="425" t="n">
        <f aca="false">IF(0.1&gt;17-BE60,0,17-BE60)</f>
        <v>6.1</v>
      </c>
      <c r="BF74" s="425" t="n">
        <f aca="false">IF(0.1&gt;17-BF60,0,17-BF60)</f>
        <v>7.4</v>
      </c>
      <c r="BG74" s="425" t="n">
        <f aca="false">IF(0.1&gt;17-BG60,0,17-BG60)</f>
        <v>6.3</v>
      </c>
      <c r="BH74" s="425" t="n">
        <f aca="false">IF(0.1&gt;17-BH60,0,17-BH60)</f>
        <v>6.5</v>
      </c>
      <c r="BI74" s="425" t="n">
        <f aca="false">IF(0.1&gt;17-BI60,0,17-BI60)</f>
        <v>6.9</v>
      </c>
      <c r="BJ74" s="425" t="n">
        <f aca="false">IF(0.1&gt;17-BJ60,0,17-BJ60)</f>
        <v>7.6</v>
      </c>
      <c r="BK74" s="425" t="n">
        <f aca="false">IF(0.1&gt;17-BK60,0,17-BK60)</f>
        <v>7.2</v>
      </c>
      <c r="BL74" s="425" t="n">
        <f aca="false">IF(0.1&gt;17-BL60,0,17-BL60)</f>
        <v>9.4</v>
      </c>
      <c r="BM74" s="425" t="n">
        <f aca="false">IF(0.1&gt;17-BM60,0,17-BM60)</f>
        <v>9.4</v>
      </c>
      <c r="BN74" s="426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</row>
    <row r="75" customFormat="false" ht="14.15" hidden="false" customHeight="true" outlineLevel="0" collapsed="false">
      <c r="A75" s="5"/>
      <c r="B75" s="449" t="s">
        <v>157</v>
      </c>
      <c r="C75" s="450" t="n">
        <v>4097</v>
      </c>
      <c r="D75" s="450" t="n">
        <v>682</v>
      </c>
      <c r="E75" s="451" t="n">
        <f aca="false">-1*(D75/31)+17</f>
        <v>-5</v>
      </c>
      <c r="F75" s="451" t="n">
        <f aca="false">-$AO$130*(D75/31)+17</f>
        <v>-23.04</v>
      </c>
      <c r="G75" s="452" t="n">
        <f aca="false">VLOOKUP(B75,$AW$136:$BL$151,16,1)</f>
        <v>6.2272602739726</v>
      </c>
      <c r="H75" s="448"/>
      <c r="I75" s="401" t="n">
        <v>10</v>
      </c>
      <c r="J75" s="114" t="n">
        <v>31</v>
      </c>
      <c r="K75" s="114" t="s">
        <v>277</v>
      </c>
      <c r="L75" s="402" t="n">
        <f aca="false">IF(1&lt;M75/(J75*24),1,M75/(J75*24))</f>
        <v>0.355998409287532</v>
      </c>
      <c r="M75" s="403" t="n">
        <f aca="false">IF(I75&lt;1,J75*24,P75/$G$59)</f>
        <v>264.862816509924</v>
      </c>
      <c r="N75" s="404" t="n">
        <f aca="false">$N$65/365*J75</f>
        <v>339.72602739726</v>
      </c>
      <c r="O75" s="404" t="n">
        <f aca="false">V75*$O$65</f>
        <v>2044.03932119205</v>
      </c>
      <c r="P75" s="404" t="n">
        <f aca="false">N75+O75</f>
        <v>2383.76534858931</v>
      </c>
      <c r="Q75" s="105" t="n">
        <f aca="false">P75-R75</f>
        <v>2383.76534858931</v>
      </c>
      <c r="R75" s="296" t="n">
        <f aca="false">AI75</f>
        <v>0</v>
      </c>
      <c r="S75" s="105" t="n">
        <f aca="false">Q75/$S$23+R75</f>
        <v>755.544506650815</v>
      </c>
      <c r="T75" s="405" t="n">
        <f aca="false">IF($G$9="Ei",AC75+AK75,AC75+AE75)</f>
        <v>4.70379183000465</v>
      </c>
      <c r="U75" s="406" t="n">
        <f aca="false">IF($G$9="Ei",P75/(J75*24),AG75+AC75)</f>
        <v>3.20398568358779</v>
      </c>
      <c r="V75" s="407" t="n">
        <f aca="false">AA75/$AB$65</f>
        <v>0.0856788079470199</v>
      </c>
      <c r="W75" s="408" t="n">
        <f aca="false">N75/$F$40</f>
        <v>135.890410958904</v>
      </c>
      <c r="X75" s="408" t="n">
        <f aca="false">(O75-(R75/$F$36))/$F$36</f>
        <v>619.405854906683</v>
      </c>
      <c r="Y75" s="115" t="n">
        <f aca="false">AO75</f>
        <v>0.7</v>
      </c>
      <c r="Z75" s="115" t="n">
        <f aca="false">IF($AB75&lt;300,-$AO$130*($AA75+50+30/$AA75)/$J75+17,-$AO$130*$AA75/$J75+17)</f>
        <v>-7.06515490258703</v>
      </c>
      <c r="AA75" s="409" t="n">
        <f aca="false">AB75/$E$57</f>
        <v>409.90099009901</v>
      </c>
      <c r="AB75" s="410" t="n">
        <f aca="false">VLOOKUP($D$55,$AW$136:$BJ$151,11,0)</f>
        <v>414</v>
      </c>
      <c r="AC75" s="411" t="n">
        <f aca="false">N75/J75/24</f>
        <v>0.45662100456621</v>
      </c>
      <c r="AD75" s="412" t="n">
        <f aca="false">AA75/J75</f>
        <v>13.222612583839</v>
      </c>
      <c r="AE75" s="413" t="n">
        <f aca="false">AD75*$AE$79</f>
        <v>4.34039355809345</v>
      </c>
      <c r="AF75" s="414" t="n">
        <f aca="false">24*J75*$AG$65</f>
        <v>4450.3272172742</v>
      </c>
      <c r="AG75" s="415" t="n">
        <f aca="false">O75/(J75*24)</f>
        <v>2.74736467902158</v>
      </c>
      <c r="AH75" s="416" t="n">
        <f aca="false">IF(1&gt;P75-AF75,0,P75-AF75)</f>
        <v>0</v>
      </c>
      <c r="AI75" s="417" t="n">
        <f aca="false">IF($G$9="Ei",$AI$62*AJ75,$AI$62*AH75)</f>
        <v>0</v>
      </c>
      <c r="AJ75" s="418" t="n">
        <f aca="false">IF(1&gt;P75-AL75,0,P75-AL75)</f>
        <v>0</v>
      </c>
      <c r="AK75" s="419" t="n">
        <f aca="false">AD75*$AK$79</f>
        <v>4.24717082543844</v>
      </c>
      <c r="AL75" s="420" t="n">
        <f aca="false">24*J75*$AL$65</f>
        <v>4430.88881743099</v>
      </c>
      <c r="AM75" s="429" t="n">
        <f aca="false">O75/(24*J75)</f>
        <v>2.74736467902158</v>
      </c>
      <c r="AN75" s="422" t="n">
        <f aca="false">HLOOKUP($AY$49,AX51:BN64,11,0)</f>
        <v>3.9</v>
      </c>
      <c r="AO75" s="422" t="n">
        <f aca="false">AN75-$AO$65</f>
        <v>0.7</v>
      </c>
      <c r="AP75" s="423" t="n">
        <f aca="false">V75*1</f>
        <v>0.0856788079470199</v>
      </c>
      <c r="AQ75" s="319"/>
      <c r="AR75" s="8"/>
      <c r="AS75" s="5"/>
      <c r="AT75" s="299"/>
      <c r="AU75" s="424" t="n">
        <f aca="false">HLOOKUP($AY$49,$AW$80:$BM$92,(I75+1))</f>
        <v>0.0821831869510665</v>
      </c>
      <c r="AV75" s="319" t="n">
        <f aca="false">HLOOKUP($AY$49,$AW$51:$BM$63,(I75+1), )</f>
        <v>3.9</v>
      </c>
      <c r="AW75" s="63" t="s">
        <v>211</v>
      </c>
      <c r="AX75" s="425" t="n">
        <f aca="false">IF(0.1&gt;17-AX61,0,17-AX61)</f>
        <v>10.2</v>
      </c>
      <c r="AY75" s="425" t="n">
        <f aca="false">IF(0.1&gt;17-AY61,0,17-AY61)</f>
        <v>10.9</v>
      </c>
      <c r="AZ75" s="425" t="n">
        <f aca="false">IF(0.1&gt;17-AZ61,0,17-AZ61)</f>
        <v>10</v>
      </c>
      <c r="BA75" s="425" t="n">
        <f aca="false">IF(0.1&gt;17-BA61,0,17-BA61)</f>
        <v>11.3</v>
      </c>
      <c r="BB75" s="425" t="n">
        <f aca="false">IF(0.1&gt;17-BB61,0,17-BB61)</f>
        <v>11</v>
      </c>
      <c r="BC75" s="425" t="n">
        <f aca="false">IF(0.1&gt;17-BC61,0,17-BC61)</f>
        <v>12.2</v>
      </c>
      <c r="BD75" s="425" t="n">
        <f aca="false">IF(0.1&gt;17-BD61,0,17-BD61)</f>
        <v>12.3</v>
      </c>
      <c r="BE75" s="425" t="n">
        <f aca="false">IF(0.1&gt;17-BE61,0,17-BE61)</f>
        <v>12.1</v>
      </c>
      <c r="BF75" s="425" t="n">
        <f aca="false">IF(0.1&gt;17-BF61,0,17-BF61)</f>
        <v>13.1</v>
      </c>
      <c r="BG75" s="425" t="n">
        <f aca="false">IF(0.1&gt;17-BG61,0,17-BG61)</f>
        <v>12</v>
      </c>
      <c r="BH75" s="425" t="n">
        <f aca="false">IF(0.1&gt;17-BH61,0,17-BH61)</f>
        <v>12.6</v>
      </c>
      <c r="BI75" s="425" t="n">
        <f aca="false">IF(0.1&gt;17-BI61,0,17-BI61)</f>
        <v>13</v>
      </c>
      <c r="BJ75" s="425" t="n">
        <f aca="false">IF(0.1&gt;17-BJ61,0,17-BJ61)</f>
        <v>13.8</v>
      </c>
      <c r="BK75" s="425" t="n">
        <f aca="false">IF(0.1&gt;17-BK61,0,17-BK61)</f>
        <v>13.5</v>
      </c>
      <c r="BL75" s="425" t="n">
        <f aca="false">IF(0.1&gt;17-BL61,0,17-BL61)</f>
        <v>16.4</v>
      </c>
      <c r="BM75" s="425" t="n">
        <f aca="false">IF(0.1&gt;17-BM61,0,17-BM61)</f>
        <v>16.2</v>
      </c>
      <c r="BN75" s="426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</row>
    <row r="76" customFormat="false" ht="14.15" hidden="false" customHeight="true" outlineLevel="0" collapsed="false">
      <c r="A76" s="5"/>
      <c r="B76" s="446" t="s">
        <v>158</v>
      </c>
      <c r="C76" s="447" t="n">
        <v>3878</v>
      </c>
      <c r="D76" s="447" t="n">
        <v>647</v>
      </c>
      <c r="E76" s="443" t="n">
        <f aca="false">-1*(D76/31)+17</f>
        <v>-3.87096774193548</v>
      </c>
      <c r="F76" s="443" t="n">
        <f aca="false">-$AO$130*(D76/31)+17</f>
        <v>-20.9851612903226</v>
      </c>
      <c r="G76" s="268" t="n">
        <f aca="false">VLOOKUP(B76,$AW$136:$BL$151,16,1)</f>
        <v>6.5452602739726</v>
      </c>
      <c r="H76" s="448"/>
      <c r="I76" s="401" t="n">
        <v>11</v>
      </c>
      <c r="J76" s="114" t="n">
        <v>30</v>
      </c>
      <c r="K76" s="114" t="s">
        <v>278</v>
      </c>
      <c r="L76" s="402" t="n">
        <f aca="false">IF(1&lt;M76/(J76*24),1,M76/(J76*24))</f>
        <v>0.48427266460882</v>
      </c>
      <c r="M76" s="403" t="n">
        <f aca="false">IF(I76&lt;1,J76*24,P76/$G$59)</f>
        <v>348.67631851835</v>
      </c>
      <c r="N76" s="404" t="n">
        <f aca="false">$N$65/365*J76</f>
        <v>328.767123287671</v>
      </c>
      <c r="O76" s="404" t="n">
        <f aca="false">V76*$O$65</f>
        <v>2809.31974337748</v>
      </c>
      <c r="P76" s="404" t="n">
        <f aca="false">N76+O76</f>
        <v>3138.08686666515</v>
      </c>
      <c r="Q76" s="105" t="n">
        <f aca="false">P76-R76</f>
        <v>3138.08686666515</v>
      </c>
      <c r="R76" s="296" t="n">
        <f aca="false">AI76</f>
        <v>0</v>
      </c>
      <c r="S76" s="105" t="n">
        <f aca="false">Q76/$S$23+R76</f>
        <v>994.629901347059</v>
      </c>
      <c r="T76" s="405" t="n">
        <f aca="false">IF($G$9="Ei",AC76+AK76,AC76+AE76)</f>
        <v>6.4884926784719</v>
      </c>
      <c r="U76" s="406" t="n">
        <f aca="false">IF($G$9="Ei",P76/(J76*24),AG76+AC76)</f>
        <v>4.35845398147938</v>
      </c>
      <c r="V76" s="407" t="n">
        <f aca="false">AA76/$AB$65</f>
        <v>0.117756622516556</v>
      </c>
      <c r="W76" s="408" t="n">
        <f aca="false">N76/$F$40</f>
        <v>131.506849315068</v>
      </c>
      <c r="X76" s="408" t="n">
        <f aca="false">(O76-(R76/$F$36))/$F$36</f>
        <v>851.309013144692</v>
      </c>
      <c r="Y76" s="115" t="n">
        <f aca="false">AO76</f>
        <v>-3.1</v>
      </c>
      <c r="Z76" s="115" t="n">
        <f aca="false">IF($AB76&lt;300,-$AO$130*($AA76+50+30/$AA76)/$J76+17,-$AO$130*$AA76/$J76+17)</f>
        <v>-17.1775577557756</v>
      </c>
      <c r="AA76" s="409" t="n">
        <f aca="false">AB76/$E$57</f>
        <v>563.366336633663</v>
      </c>
      <c r="AB76" s="410" t="n">
        <f aca="false">VLOOKUP($D$55,$AW$136:$BJ$151,12,0)</f>
        <v>569</v>
      </c>
      <c r="AC76" s="411" t="n">
        <f aca="false">N76/J76/24</f>
        <v>0.45662100456621</v>
      </c>
      <c r="AD76" s="412" t="n">
        <f aca="false">AA76/J76</f>
        <v>18.7788778877888</v>
      </c>
      <c r="AE76" s="413" t="n">
        <f aca="false">AD76*$AE$79</f>
        <v>6.16426746950164</v>
      </c>
      <c r="AF76" s="414" t="n">
        <f aca="false">24*J76*$AG$65</f>
        <v>4306.76827478149</v>
      </c>
      <c r="AG76" s="415" t="n">
        <f aca="false">O76/(J76*24)</f>
        <v>3.90183297691317</v>
      </c>
      <c r="AH76" s="416" t="n">
        <f aca="false">IF(1&gt;P76-AF76,0,P76-AF76)</f>
        <v>0</v>
      </c>
      <c r="AI76" s="417" t="n">
        <f aca="false">IF($G$9="Ei",$AI$62*AJ76,$AI$62*AH76)</f>
        <v>0</v>
      </c>
      <c r="AJ76" s="418" t="n">
        <f aca="false">IF(1&gt;P76-AL76,0,P76-AL76)</f>
        <v>0</v>
      </c>
      <c r="AK76" s="419" t="n">
        <f aca="false">AD76*$AK$79</f>
        <v>6.03187167390569</v>
      </c>
      <c r="AL76" s="420" t="n">
        <f aca="false">24*J76*$AL$65</f>
        <v>4287.95692009451</v>
      </c>
      <c r="AM76" s="429" t="n">
        <f aca="false">O76/(24*J76)</f>
        <v>3.90183297691317</v>
      </c>
      <c r="AN76" s="422" t="n">
        <f aca="false">HLOOKUP($AY$49,AX51:BN64,12,0)</f>
        <v>0.1</v>
      </c>
      <c r="AO76" s="422" t="n">
        <f aca="false">AN76-$AO$65</f>
        <v>-3.1</v>
      </c>
      <c r="AP76" s="423" t="n">
        <f aca="false">V76*1</f>
        <v>0.117756622516556</v>
      </c>
      <c r="AQ76" s="319"/>
      <c r="AR76" s="8"/>
      <c r="AS76" s="5"/>
      <c r="AT76" s="299"/>
      <c r="AU76" s="424" t="n">
        <f aca="false">HLOOKUP($AY$49,$AW$80:$BM$92,(I76+1))</f>
        <v>0.106022584692597</v>
      </c>
      <c r="AV76" s="319" t="n">
        <f aca="false">HLOOKUP($AY$49,$AW$51:$BM$63,(I76+1), )</f>
        <v>0.1</v>
      </c>
      <c r="AW76" s="63" t="s">
        <v>215</v>
      </c>
      <c r="AX76" s="425" t="n">
        <f aca="false">IF(0.1&gt;17-AX62,0,17-AX62)</f>
        <v>13.4</v>
      </c>
      <c r="AY76" s="425" t="n">
        <f aca="false">IF(0.1&gt;17-AY62,0,17-AY62)</f>
        <v>14.6</v>
      </c>
      <c r="AZ76" s="425" t="n">
        <f aca="false">IF(0.1&gt;17-AZ62,0,17-AZ62)</f>
        <v>13.5</v>
      </c>
      <c r="BA76" s="425" t="n">
        <f aca="false">IF(0.1&gt;17-BA62,0,17-BA62)</f>
        <v>14.7</v>
      </c>
      <c r="BB76" s="425" t="n">
        <f aca="false">IF(0.1&gt;17-BB62,0,17-BB62)</f>
        <v>14.4</v>
      </c>
      <c r="BC76" s="425" t="n">
        <f aca="false">IF(0.1&gt;17-BC62,0,17-BC62)</f>
        <v>15.8</v>
      </c>
      <c r="BD76" s="425" t="n">
        <f aca="false">IF(0.1&gt;17-BD62,0,17-BD62)</f>
        <v>15.7</v>
      </c>
      <c r="BE76" s="425" t="n">
        <f aca="false">IF(0.1&gt;17-BE62,0,17-BE62)</f>
        <v>16</v>
      </c>
      <c r="BF76" s="425" t="n">
        <f aca="false">IF(0.1&gt;17-BF62,0,17-BF62)</f>
        <v>16.9</v>
      </c>
      <c r="BG76" s="425" t="n">
        <f aca="false">IF(0.1&gt;17-BG62,0,17-BG62)</f>
        <v>15.6</v>
      </c>
      <c r="BH76" s="425" t="n">
        <f aca="false">IF(0.1&gt;17-BH62,0,17-BH62)</f>
        <v>16.9</v>
      </c>
      <c r="BI76" s="425" t="n">
        <f aca="false">IF(0.1&gt;17-BI62,0,17-BI62)</f>
        <v>17.4</v>
      </c>
      <c r="BJ76" s="425" t="n">
        <f aca="false">IF(0.1&gt;17-BJ62,0,17-BJ62)</f>
        <v>18.2</v>
      </c>
      <c r="BK76" s="425" t="n">
        <f aca="false">IF(0.1&gt;17-BK62,0,17-BK62)</f>
        <v>17.7</v>
      </c>
      <c r="BL76" s="425" t="n">
        <f aca="false">IF(0.1&gt;17-BL62,0,17-BL62)</f>
        <v>22.3</v>
      </c>
      <c r="BM76" s="425" t="n">
        <f aca="false">IF(0.1&gt;17-BM62,0,17-BM62)</f>
        <v>22.2</v>
      </c>
      <c r="BN76" s="426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</row>
    <row r="77" customFormat="false" ht="14.15" hidden="false" customHeight="true" outlineLevel="0" collapsed="false">
      <c r="A77" s="5"/>
      <c r="B77" s="449" t="s">
        <v>159</v>
      </c>
      <c r="C77" s="450" t="n">
        <v>4161</v>
      </c>
      <c r="D77" s="450" t="n">
        <v>677</v>
      </c>
      <c r="E77" s="451" t="n">
        <f aca="false">-1*(D77/31)+17</f>
        <v>-4.83870967741936</v>
      </c>
      <c r="F77" s="451" t="n">
        <f aca="false">-$AO$130*(D77/31)+17</f>
        <v>-22.7464516129032</v>
      </c>
      <c r="G77" s="452" t="n">
        <f aca="false">VLOOKUP(B77,$AW$136:$BL$151,16,1)</f>
        <v>6.13432876712329</v>
      </c>
      <c r="H77" s="448"/>
      <c r="I77" s="401" t="n">
        <v>12</v>
      </c>
      <c r="J77" s="114" t="n">
        <v>31</v>
      </c>
      <c r="K77" s="114" t="s">
        <v>279</v>
      </c>
      <c r="L77" s="402" t="n">
        <f aca="false">IF(1&lt;M77/(J77*24),1,M77/(J77*24))</f>
        <v>0.580152693351557</v>
      </c>
      <c r="M77" s="403" t="n">
        <f aca="false">IF(I77&lt;1,J77*24,P77/$G$59)</f>
        <v>431.633603853559</v>
      </c>
      <c r="N77" s="404" t="n">
        <f aca="false">$N$65/365*J77</f>
        <v>339.72602739726</v>
      </c>
      <c r="O77" s="404" t="n">
        <f aca="false">V77*$O$65</f>
        <v>3544.97640728477</v>
      </c>
      <c r="P77" s="404" t="n">
        <f aca="false">N77+O77</f>
        <v>3884.70243468203</v>
      </c>
      <c r="Q77" s="105" t="n">
        <f aca="false">P77-R77</f>
        <v>3884.70243468203</v>
      </c>
      <c r="R77" s="296" t="n">
        <f aca="false">AI77</f>
        <v>0</v>
      </c>
      <c r="S77" s="105" t="n">
        <f aca="false">Q77/$S$23+R77</f>
        <v>1231.27286258859</v>
      </c>
      <c r="T77" s="405" t="n">
        <f aca="false">IF($G$9="Ei",AC77+AK77,AC77+AE77)</f>
        <v>7.82248731535076</v>
      </c>
      <c r="U77" s="406" t="n">
        <f aca="false">IF($G$9="Ei",P77/(J77*24),AG77+AC77)</f>
        <v>5.22137424016402</v>
      </c>
      <c r="V77" s="407" t="n">
        <f aca="false">AA77/$AB$65</f>
        <v>0.148592715231788</v>
      </c>
      <c r="W77" s="408" t="n">
        <f aca="false">N77/$F$40</f>
        <v>135.890410958904</v>
      </c>
      <c r="X77" s="408" t="n">
        <f aca="false">(O77-(R77/$F$36))/$F$36</f>
        <v>1074.23527493478</v>
      </c>
      <c r="Y77" s="115" t="n">
        <f aca="false">AO77</f>
        <v>-9.3</v>
      </c>
      <c r="Z77" s="115" t="n">
        <f aca="false">IF($AB77&lt;300,-$AO$130*($AA77+50+30/$AA77)/$J77+17,-$AO$130*$AA77/$J77+17)</f>
        <v>-24.736186521878</v>
      </c>
      <c r="AA77" s="409" t="n">
        <f aca="false">AB77/$E$57</f>
        <v>710.891089108911</v>
      </c>
      <c r="AB77" s="410" t="n">
        <f aca="false">VLOOKUP($D$55,$AW$136:$BJ$151,13,0)</f>
        <v>718</v>
      </c>
      <c r="AC77" s="411" t="n">
        <f aca="false">N77/J77/24</f>
        <v>0.45662100456621</v>
      </c>
      <c r="AD77" s="412" t="n">
        <f aca="false">AA77/J77</f>
        <v>22.9319706164165</v>
      </c>
      <c r="AE77" s="413" t="n">
        <f aca="false">AD77*$AE$79</f>
        <v>7.52754245099299</v>
      </c>
      <c r="AF77" s="414" t="n">
        <f aca="false">24*J77*$AG$65</f>
        <v>4450.3272172742</v>
      </c>
      <c r="AG77" s="415" t="n">
        <f aca="false">O77/(J77*24)</f>
        <v>4.76475323559781</v>
      </c>
      <c r="AH77" s="416" t="n">
        <f aca="false">IF(1&gt;P77-AF77,0,P77-AF77)</f>
        <v>0</v>
      </c>
      <c r="AI77" s="417" t="n">
        <f aca="false">IF($G$9="Ei",$AI$62*AJ77,$AI$62*AH77)</f>
        <v>0</v>
      </c>
      <c r="AJ77" s="418" t="n">
        <f aca="false">IF(1&gt;P77-AL77,0,P77-AL77)</f>
        <v>0</v>
      </c>
      <c r="AK77" s="419" t="n">
        <f aca="false">AD77*$AK$79</f>
        <v>7.36586631078455</v>
      </c>
      <c r="AL77" s="420" t="n">
        <f aca="false">24*J77*$AL$65</f>
        <v>4430.88881743099</v>
      </c>
      <c r="AM77" s="453" t="n">
        <f aca="false">O77/(24*J77)</f>
        <v>4.76475323559781</v>
      </c>
      <c r="AN77" s="422" t="n">
        <f aca="false">HLOOKUP($AY$49,AX51:BN64,13,0)</f>
        <v>-6.1</v>
      </c>
      <c r="AO77" s="422" t="n">
        <f aca="false">AN77-$AO$65</f>
        <v>-9.3</v>
      </c>
      <c r="AP77" s="423" t="n">
        <f aca="false">V77*1</f>
        <v>0.148592715231788</v>
      </c>
      <c r="AQ77" s="319"/>
      <c r="AR77" s="8"/>
      <c r="AS77" s="5"/>
      <c r="AT77" s="299"/>
      <c r="AU77" s="424" t="n">
        <f aca="false">HLOOKUP($AY$49,$AW$80:$BM$92,(I77+1))</f>
        <v>0.144918444165621</v>
      </c>
      <c r="AV77" s="319" t="n">
        <f aca="false">HLOOKUP($AY$49,$AW$51:$BM$63,(I77+1), )</f>
        <v>-6.1</v>
      </c>
      <c r="AW77" s="63" t="s">
        <v>228</v>
      </c>
      <c r="AX77" s="425" t="n">
        <f aca="false">IF(0.1&gt;17-AX63,0,17-AX63)</f>
        <v>17.8</v>
      </c>
      <c r="AY77" s="425" t="n">
        <f aca="false">IF(0.1&gt;17-AY63,0,17-AY63)</f>
        <v>19.9</v>
      </c>
      <c r="AZ77" s="425" t="n">
        <f aca="false">IF(0.1&gt;17-AZ63,0,17-AZ63)</f>
        <v>18.6</v>
      </c>
      <c r="BA77" s="425" t="n">
        <f aca="false">IF(0.1&gt;17-BA63,0,17-BA63)</f>
        <v>20.4</v>
      </c>
      <c r="BB77" s="425" t="n">
        <f aca="false">IF(0.1&gt;17-BB63,0,17-BB63)</f>
        <v>19.8</v>
      </c>
      <c r="BC77" s="425" t="n">
        <f aca="false">IF(0.1&gt;17-BC63,0,17-BC63)</f>
        <v>21.5</v>
      </c>
      <c r="BD77" s="425" t="n">
        <f aca="false">IF(0.1&gt;17-BD63,0,17-BD63)</f>
        <v>21.4</v>
      </c>
      <c r="BE77" s="425" t="n">
        <f aca="false">IF(0.1&gt;17-BE63,0,17-BE63)</f>
        <v>22.3</v>
      </c>
      <c r="BF77" s="425" t="n">
        <f aca="false">IF(0.1&gt;17-BF63,0,17-BF63)</f>
        <v>23.1</v>
      </c>
      <c r="BG77" s="425" t="n">
        <f aca="false">IF(0.1&gt;17-BG63,0,17-BG63)</f>
        <v>21.4</v>
      </c>
      <c r="BH77" s="425" t="n">
        <f aca="false">IF(0.1&gt;17-BH63,0,17-BH63)</f>
        <v>23.3</v>
      </c>
      <c r="BI77" s="425" t="n">
        <f aca="false">IF(0.1&gt;17-BI63,0,17-BI63)</f>
        <v>23.8</v>
      </c>
      <c r="BJ77" s="425" t="n">
        <f aca="false">IF(0.1&gt;17-BJ63,0,17-BJ63)</f>
        <v>24.6</v>
      </c>
      <c r="BK77" s="425" t="n">
        <f aca="false">IF(0.1&gt;17-BK63,0,17-BK63)</f>
        <v>23.4</v>
      </c>
      <c r="BL77" s="425" t="n">
        <f aca="false">IF(0.1&gt;17-BL63,0,17-BL63)</f>
        <v>26.6</v>
      </c>
      <c r="BM77" s="425" t="n">
        <f aca="false">IF(0.1&gt;17-BM63,0,17-BM63)</f>
        <v>26.1</v>
      </c>
      <c r="BN77" s="426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</row>
    <row r="78" customFormat="false" ht="14.15" hidden="false" customHeight="true" outlineLevel="0" collapsed="false">
      <c r="A78" s="5"/>
      <c r="B78" s="446" t="s">
        <v>160</v>
      </c>
      <c r="C78" s="447" t="n">
        <v>4021</v>
      </c>
      <c r="D78" s="447" t="n">
        <v>663</v>
      </c>
      <c r="E78" s="443" t="n">
        <f aca="false">-1*(D78/31)+17</f>
        <v>-4.38709677419355</v>
      </c>
      <c r="F78" s="443" t="n">
        <f aca="false">-$AO$130*(D78/31)+17</f>
        <v>-21.9245161290323</v>
      </c>
      <c r="G78" s="268" t="n">
        <f aca="false">VLOOKUP(B78,$AW$136:$BL$151,16,1)</f>
        <v>6.33761643835616</v>
      </c>
      <c r="H78" s="448"/>
      <c r="I78" s="63"/>
      <c r="J78" s="454" t="s">
        <v>68</v>
      </c>
      <c r="K78" s="454"/>
      <c r="L78" s="454"/>
      <c r="M78" s="454"/>
      <c r="N78" s="454"/>
      <c r="O78" s="454"/>
      <c r="P78" s="455" t="s">
        <v>68</v>
      </c>
      <c r="Q78" s="455"/>
      <c r="R78" s="456" t="s">
        <v>68</v>
      </c>
      <c r="S78" s="456"/>
      <c r="T78" s="5" t="s">
        <v>68</v>
      </c>
      <c r="U78" s="5"/>
      <c r="V78" s="10"/>
      <c r="W78" s="5"/>
      <c r="X78" s="5"/>
      <c r="Y78" s="5"/>
      <c r="Z78" s="5"/>
      <c r="AA78" s="457" t="n">
        <f aca="false">SUM(AA66:AA77)</f>
        <v>4784.15841584158</v>
      </c>
      <c r="AB78" s="7" t="n">
        <f aca="false">SUM(AB66:AB77)</f>
        <v>4832</v>
      </c>
      <c r="AC78" s="347"/>
      <c r="AD78" s="458" t="n">
        <f aca="false">SUM(AD66:AD77)</f>
        <v>158.153412115405</v>
      </c>
      <c r="AE78" s="370" t="n">
        <f aca="false">AD78*(AE64/AD67)</f>
        <v>51.9147064760254</v>
      </c>
      <c r="AF78" s="459"/>
      <c r="AG78" s="460"/>
      <c r="AH78" s="461" t="n">
        <f aca="false">SUM(AH66:AH77)</f>
        <v>0</v>
      </c>
      <c r="AI78" s="462" t="n">
        <f aca="false">SUM(AI66:AI77)</f>
        <v>0</v>
      </c>
      <c r="AJ78" s="463" t="n">
        <f aca="false">SUM(AJ66:AJ77)</f>
        <v>0</v>
      </c>
      <c r="AK78" s="464" t="n">
        <f aca="false">MAX(AK66:AK77)</f>
        <v>8.18914036571555</v>
      </c>
      <c r="AL78" s="347"/>
      <c r="AM78" s="465" t="n">
        <f aca="false">MAX(AM66:AM77)</f>
        <v>5.29730399765452</v>
      </c>
      <c r="AN78" s="319"/>
      <c r="AO78" s="319"/>
      <c r="AP78" s="319" t="s">
        <v>68</v>
      </c>
      <c r="AQ78" s="8"/>
      <c r="AR78" s="8"/>
      <c r="AS78" s="5"/>
      <c r="AT78" s="299"/>
      <c r="AU78" s="424"/>
      <c r="AV78" s="8"/>
      <c r="AW78" s="63" t="s">
        <v>280</v>
      </c>
      <c r="AX78" s="425" t="n">
        <f aca="false">SUM(AX66:AX77)</f>
        <v>129.6</v>
      </c>
      <c r="AY78" s="425" t="n">
        <f aca="false">SUM(AY66:AY77)</f>
        <v>135.1</v>
      </c>
      <c r="AZ78" s="425" t="n">
        <f aca="false">SUM(AZ66:AZ77)</f>
        <v>128.2</v>
      </c>
      <c r="BA78" s="425" t="n">
        <f aca="false">SUM(BA66:BA77)</f>
        <v>138.2</v>
      </c>
      <c r="BB78" s="425" t="n">
        <f aca="false">SUM(BB66:BB77)</f>
        <v>135.5</v>
      </c>
      <c r="BC78" s="425" t="n">
        <f aca="false">SUM(BC66:BC77)</f>
        <v>147.4</v>
      </c>
      <c r="BD78" s="425" t="n">
        <f aca="false">SUM(BD66:BD77)</f>
        <v>146.1</v>
      </c>
      <c r="BE78" s="425" t="n">
        <f aca="false">SUM(BE66:BE77)</f>
        <v>149.1</v>
      </c>
      <c r="BF78" s="425" t="n">
        <f aca="false">SUM(BF66:BF77)</f>
        <v>159.4</v>
      </c>
      <c r="BG78" s="425" t="n">
        <f aca="false">SUM(BG66:BG77)</f>
        <v>147.8</v>
      </c>
      <c r="BH78" s="425" t="n">
        <f aca="false">SUM(BH66:BH77)</f>
        <v>158.8</v>
      </c>
      <c r="BI78" s="425" t="n">
        <f aca="false">SUM(BI66:BI77)</f>
        <v>163.1</v>
      </c>
      <c r="BJ78" s="425" t="n">
        <f aca="false">SUM(BJ66:BJ77)</f>
        <v>174.2</v>
      </c>
      <c r="BK78" s="425" t="n">
        <f aca="false">SUM(BK66:BK77)</f>
        <v>167.6</v>
      </c>
      <c r="BL78" s="425" t="n">
        <f aca="false">SUM(BL66:BL77)</f>
        <v>199.4</v>
      </c>
      <c r="BM78" s="425" t="n">
        <f aca="false">SUM(BM66:BM77)</f>
        <v>200.5</v>
      </c>
      <c r="BN78" s="426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</row>
    <row r="79" s="480" customFormat="true" ht="14.15" hidden="false" customHeight="true" outlineLevel="0" collapsed="false">
      <c r="A79" s="5"/>
      <c r="B79" s="449" t="s">
        <v>161</v>
      </c>
      <c r="C79" s="450" t="n">
        <v>4424</v>
      </c>
      <c r="D79" s="450" t="n">
        <v>724</v>
      </c>
      <c r="E79" s="451" t="n">
        <f aca="false">-1*(D79/31)+17</f>
        <v>-6.35483870967742</v>
      </c>
      <c r="F79" s="451" t="n">
        <f aca="false">-$AO$130*(D79/31)+17</f>
        <v>-25.5058064516129</v>
      </c>
      <c r="G79" s="452" t="n">
        <f aca="false">VLOOKUP(B79,$AW$136:$BL$151,16,1)</f>
        <v>5.75243835616438</v>
      </c>
      <c r="H79" s="448"/>
      <c r="I79" s="466"/>
      <c r="J79" s="467"/>
      <c r="K79" s="468"/>
      <c r="L79" s="469"/>
      <c r="M79" s="470"/>
      <c r="N79" s="63"/>
      <c r="O79" s="63"/>
      <c r="P79" s="471"/>
      <c r="Q79" s="466"/>
      <c r="R79" s="466"/>
      <c r="S79" s="466"/>
      <c r="T79" s="472"/>
      <c r="U79" s="5"/>
      <c r="V79" s="10" t="s">
        <v>68</v>
      </c>
      <c r="W79" s="5"/>
      <c r="X79" s="5"/>
      <c r="Y79" s="5"/>
      <c r="Z79" s="5"/>
      <c r="AA79" s="473" t="n">
        <f aca="false">AA78/365</f>
        <v>13.1072833310728</v>
      </c>
      <c r="AB79" s="5"/>
      <c r="AC79" s="5"/>
      <c r="AD79" s="474" t="n">
        <f aca="false">AVERAGE(AD66:AD77)</f>
        <v>13.1794510096171</v>
      </c>
      <c r="AE79" s="475" t="n">
        <f aca="false">AF64/AD80</f>
        <v>0.328255367883831</v>
      </c>
      <c r="AF79" s="5"/>
      <c r="AG79" s="5"/>
      <c r="AH79" s="476"/>
      <c r="AI79" s="5"/>
      <c r="AJ79" s="5"/>
      <c r="AK79" s="477" t="n">
        <f aca="false">AM64/AD80</f>
        <v>0.321205117257192</v>
      </c>
      <c r="AL79" s="8"/>
      <c r="AM79" s="478" t="n">
        <f aca="false">AVERAGE(AM66:AM77)</f>
        <v>2.73839666428497</v>
      </c>
      <c r="AN79" s="8"/>
      <c r="AO79" s="8"/>
      <c r="AP79" s="8"/>
      <c r="AQ79" s="8"/>
      <c r="AR79" s="8"/>
      <c r="AS79" s="5"/>
      <c r="AT79" s="299"/>
      <c r="AU79" s="319"/>
      <c r="AV79" s="8"/>
      <c r="AW79" s="466"/>
      <c r="AX79" s="294" t="s">
        <v>156</v>
      </c>
      <c r="AY79" s="294" t="s">
        <v>157</v>
      </c>
      <c r="AZ79" s="294" t="s">
        <v>158</v>
      </c>
      <c r="BA79" s="294" t="s">
        <v>159</v>
      </c>
      <c r="BB79" s="294" t="s">
        <v>160</v>
      </c>
      <c r="BC79" s="294" t="s">
        <v>161</v>
      </c>
      <c r="BD79" s="294" t="s">
        <v>162</v>
      </c>
      <c r="BE79" s="294" t="s">
        <v>163</v>
      </c>
      <c r="BF79" s="294" t="s">
        <v>164</v>
      </c>
      <c r="BG79" s="294" t="s">
        <v>165</v>
      </c>
      <c r="BH79" s="294" t="s">
        <v>166</v>
      </c>
      <c r="BI79" s="294" t="s">
        <v>167</v>
      </c>
      <c r="BJ79" s="294" t="s">
        <v>168</v>
      </c>
      <c r="BK79" s="294" t="s">
        <v>169</v>
      </c>
      <c r="BL79" s="294" t="s">
        <v>170</v>
      </c>
      <c r="BM79" s="294" t="s">
        <v>171</v>
      </c>
      <c r="BN79" s="479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AMJ79" s="0"/>
    </row>
    <row r="80" s="480" customFormat="true" ht="14.15" hidden="false" customHeight="true" outlineLevel="0" collapsed="false">
      <c r="A80" s="5"/>
      <c r="B80" s="446" t="s">
        <v>162</v>
      </c>
      <c r="C80" s="447" t="n">
        <v>4392</v>
      </c>
      <c r="D80" s="447" t="n">
        <v>726</v>
      </c>
      <c r="E80" s="443" t="n">
        <f aca="false">-1*(D80/31)+17</f>
        <v>-6.41935483870968</v>
      </c>
      <c r="F80" s="443" t="n">
        <f aca="false">-$AO$130*(D80/31)+17</f>
        <v>-25.6232258064516</v>
      </c>
      <c r="G80" s="268" t="n">
        <f aca="false">VLOOKUP(B80,$AW$136:$BL$151,16,1)</f>
        <v>5.79890410958904</v>
      </c>
      <c r="H80" s="448"/>
      <c r="I80" s="466"/>
      <c r="J80" s="481"/>
      <c r="K80" s="482"/>
      <c r="L80" s="483"/>
      <c r="M80" s="481"/>
      <c r="N80" s="63"/>
      <c r="O80" s="63"/>
      <c r="P80" s="319"/>
      <c r="Q80" s="319"/>
      <c r="R80" s="5"/>
      <c r="S80" s="5"/>
      <c r="T80" s="5"/>
      <c r="U80" s="5"/>
      <c r="V80" s="10"/>
      <c r="W80" s="5"/>
      <c r="X80" s="5"/>
      <c r="Y80" s="5"/>
      <c r="Z80" s="5"/>
      <c r="AA80" s="484" t="n">
        <f aca="false">MAX(AA66:AA77)</f>
        <v>777.227722772277</v>
      </c>
      <c r="AB80" s="484"/>
      <c r="AC80" s="58" t="n">
        <f aca="false">AE64</f>
        <v>8.368886854464</v>
      </c>
      <c r="AD80" s="474" t="n">
        <f aca="false">MAX(AD66:AD77)</f>
        <v>25.4950495049505</v>
      </c>
      <c r="AE80" s="485" t="n">
        <f aca="false">AD78*AE79</f>
        <v>51.9147064760254</v>
      </c>
      <c r="AF80" s="5"/>
      <c r="AG80" s="5"/>
      <c r="AH80" s="476"/>
      <c r="AI80" s="5"/>
      <c r="AJ80" s="5"/>
      <c r="AK80" s="58" t="n">
        <f aca="false">AD78*AK79</f>
        <v>50.7996852831538</v>
      </c>
      <c r="AL80" s="5"/>
      <c r="AM80" s="134"/>
      <c r="AN80" s="5"/>
      <c r="AO80" s="5"/>
      <c r="AP80" s="5"/>
      <c r="AQ80" s="466"/>
      <c r="AR80" s="466"/>
      <c r="AS80" s="466"/>
      <c r="AT80" s="299"/>
      <c r="AU80" s="299"/>
      <c r="AV80" s="8"/>
      <c r="AW80" s="466" t="n">
        <v>1</v>
      </c>
      <c r="AX80" s="466" t="n">
        <v>2</v>
      </c>
      <c r="AY80" s="466" t="n">
        <v>3</v>
      </c>
      <c r="AZ80" s="466" t="n">
        <v>4</v>
      </c>
      <c r="BA80" s="466" t="n">
        <v>5</v>
      </c>
      <c r="BB80" s="466" t="n">
        <v>6</v>
      </c>
      <c r="BC80" s="466" t="n">
        <v>7</v>
      </c>
      <c r="BD80" s="466" t="n">
        <v>8</v>
      </c>
      <c r="BE80" s="466" t="n">
        <v>9</v>
      </c>
      <c r="BF80" s="466" t="n">
        <v>10</v>
      </c>
      <c r="BG80" s="466" t="n">
        <v>11</v>
      </c>
      <c r="BH80" s="466" t="n">
        <v>12</v>
      </c>
      <c r="BI80" s="466" t="n">
        <v>13</v>
      </c>
      <c r="BJ80" s="466" t="n">
        <v>14</v>
      </c>
      <c r="BK80" s="466" t="n">
        <v>15</v>
      </c>
      <c r="BL80" s="466" t="n">
        <v>16</v>
      </c>
      <c r="BM80" s="466" t="n">
        <v>17</v>
      </c>
      <c r="BN80" s="466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AMJ80" s="0"/>
    </row>
    <row r="81" s="480" customFormat="true" ht="14.15" hidden="false" customHeight="true" outlineLevel="0" collapsed="false">
      <c r="A81" s="5"/>
      <c r="B81" s="449" t="s">
        <v>163</v>
      </c>
      <c r="C81" s="450" t="n">
        <v>4510</v>
      </c>
      <c r="D81" s="450" t="n">
        <v>759</v>
      </c>
      <c r="E81" s="451" t="n">
        <f aca="false">-1*(D81/31)+17</f>
        <v>-7.48387096774194</v>
      </c>
      <c r="F81" s="451" t="n">
        <f aca="false">-$AO$130*(D81/31)+17</f>
        <v>-27.5606451612903</v>
      </c>
      <c r="G81" s="452" t="n">
        <f aca="false">VLOOKUP(B81,$AW$136:$BL$151,16,1)</f>
        <v>5.62756164383562</v>
      </c>
      <c r="H81" s="448"/>
      <c r="I81" s="5"/>
      <c r="J81" s="469"/>
      <c r="K81" s="486"/>
      <c r="L81" s="481"/>
      <c r="M81" s="481"/>
      <c r="N81" s="63"/>
      <c r="O81" s="63"/>
      <c r="P81" s="319"/>
      <c r="Q81" s="299"/>
      <c r="R81" s="5"/>
      <c r="S81" s="5"/>
      <c r="T81" s="5"/>
      <c r="U81" s="5"/>
      <c r="V81" s="10"/>
      <c r="W81" s="5"/>
      <c r="X81" s="5"/>
      <c r="Y81" s="5"/>
      <c r="Z81" s="5"/>
      <c r="AA81" s="487" t="n">
        <f aca="false">AC80/AA80</f>
        <v>0.0107676123859983</v>
      </c>
      <c r="AB81" s="487"/>
      <c r="AC81" s="5"/>
      <c r="AD81" s="488" t="n">
        <f aca="false">AD82</f>
        <v>0.799143698153599</v>
      </c>
      <c r="AE81" s="489"/>
      <c r="AF81" s="490"/>
      <c r="AG81" s="490"/>
      <c r="AH81" s="491"/>
      <c r="AI81" s="5"/>
      <c r="AJ81" s="5"/>
      <c r="AK81" s="5"/>
      <c r="AL81" s="5"/>
      <c r="AM81" s="5"/>
      <c r="AN81" s="5"/>
      <c r="AO81" s="5"/>
      <c r="AP81" s="5"/>
      <c r="AQ81" s="466"/>
      <c r="AR81" s="466"/>
      <c r="AS81" s="466"/>
      <c r="AT81" s="299"/>
      <c r="AU81" s="299"/>
      <c r="AV81" s="8"/>
      <c r="AW81" s="466" t="s">
        <v>174</v>
      </c>
      <c r="AX81" s="479" t="n">
        <f aca="false">AX66/$AX$78</f>
        <v>0.150462962962963</v>
      </c>
      <c r="AY81" s="479" t="n">
        <f aca="false">AY66/$AY$78</f>
        <v>0.166543301258327</v>
      </c>
      <c r="AZ81" s="479" t="n">
        <f aca="false">AZ66/$AZ$78</f>
        <v>0.165366614664587</v>
      </c>
      <c r="BA81" s="479" t="n">
        <f aca="false">BA66/$BA$78</f>
        <v>0.159913169319826</v>
      </c>
      <c r="BB81" s="479" t="n">
        <f aca="false">BB66/$BB$78</f>
        <v>0.162361623616236</v>
      </c>
      <c r="BC81" s="479" t="n">
        <f aca="false">BC66/$BC$78</f>
        <v>0.16146540027137</v>
      </c>
      <c r="BD81" s="479" t="n">
        <f aca="false">BD66/$BD$78</f>
        <v>0.16290212183436</v>
      </c>
      <c r="BE81" s="479" t="n">
        <f aca="false">BE66/$BE$78</f>
        <v>0.165660630449363</v>
      </c>
      <c r="BF81" s="479" t="n">
        <f aca="false">BF66/$BF$78</f>
        <v>0.159974905897114</v>
      </c>
      <c r="BG81" s="479" t="n">
        <f aca="false">BG66/$BG$78</f>
        <v>0.155615696887686</v>
      </c>
      <c r="BH81" s="479" t="n">
        <f aca="false">BH66/$BH$78</f>
        <v>0.164357682619647</v>
      </c>
      <c r="BI81" s="479" t="n">
        <f aca="false">BI66/$BI$78</f>
        <v>0.16247700797057</v>
      </c>
      <c r="BJ81" s="479" t="n">
        <f aca="false">BJ66/$BJ$78</f>
        <v>0.157864523536165</v>
      </c>
      <c r="BK81" s="479" t="n">
        <f aca="false">BK66/$BK$78</f>
        <v>0.155131264916468</v>
      </c>
      <c r="BL81" s="479" t="n">
        <f aca="false">BL66/$BL$78</f>
        <v>0.145937813440321</v>
      </c>
      <c r="BM81" s="479" t="n">
        <f aca="false">BM66/$BM$78</f>
        <v>0.138653366583541</v>
      </c>
      <c r="BN81" s="479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AMJ81" s="0"/>
    </row>
    <row r="82" s="480" customFormat="true" ht="14.15" hidden="false" customHeight="true" outlineLevel="0" collapsed="false">
      <c r="A82" s="5"/>
      <c r="B82" s="492" t="s">
        <v>164</v>
      </c>
      <c r="C82" s="493" t="n">
        <v>4832</v>
      </c>
      <c r="D82" s="493" t="n">
        <v>785</v>
      </c>
      <c r="E82" s="494" t="n">
        <f aca="false">-1*(D82/31)+17</f>
        <v>-8.32258064516129</v>
      </c>
      <c r="F82" s="494" t="n">
        <f aca="false">-$AO$130*(D82/31)+17</f>
        <v>-29.0870967741936</v>
      </c>
      <c r="G82" s="495" t="n">
        <f aca="false">VLOOKUP(B82,$AW$136:$BL$151,16,1)</f>
        <v>5.16</v>
      </c>
      <c r="H82" s="448"/>
      <c r="I82" s="5"/>
      <c r="J82" s="496"/>
      <c r="K82" s="482"/>
      <c r="L82" s="481"/>
      <c r="M82" s="481"/>
      <c r="N82" s="481"/>
      <c r="O82" s="481"/>
      <c r="P82" s="319"/>
      <c r="Q82" s="299"/>
      <c r="R82" s="5"/>
      <c r="S82" s="5"/>
      <c r="T82" s="5"/>
      <c r="U82" s="5"/>
      <c r="V82" s="10"/>
      <c r="W82" s="5"/>
      <c r="X82" s="5"/>
      <c r="Y82" s="5"/>
      <c r="Z82" s="5"/>
      <c r="AA82" s="497" t="n">
        <f aca="false">AVERAGE(AA66:AA77)</f>
        <v>398.679867986799</v>
      </c>
      <c r="AB82" s="5"/>
      <c r="AC82" s="5"/>
      <c r="AD82" s="498" t="n">
        <f aca="false">((AA78/$AE$87)+1000)/AG86</f>
        <v>0.799143698153599</v>
      </c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466"/>
      <c r="AR82" s="466"/>
      <c r="AS82" s="466"/>
      <c r="AT82" s="5"/>
      <c r="AU82" s="5"/>
      <c r="AV82" s="8"/>
      <c r="AW82" s="466" t="s">
        <v>180</v>
      </c>
      <c r="AX82" s="479" t="n">
        <f aca="false">AX67/$AX$78</f>
        <v>0.158179012345679</v>
      </c>
      <c r="AY82" s="479" t="n">
        <f aca="false">AY67/$AY$78</f>
        <v>0.170244263508512</v>
      </c>
      <c r="AZ82" s="479" t="n">
        <f aca="false">AZ67/$AZ$78</f>
        <v>0.170826833073323</v>
      </c>
      <c r="BA82" s="479" t="n">
        <f aca="false">BA67/$BA$78</f>
        <v>0.161360347322721</v>
      </c>
      <c r="BB82" s="479" t="n">
        <f aca="false">BB67/$BB$78</f>
        <v>0.165313653136531</v>
      </c>
      <c r="BC82" s="479" t="n">
        <f aca="false">BC67/$BC$78</f>
        <v>0.162143826322931</v>
      </c>
      <c r="BD82" s="479" t="n">
        <f aca="false">BD67/$BD$78</f>
        <v>0.164955509924709</v>
      </c>
      <c r="BE82" s="479" t="n">
        <f aca="false">BE67/$BE$78</f>
        <v>0.16767270288397</v>
      </c>
      <c r="BF82" s="479" t="n">
        <f aca="false">BF67/$BF$78</f>
        <v>0.161229611041405</v>
      </c>
      <c r="BG82" s="479" t="n">
        <f aca="false">BG67/$BG$78</f>
        <v>0.1617050067659</v>
      </c>
      <c r="BH82" s="479" t="n">
        <f aca="false">BH67/$BH$78</f>
        <v>0.168136020151133</v>
      </c>
      <c r="BI82" s="479" t="n">
        <f aca="false">BI67/$BI$78</f>
        <v>0.164929491109749</v>
      </c>
      <c r="BJ82" s="479" t="n">
        <f aca="false">BJ67/$BJ$78</f>
        <v>0.161882893226177</v>
      </c>
      <c r="BK82" s="479" t="n">
        <f aca="false">BK67/$BK$78</f>
        <v>0.16109785202864</v>
      </c>
      <c r="BL82" s="479" t="n">
        <f aca="false">BL67/$BL$78</f>
        <v>0.154964894684052</v>
      </c>
      <c r="BM82" s="479" t="n">
        <f aca="false">BM67/$BM$78</f>
        <v>0.15211970074813</v>
      </c>
      <c r="BN82" s="479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AMJ82" s="0"/>
    </row>
    <row r="83" s="480" customFormat="true" ht="14.15" hidden="false" customHeight="true" outlineLevel="0" collapsed="false">
      <c r="A83" s="5"/>
      <c r="B83" s="449" t="s">
        <v>165</v>
      </c>
      <c r="C83" s="450" t="n">
        <v>4469</v>
      </c>
      <c r="D83" s="450" t="n">
        <v>719</v>
      </c>
      <c r="E83" s="451" t="n">
        <f aca="false">-1*(D83/31)+17</f>
        <v>-6.19354838709678</v>
      </c>
      <c r="F83" s="451" t="n">
        <f aca="false">-$AO$130*(D83/31)+17</f>
        <v>-25.2122580645161</v>
      </c>
      <c r="G83" s="452" t="n">
        <f aca="false">VLOOKUP(B83,$AW$136:$BL$151,16,1)</f>
        <v>5.68709589041096</v>
      </c>
      <c r="H83" s="448"/>
      <c r="I83" s="5"/>
      <c r="J83" s="496"/>
      <c r="K83" s="499"/>
      <c r="L83" s="481"/>
      <c r="M83" s="481"/>
      <c r="N83" s="481"/>
      <c r="O83" s="481"/>
      <c r="P83" s="319"/>
      <c r="Q83" s="299"/>
      <c r="R83" s="5"/>
      <c r="S83" s="5"/>
      <c r="T83" s="5"/>
      <c r="U83" s="5"/>
      <c r="V83" s="10"/>
      <c r="W83" s="5"/>
      <c r="X83" s="5"/>
      <c r="Y83" s="5"/>
      <c r="Z83" s="5"/>
      <c r="AA83" s="5"/>
      <c r="AB83" s="5"/>
      <c r="AC83" s="5"/>
      <c r="AD83" s="8" t="s">
        <v>281</v>
      </c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466"/>
      <c r="AR83" s="466"/>
      <c r="AS83" s="466"/>
      <c r="AT83" s="5"/>
      <c r="AU83" s="5"/>
      <c r="AV83" s="471"/>
      <c r="AW83" s="466" t="s">
        <v>185</v>
      </c>
      <c r="AX83" s="479" t="n">
        <f aca="false">AX68/$AX$78</f>
        <v>0.138117283950617</v>
      </c>
      <c r="AY83" s="479" t="n">
        <f aca="false">AY68/$AY$78</f>
        <v>0.142857142857143</v>
      </c>
      <c r="AZ83" s="479" t="n">
        <f aca="false">AZ68/$AZ$78</f>
        <v>0.142745709828393</v>
      </c>
      <c r="BA83" s="479" t="n">
        <f aca="false">BA68/$BA$78</f>
        <v>0.136758321273517</v>
      </c>
      <c r="BB83" s="479" t="n">
        <f aca="false">BB68/$BB$78</f>
        <v>0.140221402214022</v>
      </c>
      <c r="BC83" s="479" t="n">
        <f aca="false">BC68/$BC$78</f>
        <v>0.137042062415197</v>
      </c>
      <c r="BD83" s="479" t="n">
        <f aca="false">BD68/$BD$78</f>
        <v>0.137577002053388</v>
      </c>
      <c r="BE83" s="479" t="n">
        <f aca="false">BE68/$BE$78</f>
        <v>0.138832997987928</v>
      </c>
      <c r="BF83" s="479" t="n">
        <f aca="false">BF68/$BF$78</f>
        <v>0.134253450439147</v>
      </c>
      <c r="BG83" s="479" t="n">
        <f aca="false">BG68/$BG$78</f>
        <v>0.134641407307172</v>
      </c>
      <c r="BH83" s="479" t="n">
        <f aca="false">BH68/$BH$78</f>
        <v>0.13727959697733</v>
      </c>
      <c r="BI83" s="479" t="n">
        <f aca="false">BI68/$BI$78</f>
        <v>0.136112814224402</v>
      </c>
      <c r="BJ83" s="479" t="n">
        <f aca="false">BJ68/$BJ$78</f>
        <v>0.134902411021814</v>
      </c>
      <c r="BK83" s="479" t="n">
        <f aca="false">BK68/$BK$78</f>
        <v>0.134844868735084</v>
      </c>
      <c r="BL83" s="479" t="n">
        <f aca="false">BL68/$BL$78</f>
        <v>0.127883650952859</v>
      </c>
      <c r="BM83" s="479" t="n">
        <f aca="false">BM68/$BM$78</f>
        <v>0.124688279301746</v>
      </c>
      <c r="BN83" s="479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AMJ83" s="0"/>
    </row>
    <row r="84" s="480" customFormat="true" ht="14.15" hidden="false" customHeight="true" outlineLevel="0" collapsed="false">
      <c r="A84" s="5"/>
      <c r="B84" s="446" t="s">
        <v>166</v>
      </c>
      <c r="C84" s="447" t="n">
        <v>4825</v>
      </c>
      <c r="D84" s="447" t="n">
        <v>812</v>
      </c>
      <c r="E84" s="115" t="n">
        <f aca="false">-1*(D84/31)+17</f>
        <v>-9.19354838709678</v>
      </c>
      <c r="F84" s="443" t="n">
        <f aca="false">-$AO$130*(D84/31)+17</f>
        <v>-30.6722580645161</v>
      </c>
      <c r="G84" s="268" t="n">
        <f aca="false">VLOOKUP(B84,$AW$136:$BL$151,16,1)</f>
        <v>5.17016438356164</v>
      </c>
      <c r="H84" s="448"/>
      <c r="I84" s="5"/>
      <c r="J84" s="466"/>
      <c r="K84" s="500"/>
      <c r="L84" s="481"/>
      <c r="M84" s="481"/>
      <c r="N84" s="481"/>
      <c r="O84" s="481"/>
      <c r="P84" s="319"/>
      <c r="Q84" s="299"/>
      <c r="R84" s="5"/>
      <c r="S84" s="5"/>
      <c r="T84" s="5"/>
      <c r="U84" s="5"/>
      <c r="V84" s="10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466"/>
      <c r="AR84" s="466"/>
      <c r="AS84" s="466"/>
      <c r="AT84" s="5"/>
      <c r="AU84" s="5"/>
      <c r="AV84" s="471"/>
      <c r="AW84" s="466" t="s">
        <v>190</v>
      </c>
      <c r="AX84" s="479" t="n">
        <f aca="false">AX69/$AX$78</f>
        <v>0.101851851851852</v>
      </c>
      <c r="AY84" s="479" t="n">
        <f aca="false">AY69/$AY$78</f>
        <v>0.0910436713545522</v>
      </c>
      <c r="AZ84" s="479" t="n">
        <f aca="false">AZ69/$AZ$78</f>
        <v>0.0959438377535102</v>
      </c>
      <c r="BA84" s="479" t="n">
        <f aca="false">BA69/$BA$78</f>
        <v>0.093342981186686</v>
      </c>
      <c r="BB84" s="479" t="n">
        <f aca="false">BB69/$BB$78</f>
        <v>0.0929889298892989</v>
      </c>
      <c r="BC84" s="479" t="n">
        <f aca="false">BC69/$BC$78</f>
        <v>0.0902306648575305</v>
      </c>
      <c r="BD84" s="479" t="n">
        <f aca="false">BD69/$BD$78</f>
        <v>0.0882956878850103</v>
      </c>
      <c r="BE84" s="479" t="n">
        <f aca="false">BE69/$BE$78</f>
        <v>0.0885311871227364</v>
      </c>
      <c r="BF84" s="479" t="n">
        <f aca="false">BF69/$BF$78</f>
        <v>0.088456712672522</v>
      </c>
      <c r="BG84" s="479" t="n">
        <f aca="false">BG69/$BG$78</f>
        <v>0.0940460081190798</v>
      </c>
      <c r="BH84" s="479" t="n">
        <f aca="false">BH69/$BH$78</f>
        <v>0.0906801007556675</v>
      </c>
      <c r="BI84" s="479" t="n">
        <f aca="false">BI69/$BI$78</f>
        <v>0.0901287553648069</v>
      </c>
      <c r="BJ84" s="479" t="n">
        <f aca="false">BJ69/$BJ$78</f>
        <v>0.0901262916188289</v>
      </c>
      <c r="BK84" s="479" t="n">
        <f aca="false">BK69/$BK$78</f>
        <v>0.0930787589498807</v>
      </c>
      <c r="BL84" s="479" t="n">
        <f aca="false">BL69/$BL$78</f>
        <v>0.0872617853560682</v>
      </c>
      <c r="BM84" s="479" t="n">
        <f aca="false">BM69/$BM$78</f>
        <v>0.0882793017456359</v>
      </c>
      <c r="BN84" s="479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AMJ84" s="0"/>
    </row>
    <row r="85" s="1" customFormat="true" ht="14.15" hidden="false" customHeight="true" outlineLevel="0" collapsed="false">
      <c r="A85" s="5"/>
      <c r="B85" s="449" t="s">
        <v>167</v>
      </c>
      <c r="C85" s="450" t="n">
        <v>4984</v>
      </c>
      <c r="D85" s="450" t="n">
        <v>826</v>
      </c>
      <c r="E85" s="451" t="n">
        <f aca="false">-1*(D85/31)+17</f>
        <v>-9.64516129032258</v>
      </c>
      <c r="F85" s="451" t="n">
        <f aca="false">-$AO$130*(D85/31)+17</f>
        <v>-31.4941935483871</v>
      </c>
      <c r="G85" s="452" t="n">
        <f aca="false">VLOOKUP(B85,$AW$136:$BL$151,16,1)</f>
        <v>4.93928767123288</v>
      </c>
      <c r="H85" s="448"/>
      <c r="I85" s="5"/>
      <c r="J85" s="496"/>
      <c r="K85" s="501"/>
      <c r="L85" s="481"/>
      <c r="M85" s="481"/>
      <c r="N85" s="319" t="s">
        <v>282</v>
      </c>
      <c r="O85" s="8" t="s">
        <v>283</v>
      </c>
      <c r="P85" s="8" t="s">
        <v>284</v>
      </c>
      <c r="Q85" s="502"/>
      <c r="R85" s="502"/>
      <c r="S85" s="63"/>
      <c r="T85" s="8"/>
      <c r="U85" s="5"/>
      <c r="V85" s="10"/>
      <c r="W85" s="5"/>
      <c r="X85" s="5"/>
      <c r="Y85" s="5"/>
      <c r="Z85" s="502"/>
      <c r="AA85" s="502"/>
      <c r="AB85" s="502"/>
      <c r="AC85" s="502"/>
      <c r="AD85" s="366" t="s">
        <v>285</v>
      </c>
      <c r="AE85" s="366"/>
      <c r="AF85" s="366"/>
      <c r="AG85" s="366"/>
      <c r="AH85" s="366"/>
      <c r="AI85" s="366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8"/>
      <c r="AW85" s="5" t="s">
        <v>194</v>
      </c>
      <c r="AX85" s="503" t="n">
        <f aca="false">AX70/$AX$78</f>
        <v>0.0570987654320988</v>
      </c>
      <c r="AY85" s="503" t="n">
        <f aca="false">AY70/$AY$78</f>
        <v>0.0392301998519615</v>
      </c>
      <c r="AZ85" s="503" t="n">
        <f aca="false">AZ70/$AZ$78</f>
        <v>0.046021840873635</v>
      </c>
      <c r="BA85" s="503" t="n">
        <f aca="false">BA70/$BA$78</f>
        <v>0.0441389290882779</v>
      </c>
      <c r="BB85" s="503" t="n">
        <f aca="false">BB70/$BB$78</f>
        <v>0.044280442804428</v>
      </c>
      <c r="BC85" s="503" t="n">
        <f aca="false">BC70/$BC$78</f>
        <v>0.0413839891451832</v>
      </c>
      <c r="BD85" s="503" t="n">
        <f aca="false">BD70/$BD$78</f>
        <v>0.0396988364134155</v>
      </c>
      <c r="BE85" s="503" t="n">
        <f aca="false">BE70/$BE$78</f>
        <v>0.0389000670690812</v>
      </c>
      <c r="BF85" s="503" t="n">
        <f aca="false">BF70/$BF$78</f>
        <v>0.0420326223337516</v>
      </c>
      <c r="BG85" s="503" t="n">
        <f aca="false">BG70/$BG$78</f>
        <v>0.0466847090663058</v>
      </c>
      <c r="BH85" s="503" t="n">
        <f aca="false">BH70/$BH$78</f>
        <v>0.0415617128463476</v>
      </c>
      <c r="BI85" s="503" t="n">
        <f aca="false">BI70/$BI$78</f>
        <v>0.0416922133660331</v>
      </c>
      <c r="BJ85" s="503" t="n">
        <f aca="false">BJ70/$BJ$78</f>
        <v>0.0459242250287026</v>
      </c>
      <c r="BK85" s="503" t="n">
        <f aca="false">BK70/$BK$78</f>
        <v>0.0459427207637232</v>
      </c>
      <c r="BL85" s="503" t="n">
        <f aca="false">BL70/$BL$78</f>
        <v>0.0496489468405216</v>
      </c>
      <c r="BM85" s="503" t="n">
        <f aca="false">BM70/$BM$78</f>
        <v>0.0543640897755611</v>
      </c>
      <c r="BN85" s="503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AMJ85" s="504"/>
    </row>
    <row r="86" s="1" customFormat="true" ht="14.15" hidden="false" customHeight="true" outlineLevel="0" collapsed="false">
      <c r="A86" s="5"/>
      <c r="B86" s="446" t="s">
        <v>168</v>
      </c>
      <c r="C86" s="447" t="n">
        <v>5304</v>
      </c>
      <c r="D86" s="447" t="n">
        <v>864</v>
      </c>
      <c r="E86" s="115" t="n">
        <f aca="false">-1*(D86/31)+17</f>
        <v>-10.8709677419355</v>
      </c>
      <c r="F86" s="443" t="n">
        <f aca="false">-$AO$130*(D86/31)+17</f>
        <v>-33.7251612903226</v>
      </c>
      <c r="G86" s="268" t="n">
        <f aca="false">VLOOKUP(B86,$AW$136:$BL$151,16,1)</f>
        <v>4.4746301369863</v>
      </c>
      <c r="H86" s="448"/>
      <c r="I86" s="5"/>
      <c r="J86" s="505"/>
      <c r="K86" s="319"/>
      <c r="L86" s="319"/>
      <c r="M86" s="319"/>
      <c r="N86" s="506" t="n">
        <v>0</v>
      </c>
      <c r="O86" s="507" t="n">
        <f aca="false">-1*N86</f>
        <v>-0</v>
      </c>
      <c r="P86" s="508" t="n">
        <f aca="false">VLOOKUP(N86,$B$215:$E$1316,4,1)</f>
        <v>3.45559877308285</v>
      </c>
      <c r="Q86" s="502"/>
      <c r="R86" s="502"/>
      <c r="S86" s="63"/>
      <c r="T86" s="8"/>
      <c r="U86" s="5"/>
      <c r="V86" s="10"/>
      <c r="W86" s="5"/>
      <c r="X86" s="5"/>
      <c r="Y86" s="5"/>
      <c r="Z86" s="502"/>
      <c r="AA86" s="502"/>
      <c r="AB86" s="502"/>
      <c r="AC86" s="502"/>
      <c r="AD86" s="509"/>
      <c r="AE86" s="510"/>
      <c r="AF86" s="510"/>
      <c r="AG86" s="511" t="n">
        <v>1850</v>
      </c>
      <c r="AH86" s="510"/>
      <c r="AI86" s="512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8"/>
      <c r="AW86" s="5" t="s">
        <v>197</v>
      </c>
      <c r="AX86" s="503" t="n">
        <f aca="false">AX71/$AX$78</f>
        <v>0.0277777777777778</v>
      </c>
      <c r="AY86" s="503" t="n">
        <f aca="false">AY71/$AY$78</f>
        <v>0.0111028867505551</v>
      </c>
      <c r="AZ86" s="503" t="n">
        <f aca="false">AZ71/$AZ$78</f>
        <v>0.0140405616224649</v>
      </c>
      <c r="BA86" s="503" t="n">
        <f aca="false">BA71/$BA$78</f>
        <v>0.0188133140376266</v>
      </c>
      <c r="BB86" s="503" t="n">
        <f aca="false">BB71/$BB$78</f>
        <v>0.0154981549815498</v>
      </c>
      <c r="BC86" s="503" t="n">
        <f aca="false">BC71/$BC$78</f>
        <v>0.0169606512890095</v>
      </c>
      <c r="BD86" s="503" t="n">
        <f aca="false">BD71/$BD$78</f>
        <v>0.0143737166324435</v>
      </c>
      <c r="BE86" s="503" t="n">
        <f aca="false">BE71/$BE$78</f>
        <v>0.0127431254191818</v>
      </c>
      <c r="BF86" s="503" t="n">
        <f aca="false">BF71/$BF$78</f>
        <v>0.0181932245922208</v>
      </c>
      <c r="BG86" s="503" t="n">
        <f aca="false">BG71/$BG$78</f>
        <v>0.020297699594046</v>
      </c>
      <c r="BH86" s="503" t="n">
        <f aca="false">BH71/$BH$78</f>
        <v>0.0138539042821159</v>
      </c>
      <c r="BI86" s="503" t="n">
        <f aca="false">BI71/$BI$78</f>
        <v>0.0165542611894543</v>
      </c>
      <c r="BJ86" s="503" t="n">
        <f aca="false">BJ71/$BJ$78</f>
        <v>0.0200918484500574</v>
      </c>
      <c r="BK86" s="503" t="n">
        <f aca="false">BK71/$BK$78</f>
        <v>0.0202863961813842</v>
      </c>
      <c r="BL86" s="503" t="n">
        <f aca="false">BL71/$BL$78</f>
        <v>0.0245737211634905</v>
      </c>
      <c r="BM86" s="503" t="n">
        <f aca="false">BM71/$BM$78</f>
        <v>0.0304239401496259</v>
      </c>
      <c r="BN86" s="503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AMJ86" s="504"/>
    </row>
    <row r="87" s="1" customFormat="true" ht="14.15" hidden="false" customHeight="true" outlineLevel="0" collapsed="false">
      <c r="A87" s="5"/>
      <c r="B87" s="449" t="s">
        <v>169</v>
      </c>
      <c r="C87" s="450" t="n">
        <v>5057</v>
      </c>
      <c r="D87" s="450" t="n">
        <v>824</v>
      </c>
      <c r="E87" s="451" t="n">
        <f aca="false">-1*(D87/31)+17</f>
        <v>-9.58064516129032</v>
      </c>
      <c r="F87" s="451" t="n">
        <f aca="false">-$AO$130*(D87/31)+17</f>
        <v>-31.3767741935484</v>
      </c>
      <c r="G87" s="452" t="n">
        <f aca="false">VLOOKUP(B87,$AW$136:$BL$151,16,1)</f>
        <v>4.83328767123288</v>
      </c>
      <c r="H87" s="448"/>
      <c r="I87" s="5"/>
      <c r="J87" s="505"/>
      <c r="K87" s="319"/>
      <c r="L87" s="319"/>
      <c r="M87" s="319"/>
      <c r="N87" s="506" t="n">
        <v>5</v>
      </c>
      <c r="O87" s="507" t="n">
        <f aca="false">-1*N87</f>
        <v>-5</v>
      </c>
      <c r="P87" s="508" t="n">
        <f aca="false">VLOOKUP(N87,$B$215:$E$1316,4,1)</f>
        <v>4.49726543974951</v>
      </c>
      <c r="Q87" s="502"/>
      <c r="R87" s="502"/>
      <c r="S87" s="63"/>
      <c r="T87" s="8"/>
      <c r="U87" s="5"/>
      <c r="V87" s="10"/>
      <c r="W87" s="5"/>
      <c r="X87" s="5"/>
      <c r="Y87" s="5"/>
      <c r="Z87" s="502"/>
      <c r="AA87" s="502"/>
      <c r="AB87" s="502"/>
      <c r="AC87" s="502"/>
      <c r="AD87" s="513" t="n">
        <v>970</v>
      </c>
      <c r="AE87" s="514" t="n">
        <v>10</v>
      </c>
      <c r="AF87" s="515"/>
      <c r="AG87" s="514" t="n">
        <v>1878</v>
      </c>
      <c r="AH87" s="515"/>
      <c r="AI87" s="516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8"/>
      <c r="AW87" s="5" t="s">
        <v>200</v>
      </c>
      <c r="AX87" s="503" t="n">
        <f aca="false">AX72/$AX$78</f>
        <v>0</v>
      </c>
      <c r="AY87" s="503" t="n">
        <f aca="false">AY72/$AY$78</f>
        <v>0</v>
      </c>
      <c r="AZ87" s="503" t="n">
        <f aca="false">AZ72/$AZ$78</f>
        <v>0</v>
      </c>
      <c r="BA87" s="503" t="n">
        <f aca="false">BA72/$BA$78</f>
        <v>0</v>
      </c>
      <c r="BB87" s="503" t="n">
        <f aca="false">BB72/$BB$78</f>
        <v>0</v>
      </c>
      <c r="BC87" s="503" t="n">
        <f aca="false">BC72/$BC$78</f>
        <v>0</v>
      </c>
      <c r="BD87" s="503" t="n">
        <f aca="false">BD72/$BD$78</f>
        <v>0</v>
      </c>
      <c r="BE87" s="503" t="n">
        <f aca="false">BE72/$BE$78</f>
        <v>0</v>
      </c>
      <c r="BF87" s="503" t="n">
        <f aca="false">BF72/$BF$78</f>
        <v>0</v>
      </c>
      <c r="BG87" s="503" t="n">
        <f aca="false">BG72/$BG$78</f>
        <v>0</v>
      </c>
      <c r="BH87" s="503" t="n">
        <f aca="false">BH72/$BH$78</f>
        <v>0</v>
      </c>
      <c r="BI87" s="503" t="n">
        <f aca="false">BI72/$BI$78</f>
        <v>0</v>
      </c>
      <c r="BJ87" s="503" t="n">
        <f aca="false">BJ72/$BJ$78</f>
        <v>0.00229621125143512</v>
      </c>
      <c r="BK87" s="503" t="n">
        <f aca="false">BK72/$BK$78</f>
        <v>0.00298329355608592</v>
      </c>
      <c r="BL87" s="503" t="n">
        <f aca="false">BL72/$BL$78</f>
        <v>0.0115346038114343</v>
      </c>
      <c r="BM87" s="503" t="n">
        <f aca="false">BM72/$BM$78</f>
        <v>0.0159600997506234</v>
      </c>
      <c r="BN87" s="503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AMJ87" s="504"/>
    </row>
    <row r="88" s="1" customFormat="true" ht="14.15" hidden="false" customHeight="true" outlineLevel="0" collapsed="false">
      <c r="A88" s="5"/>
      <c r="B88" s="446" t="s">
        <v>170</v>
      </c>
      <c r="C88" s="447" t="n">
        <v>6180</v>
      </c>
      <c r="D88" s="447" t="n">
        <v>946</v>
      </c>
      <c r="E88" s="115" t="n">
        <f aca="false">-1*(D88/31)+17</f>
        <v>-13.5161290322581</v>
      </c>
      <c r="F88" s="443" t="n">
        <f aca="false">-$AO$130*(D88/31)+17</f>
        <v>-38.5393548387097</v>
      </c>
      <c r="G88" s="268" t="n">
        <f aca="false">VLOOKUP(B88,$AW$136:$BL$151,16,1)</f>
        <v>3.2026301369863</v>
      </c>
      <c r="H88" s="448"/>
      <c r="I88" s="5"/>
      <c r="J88" s="505"/>
      <c r="K88" s="319"/>
      <c r="L88" s="319"/>
      <c r="M88" s="319"/>
      <c r="N88" s="506" t="n">
        <v>10</v>
      </c>
      <c r="O88" s="507" t="n">
        <f aca="false">-1*N88</f>
        <v>-10</v>
      </c>
      <c r="P88" s="508" t="n">
        <f aca="false">VLOOKUP(N88,$B$215:$E$1316,4,1)</f>
        <v>4.87008290006697</v>
      </c>
      <c r="Q88" s="502"/>
      <c r="R88" s="502"/>
      <c r="S88" s="63"/>
      <c r="T88" s="8"/>
      <c r="U88" s="5"/>
      <c r="V88" s="10"/>
      <c r="W88" s="5"/>
      <c r="X88" s="5"/>
      <c r="Y88" s="5"/>
      <c r="Z88" s="502"/>
      <c r="AA88" s="502"/>
      <c r="AB88" s="502"/>
      <c r="AC88" s="502"/>
      <c r="AD88" s="517" t="n">
        <f aca="false">AD87</f>
        <v>970</v>
      </c>
      <c r="AE88" s="218" t="n">
        <f aca="false">BJ136/$AE$87</f>
        <v>387.8</v>
      </c>
      <c r="AF88" s="218" t="s">
        <v>179</v>
      </c>
      <c r="AG88" s="518" t="n">
        <f aca="false">(AE88+AD88)/$AG$87</f>
        <v>0.723003194888179</v>
      </c>
      <c r="AH88" s="519" t="n">
        <f aca="false">AM53</f>
        <v>0.722948</v>
      </c>
      <c r="AI88" s="520" t="n">
        <f aca="false">AG88-AH88</f>
        <v>5.51948881789555E-005</v>
      </c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8"/>
      <c r="AW88" s="5" t="s">
        <v>203</v>
      </c>
      <c r="AX88" s="503" t="n">
        <f aca="false">AX73/$AX$78</f>
        <v>0.00771604938271605</v>
      </c>
      <c r="AY88" s="503" t="n">
        <f aca="false">AY73/$AY$78</f>
        <v>0.00444115470022207</v>
      </c>
      <c r="AZ88" s="503" t="n">
        <f aca="false">AZ73/$AZ$78</f>
        <v>0.00156006240249609</v>
      </c>
      <c r="BA88" s="503" t="n">
        <f aca="false">BA73/$BA$78</f>
        <v>0.00868306801736613</v>
      </c>
      <c r="BB88" s="503" t="n">
        <f aca="false">BB73/$BB$78</f>
        <v>0.00590405904059041</v>
      </c>
      <c r="BC88" s="503" t="n">
        <f aca="false">BC73/$BC$78</f>
        <v>0.0115332428765265</v>
      </c>
      <c r="BD88" s="503" t="n">
        <f aca="false">BD73/$BD$78</f>
        <v>0.0109514031485284</v>
      </c>
      <c r="BE88" s="503" t="n">
        <f aca="false">BE73/$BE$78</f>
        <v>0.00871898054996647</v>
      </c>
      <c r="BF88" s="503" t="n">
        <f aca="false">BF73/$BF$78</f>
        <v>0.0163111668757842</v>
      </c>
      <c r="BG88" s="503" t="n">
        <f aca="false">BG73/$BG$78</f>
        <v>0.0128552097428958</v>
      </c>
      <c r="BH88" s="503" t="n">
        <f aca="false">BH73/$BH$78</f>
        <v>0.0107052896725441</v>
      </c>
      <c r="BI88" s="503" t="n">
        <f aca="false">BI73/$BI$78</f>
        <v>0.0134886572654813</v>
      </c>
      <c r="BJ88" s="503" t="n">
        <f aca="false">BJ73/$BJ$78</f>
        <v>0.0183696900114811</v>
      </c>
      <c r="BK88" s="503" t="n">
        <f aca="false">BK73/$BK$78</f>
        <v>0.0178997613365155</v>
      </c>
      <c r="BL88" s="503" t="n">
        <f aca="false">BL73/$BL$78</f>
        <v>0.0235707121364092</v>
      </c>
      <c r="BM88" s="503" t="n">
        <f aca="false">BM73/$BM$78</f>
        <v>0.0269326683291771</v>
      </c>
      <c r="BN88" s="503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AMJ88" s="504"/>
    </row>
    <row r="89" s="1" customFormat="true" ht="14.15" hidden="false" customHeight="true" outlineLevel="0" collapsed="false">
      <c r="A89" s="5"/>
      <c r="B89" s="449" t="s">
        <v>171</v>
      </c>
      <c r="C89" s="450" t="n">
        <v>6231</v>
      </c>
      <c r="D89" s="450" t="n">
        <v>923</v>
      </c>
      <c r="E89" s="451" t="n">
        <f aca="false">-1*(D89/31)+17</f>
        <v>-12.7741935483871</v>
      </c>
      <c r="F89" s="451" t="n">
        <f aca="false">-$AO$130*(D89/31)+17</f>
        <v>-37.1890322580645</v>
      </c>
      <c r="G89" s="452" t="n">
        <f aca="false">VLOOKUP(B89,$AW$136:$BL$151,16,1)</f>
        <v>3.12857534246575</v>
      </c>
      <c r="H89" s="448"/>
      <c r="I89" s="5"/>
      <c r="J89" s="505"/>
      <c r="K89" s="319"/>
      <c r="L89" s="319"/>
      <c r="M89" s="319"/>
      <c r="N89" s="506" t="n">
        <v>15</v>
      </c>
      <c r="O89" s="507" t="n">
        <f aca="false">-1*N89</f>
        <v>-15</v>
      </c>
      <c r="P89" s="508" t="n">
        <f aca="false">VLOOKUP(N89,$B$215:$E$1316,4,1)</f>
        <v>5.08137993636401</v>
      </c>
      <c r="Q89" s="502"/>
      <c r="R89" s="502"/>
      <c r="S89" s="63"/>
      <c r="T89" s="8"/>
      <c r="U89" s="5"/>
      <c r="V89" s="10"/>
      <c r="W89" s="5"/>
      <c r="X89" s="5"/>
      <c r="Y89" s="5"/>
      <c r="Z89" s="502"/>
      <c r="AA89" s="502"/>
      <c r="AB89" s="502"/>
      <c r="AC89" s="502"/>
      <c r="AD89" s="517" t="n">
        <f aca="false">AD87</f>
        <v>970</v>
      </c>
      <c r="AE89" s="218" t="n">
        <f aca="false">BJ137/$AE$87</f>
        <v>623.1</v>
      </c>
      <c r="AF89" s="218" t="s">
        <v>286</v>
      </c>
      <c r="AG89" s="518" t="n">
        <f aca="false">(AE89+AD89)/$AG$87</f>
        <v>0.848296059637913</v>
      </c>
      <c r="AH89" s="521" t="n">
        <f aca="false">AM54</f>
        <v>0.8489151</v>
      </c>
      <c r="AI89" s="520" t="n">
        <f aca="false">AG89-AH89</f>
        <v>-0.000619040362087264</v>
      </c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8"/>
      <c r="AW89" s="5" t="s">
        <v>205</v>
      </c>
      <c r="AX89" s="503" t="n">
        <f aca="false">AX74/$AX$78</f>
        <v>0.0393518518518519</v>
      </c>
      <c r="AY89" s="503" t="n">
        <f aca="false">AY74/$AY$78</f>
        <v>0.0384900074019245</v>
      </c>
      <c r="AZ89" s="503" t="n">
        <f aca="false">AZ74/$AZ$78</f>
        <v>0.0351014040561622</v>
      </c>
      <c r="BA89" s="503" t="n">
        <f aca="false">BA74/$BA$78</f>
        <v>0.0412445730824892</v>
      </c>
      <c r="BB89" s="503" t="n">
        <f aca="false">BB74/$BB$78</f>
        <v>0.0398523985239852</v>
      </c>
      <c r="BC89" s="503" t="n">
        <f aca="false">BC74/$BC$78</f>
        <v>0.0434192672998643</v>
      </c>
      <c r="BD89" s="503" t="n">
        <f aca="false">BD74/$BD$78</f>
        <v>0.0431211498973306</v>
      </c>
      <c r="BE89" s="503" t="n">
        <f aca="false">BE74/$BE$78</f>
        <v>0.0409121395036888</v>
      </c>
      <c r="BF89" s="503" t="n">
        <f aca="false">BF74/$BF$78</f>
        <v>0.0464240903387704</v>
      </c>
      <c r="BG89" s="503" t="n">
        <f aca="false">BG74/$BG$78</f>
        <v>0.0426251691474966</v>
      </c>
      <c r="BH89" s="503" t="n">
        <f aca="false">BH74/$BH$78</f>
        <v>0.0409319899244333</v>
      </c>
      <c r="BI89" s="503" t="n">
        <f aca="false">BI74/$BI$78</f>
        <v>0.0423053341508277</v>
      </c>
      <c r="BJ89" s="503" t="n">
        <f aca="false">BJ74/$BJ$78</f>
        <v>0.0436280137772675</v>
      </c>
      <c r="BK89" s="503" t="n">
        <f aca="false">BK74/$BK$78</f>
        <v>0.0429594272076372</v>
      </c>
      <c r="BL89" s="503" t="n">
        <f aca="false">BL74/$BL$78</f>
        <v>0.0471414242728185</v>
      </c>
      <c r="BM89" s="503" t="n">
        <f aca="false">BM74/$BM$78</f>
        <v>0.0468827930174564</v>
      </c>
      <c r="BN89" s="503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AMJ89" s="504"/>
    </row>
    <row r="90" s="1" customFormat="true" ht="14.15" hidden="false" customHeight="true" outlineLevel="0" collapsed="false">
      <c r="A90" s="5"/>
      <c r="B90" s="248" t="s">
        <v>287</v>
      </c>
      <c r="C90" s="248"/>
      <c r="D90" s="248"/>
      <c r="E90" s="248"/>
      <c r="F90" s="522" t="s">
        <v>288</v>
      </c>
      <c r="G90" s="523" t="s">
        <v>289</v>
      </c>
      <c r="H90" s="5"/>
      <c r="I90" s="5"/>
      <c r="J90" s="505"/>
      <c r="K90" s="319"/>
      <c r="L90" s="319"/>
      <c r="M90" s="319"/>
      <c r="N90" s="506" t="n">
        <v>20</v>
      </c>
      <c r="O90" s="507" t="n">
        <f aca="false">-1*N90</f>
        <v>-20</v>
      </c>
      <c r="P90" s="508" t="n">
        <f aca="false">VLOOKUP(N90,$B$215:$E$1316,4,1)</f>
        <v>5.22946860165469</v>
      </c>
      <c r="Q90" s="502"/>
      <c r="R90" s="502"/>
      <c r="S90" s="63"/>
      <c r="T90" s="8"/>
      <c r="U90" s="5"/>
      <c r="V90" s="10"/>
      <c r="W90" s="5"/>
      <c r="X90" s="5"/>
      <c r="Y90" s="5"/>
      <c r="Z90" s="502"/>
      <c r="AA90" s="502"/>
      <c r="AB90" s="502"/>
      <c r="AC90" s="502"/>
      <c r="AD90" s="524"/>
      <c r="AE90" s="525"/>
      <c r="AF90" s="525"/>
      <c r="AG90" s="526" t="n">
        <f aca="false">AG88-AG89</f>
        <v>-0.125292864749734</v>
      </c>
      <c r="AH90" s="526" t="n">
        <f aca="false">AH88-AH89</f>
        <v>-0.1259671</v>
      </c>
      <c r="AI90" s="527" t="n">
        <f aca="false">AG90-AH90</f>
        <v>0.00067423525026622</v>
      </c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8"/>
      <c r="AW90" s="5" t="s">
        <v>211</v>
      </c>
      <c r="AX90" s="503" t="n">
        <f aca="false">AX75/$AX$78</f>
        <v>0.0787037037037037</v>
      </c>
      <c r="AY90" s="503" t="n">
        <f aca="false">AY75/$AY$78</f>
        <v>0.0806809770540341</v>
      </c>
      <c r="AZ90" s="503" t="n">
        <f aca="false">AZ75/$AZ$78</f>
        <v>0.078003120124805</v>
      </c>
      <c r="BA90" s="503" t="n">
        <f aca="false">BA75/$BA$78</f>
        <v>0.0817655571635311</v>
      </c>
      <c r="BB90" s="503" t="n">
        <f aca="false">BB75/$BB$78</f>
        <v>0.0811808118081181</v>
      </c>
      <c r="BC90" s="503" t="n">
        <f aca="false">BC75/$BC$78</f>
        <v>0.0827679782903664</v>
      </c>
      <c r="BD90" s="503" t="n">
        <f aca="false">BD75/$BD$78</f>
        <v>0.0841889117043121</v>
      </c>
      <c r="BE90" s="503" t="n">
        <f aca="false">BE75/$BE$78</f>
        <v>0.0811535881958417</v>
      </c>
      <c r="BF90" s="503" t="n">
        <f aca="false">BF75/$BF$78</f>
        <v>0.0821831869510665</v>
      </c>
      <c r="BG90" s="503" t="n">
        <f aca="false">BG75/$BG$78</f>
        <v>0.081190798376184</v>
      </c>
      <c r="BH90" s="503" t="n">
        <f aca="false">BH75/$BH$78</f>
        <v>0.0793450881612091</v>
      </c>
      <c r="BI90" s="503" t="n">
        <f aca="false">BI75/$BI$78</f>
        <v>0.0797057020232986</v>
      </c>
      <c r="BJ90" s="503" t="n">
        <f aca="false">BJ75/$BJ$78</f>
        <v>0.0792192881745121</v>
      </c>
      <c r="BK90" s="503" t="n">
        <f aca="false">BK75/$BK$78</f>
        <v>0.0805489260143198</v>
      </c>
      <c r="BL90" s="503" t="n">
        <f aca="false">BL75/$BL$78</f>
        <v>0.082246740220662</v>
      </c>
      <c r="BM90" s="503" t="n">
        <f aca="false">BM75/$BM$78</f>
        <v>0.0807980049875312</v>
      </c>
      <c r="BN90" s="503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AMJ90" s="504"/>
    </row>
    <row r="91" s="1" customFormat="true" ht="14.15" hidden="false" customHeight="true" outlineLevel="0" collapsed="false">
      <c r="A91" s="5"/>
      <c r="B91" s="528" t="s">
        <v>290</v>
      </c>
      <c r="C91" s="528"/>
      <c r="D91" s="529" t="n">
        <v>87</v>
      </c>
      <c r="E91" s="530" t="n">
        <f aca="false">D91/100</f>
        <v>0.87</v>
      </c>
      <c r="F91" s="63"/>
      <c r="G91" s="63"/>
      <c r="H91" s="5"/>
      <c r="I91" s="5"/>
      <c r="J91" s="505"/>
      <c r="K91" s="319"/>
      <c r="L91" s="319"/>
      <c r="M91" s="319"/>
      <c r="N91" s="506" t="n">
        <f aca="false">N86+25</f>
        <v>25</v>
      </c>
      <c r="O91" s="507" t="n">
        <f aca="false">-1*N91</f>
        <v>-25</v>
      </c>
      <c r="P91" s="508" t="n">
        <f aca="false">VLOOKUP(N91,$B$215:$E$1316,4,1)</f>
        <v>5.27946860165469</v>
      </c>
      <c r="Q91" s="502"/>
      <c r="R91" s="502"/>
      <c r="S91" s="63"/>
      <c r="T91" s="8"/>
      <c r="U91" s="5"/>
      <c r="V91" s="10"/>
      <c r="W91" s="5"/>
      <c r="X91" s="5"/>
      <c r="Y91" s="5"/>
      <c r="Z91" s="502"/>
      <c r="AA91" s="502"/>
      <c r="AB91" s="502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8"/>
      <c r="AW91" s="5" t="s">
        <v>215</v>
      </c>
      <c r="AX91" s="503" t="n">
        <f aca="false">AX76/$AX$78</f>
        <v>0.103395061728395</v>
      </c>
      <c r="AY91" s="503" t="n">
        <f aca="false">AY76/$AY$78</f>
        <v>0.108068097705403</v>
      </c>
      <c r="AZ91" s="503" t="n">
        <f aca="false">AZ76/$AZ$78</f>
        <v>0.105304212168487</v>
      </c>
      <c r="BA91" s="503" t="n">
        <f aca="false">BA76/$BA$78</f>
        <v>0.106367583212735</v>
      </c>
      <c r="BB91" s="503" t="n">
        <f aca="false">BB76/$BB$78</f>
        <v>0.106273062730627</v>
      </c>
      <c r="BC91" s="503" t="n">
        <f aca="false">BC76/$BC$78</f>
        <v>0.10719131614654</v>
      </c>
      <c r="BD91" s="503" t="n">
        <f aca="false">BD76/$BD$78</f>
        <v>0.107460643394935</v>
      </c>
      <c r="BE91" s="503" t="n">
        <f aca="false">BE76/$BE$78</f>
        <v>0.107310529845741</v>
      </c>
      <c r="BF91" s="503" t="n">
        <f aca="false">BF76/$BF$78</f>
        <v>0.106022584692597</v>
      </c>
      <c r="BG91" s="503" t="n">
        <f aca="false">BG76/$BG$78</f>
        <v>0.105548037889039</v>
      </c>
      <c r="BH91" s="503" t="n">
        <f aca="false">BH76/$BH$78</f>
        <v>0.106423173803526</v>
      </c>
      <c r="BI91" s="503" t="n">
        <f aca="false">BI76/$BI$78</f>
        <v>0.106683016554261</v>
      </c>
      <c r="BJ91" s="503" t="n">
        <f aca="false">BJ76/$BJ$78</f>
        <v>0.104477611940299</v>
      </c>
      <c r="BK91" s="503" t="n">
        <f aca="false">BK76/$BK$78</f>
        <v>0.105608591885442</v>
      </c>
      <c r="BL91" s="503" t="n">
        <f aca="false">BL76/$BL$78</f>
        <v>0.111835506519559</v>
      </c>
      <c r="BM91" s="503" t="n">
        <f aca="false">BM76/$BM$78</f>
        <v>0.11072319201995</v>
      </c>
      <c r="BN91" s="503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AMJ91" s="504"/>
    </row>
    <row r="92" s="1" customFormat="true" ht="14.15" hidden="false" customHeight="true" outlineLevel="0" collapsed="false">
      <c r="A92" s="5"/>
      <c r="B92" s="528" t="s">
        <v>291</v>
      </c>
      <c r="C92" s="528"/>
      <c r="D92" s="529" t="n">
        <v>80</v>
      </c>
      <c r="E92" s="530" t="n">
        <f aca="false">D92/100</f>
        <v>0.8</v>
      </c>
      <c r="F92" s="63"/>
      <c r="G92" s="63"/>
      <c r="H92" s="5"/>
      <c r="I92" s="5"/>
      <c r="J92" s="505"/>
      <c r="K92" s="319"/>
      <c r="L92" s="319"/>
      <c r="M92" s="319"/>
      <c r="N92" s="506" t="n">
        <f aca="false">N87+25</f>
        <v>30</v>
      </c>
      <c r="O92" s="507" t="n">
        <f aca="false">-1*N92</f>
        <v>-30</v>
      </c>
      <c r="P92" s="508" t="n">
        <f aca="false">VLOOKUP(N92,$B$215:$E$1316,4,1)</f>
        <v>5.32946860165468</v>
      </c>
      <c r="Q92" s="502"/>
      <c r="R92" s="502"/>
      <c r="S92" s="63"/>
      <c r="T92" s="8"/>
      <c r="U92" s="5"/>
      <c r="V92" s="10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8"/>
      <c r="AW92" s="5" t="s">
        <v>228</v>
      </c>
      <c r="AX92" s="503" t="n">
        <f aca="false">AX77/$AX$78</f>
        <v>0.137345679012346</v>
      </c>
      <c r="AY92" s="503" t="n">
        <f aca="false">AY77/$AY$78</f>
        <v>0.147298297557365</v>
      </c>
      <c r="AZ92" s="503" t="n">
        <f aca="false">AZ77/$AZ$78</f>
        <v>0.145085803432137</v>
      </c>
      <c r="BA92" s="503" t="n">
        <f aca="false">BA77/$BA$78</f>
        <v>0.147612156295224</v>
      </c>
      <c r="BB92" s="503" t="n">
        <f aca="false">BB77/$BB$78</f>
        <v>0.146125461254613</v>
      </c>
      <c r="BC92" s="503" t="n">
        <f aca="false">BC77/$BC$78</f>
        <v>0.145861601085482</v>
      </c>
      <c r="BD92" s="503" t="n">
        <f aca="false">BD77/$BD$78</f>
        <v>0.146475017111567</v>
      </c>
      <c r="BE92" s="503" t="n">
        <f aca="false">BE77/$BE$78</f>
        <v>0.149564050972502</v>
      </c>
      <c r="BF92" s="503" t="n">
        <f aca="false">BF77/$BF$78</f>
        <v>0.144918444165621</v>
      </c>
      <c r="BG92" s="503" t="n">
        <f aca="false">BG77/$BG$78</f>
        <v>0.144790257104195</v>
      </c>
      <c r="BH92" s="503" t="n">
        <f aca="false">BH77/$BH$78</f>
        <v>0.146725440806045</v>
      </c>
      <c r="BI92" s="503" t="n">
        <f aca="false">BI77/$BI$78</f>
        <v>0.145922746781116</v>
      </c>
      <c r="BJ92" s="503" t="n">
        <f aca="false">BJ77/$BJ$78</f>
        <v>0.141216991963261</v>
      </c>
      <c r="BK92" s="503" t="n">
        <f aca="false">BK77/$BK$78</f>
        <v>0.139618138424821</v>
      </c>
      <c r="BL92" s="503" t="n">
        <f aca="false">BL77/$BL$78</f>
        <v>0.133400200601805</v>
      </c>
      <c r="BM92" s="503" t="n">
        <f aca="false">BM77/$BM$78</f>
        <v>0.130174563591022</v>
      </c>
      <c r="BN92" s="503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AMJ92" s="504"/>
    </row>
    <row r="93" s="1" customFormat="true" ht="14.15" hidden="false" customHeight="true" outlineLevel="0" collapsed="false">
      <c r="A93" s="5"/>
      <c r="B93" s="528" t="s">
        <v>292</v>
      </c>
      <c r="C93" s="528"/>
      <c r="D93" s="529" t="n">
        <v>80</v>
      </c>
      <c r="E93" s="530" t="n">
        <f aca="false">D93/100</f>
        <v>0.8</v>
      </c>
      <c r="F93" s="63"/>
      <c r="G93" s="531" t="s">
        <v>293</v>
      </c>
      <c r="H93" s="531"/>
      <c r="I93" s="5"/>
      <c r="J93" s="505"/>
      <c r="K93" s="319"/>
      <c r="L93" s="319"/>
      <c r="M93" s="319"/>
      <c r="N93" s="506" t="n">
        <f aca="false">N88+25</f>
        <v>35</v>
      </c>
      <c r="O93" s="507" t="n">
        <f aca="false">-1*N93</f>
        <v>-35</v>
      </c>
      <c r="P93" s="508" t="n">
        <f aca="false">VLOOKUP(N93,$B$215:$E$1316,4,1)</f>
        <v>5.37946860165468</v>
      </c>
      <c r="Q93" s="502"/>
      <c r="R93" s="502"/>
      <c r="S93" s="63"/>
      <c r="T93" s="8"/>
      <c r="U93" s="5"/>
      <c r="V93" s="10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8"/>
      <c r="AW93" s="5" t="s">
        <v>294</v>
      </c>
      <c r="AX93" s="503" t="n">
        <f aca="false">SUM(AX81:AX92)</f>
        <v>1</v>
      </c>
      <c r="AY93" s="503" t="n">
        <f aca="false">SUM(AY81:AY92)</f>
        <v>1</v>
      </c>
      <c r="AZ93" s="503" t="n">
        <f aca="false">SUM(AZ81:AZ92)</f>
        <v>1</v>
      </c>
      <c r="BA93" s="503" t="n">
        <f aca="false">SUM(BA81:BA92)</f>
        <v>1</v>
      </c>
      <c r="BB93" s="503" t="n">
        <f aca="false">SUM(BB81:BB92)</f>
        <v>1</v>
      </c>
      <c r="BC93" s="503" t="n">
        <f aca="false">SUM(BC81:BC92)</f>
        <v>1</v>
      </c>
      <c r="BD93" s="503" t="n">
        <f aca="false">SUM(BD81:BD92)</f>
        <v>1</v>
      </c>
      <c r="BE93" s="503" t="n">
        <f aca="false">SUM(BE81:BE92)</f>
        <v>1</v>
      </c>
      <c r="BF93" s="503" t="n">
        <f aca="false">SUM(BF81:BF92)</f>
        <v>1</v>
      </c>
      <c r="BG93" s="503" t="n">
        <f aca="false">SUM(BG81:BG92)</f>
        <v>1</v>
      </c>
      <c r="BH93" s="503" t="n">
        <f aca="false">SUM(BH81:BH92)</f>
        <v>1</v>
      </c>
      <c r="BI93" s="503" t="n">
        <f aca="false">SUM(BI81:BI92)</f>
        <v>1</v>
      </c>
      <c r="BJ93" s="503" t="n">
        <f aca="false">SUM(BJ81:BJ92)</f>
        <v>1</v>
      </c>
      <c r="BK93" s="503" t="n">
        <f aca="false">SUM(BK81:BK92)</f>
        <v>1</v>
      </c>
      <c r="BL93" s="503" t="n">
        <f aca="false">SUM(BL81:BL92)</f>
        <v>1</v>
      </c>
      <c r="BM93" s="503" t="n">
        <f aca="false">SUM(BM81:BM92)</f>
        <v>1</v>
      </c>
      <c r="BN93" s="503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AMJ93" s="504"/>
    </row>
    <row r="94" s="1" customFormat="true" ht="14.15" hidden="false" customHeight="true" outlineLevel="0" collapsed="false">
      <c r="A94" s="5"/>
      <c r="B94" s="528" t="s">
        <v>295</v>
      </c>
      <c r="C94" s="528"/>
      <c r="D94" s="529" t="n">
        <v>30</v>
      </c>
      <c r="E94" s="530" t="n">
        <f aca="false">D94/100</f>
        <v>0.3</v>
      </c>
      <c r="F94" s="63"/>
      <c r="G94" s="532" t="s">
        <v>296</v>
      </c>
      <c r="H94" s="532"/>
      <c r="I94" s="5"/>
      <c r="J94" s="505"/>
      <c r="K94" s="319"/>
      <c r="L94" s="319"/>
      <c r="M94" s="319"/>
      <c r="N94" s="506" t="n">
        <f aca="false">N89+25</f>
        <v>40</v>
      </c>
      <c r="O94" s="507" t="n">
        <f aca="false">-1*N94</f>
        <v>-40</v>
      </c>
      <c r="P94" s="508" t="n">
        <f aca="false">VLOOKUP(N94,$B$215:$E$1316,4,1)</f>
        <v>5.42946860165468</v>
      </c>
      <c r="Q94" s="502"/>
      <c r="R94" s="502"/>
      <c r="S94" s="63"/>
      <c r="T94" s="8"/>
      <c r="U94" s="5"/>
      <c r="V94" s="10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8"/>
      <c r="AW94" s="533" t="n">
        <v>1</v>
      </c>
      <c r="AX94" s="533" t="n">
        <v>2</v>
      </c>
      <c r="AY94" s="533" t="n">
        <v>3</v>
      </c>
      <c r="AZ94" s="533" t="n">
        <v>4</v>
      </c>
      <c r="BA94" s="533" t="n">
        <v>5</v>
      </c>
      <c r="BB94" s="533" t="n">
        <v>6</v>
      </c>
      <c r="BC94" s="533" t="n">
        <v>7</v>
      </c>
      <c r="BD94" s="533" t="n">
        <v>8</v>
      </c>
      <c r="BE94" s="533" t="n">
        <v>9</v>
      </c>
      <c r="BF94" s="533" t="n">
        <v>10</v>
      </c>
      <c r="BG94" s="533" t="n">
        <v>11</v>
      </c>
      <c r="BH94" s="533" t="n">
        <v>12</v>
      </c>
      <c r="BI94" s="533" t="n">
        <v>13</v>
      </c>
      <c r="BJ94" s="533" t="n">
        <v>14</v>
      </c>
      <c r="BK94" s="533" t="n">
        <v>15</v>
      </c>
      <c r="BL94" s="533" t="n">
        <v>16</v>
      </c>
      <c r="BM94" s="533" t="n">
        <v>17</v>
      </c>
      <c r="BN94" s="534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AMJ94" s="504"/>
    </row>
    <row r="95" s="1" customFormat="true" ht="14.15" hidden="false" customHeight="true" outlineLevel="0" collapsed="false">
      <c r="A95" s="5"/>
      <c r="B95" s="528" t="s">
        <v>297</v>
      </c>
      <c r="C95" s="528"/>
      <c r="D95" s="529" t="n">
        <v>15</v>
      </c>
      <c r="E95" s="530" t="str">
        <f aca="false">"3500+"&amp;D95&amp;" kWh/m2"</f>
        <v>3500+15 kWh/m2</v>
      </c>
      <c r="F95" s="63"/>
      <c r="G95" s="532" t="s">
        <v>298</v>
      </c>
      <c r="H95" s="532"/>
      <c r="I95" s="5"/>
      <c r="J95" s="505"/>
      <c r="K95" s="319"/>
      <c r="L95" s="319"/>
      <c r="M95" s="319"/>
      <c r="N95" s="506" t="n">
        <f aca="false">N90+25</f>
        <v>45</v>
      </c>
      <c r="O95" s="507" t="n">
        <f aca="false">-1*N95</f>
        <v>-45</v>
      </c>
      <c r="P95" s="508" t="n">
        <f aca="false">VLOOKUP(N95,$B$215:$E$1316,4,1)</f>
        <v>5.47946860165468</v>
      </c>
      <c r="Q95" s="502"/>
      <c r="R95" s="502"/>
      <c r="S95" s="63"/>
      <c r="T95" s="8"/>
      <c r="U95" s="5"/>
      <c r="V95" s="10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8"/>
      <c r="AW95" s="534"/>
      <c r="AX95" s="534"/>
      <c r="AY95" s="534"/>
      <c r="AZ95" s="534"/>
      <c r="BA95" s="534" t="s">
        <v>299</v>
      </c>
      <c r="BB95" s="534"/>
      <c r="BC95" s="534"/>
      <c r="BD95" s="534"/>
      <c r="BE95" s="534"/>
      <c r="BF95" s="534"/>
      <c r="BG95" s="534"/>
      <c r="BH95" s="534"/>
      <c r="BI95" s="534"/>
      <c r="BJ95" s="534"/>
      <c r="BK95" s="534"/>
      <c r="BL95" s="534"/>
      <c r="BM95" s="534"/>
      <c r="BN95" s="534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AMJ95" s="504"/>
    </row>
    <row r="96" s="1" customFormat="true" ht="14.15" hidden="false" customHeight="true" outlineLevel="0" collapsed="false">
      <c r="A96" s="5"/>
      <c r="B96" s="528" t="s">
        <v>300</v>
      </c>
      <c r="C96" s="528"/>
      <c r="D96" s="535" t="n">
        <v>4.5</v>
      </c>
      <c r="E96" s="536" t="n">
        <f aca="false">D96</f>
        <v>4.5</v>
      </c>
      <c r="F96" s="63"/>
      <c r="G96" s="537" t="s">
        <v>301</v>
      </c>
      <c r="H96" s="537"/>
      <c r="I96" s="5"/>
      <c r="J96" s="505"/>
      <c r="K96" s="319"/>
      <c r="L96" s="319"/>
      <c r="M96" s="319"/>
      <c r="N96" s="506" t="n">
        <f aca="false">N91+25</f>
        <v>50</v>
      </c>
      <c r="O96" s="507" t="n">
        <f aca="false">-1*N96</f>
        <v>-50</v>
      </c>
      <c r="P96" s="508" t="n">
        <f aca="false">VLOOKUP(N96,$B$215:$E$1316,4,1)</f>
        <v>5.52946860165468</v>
      </c>
      <c r="Q96" s="502"/>
      <c r="R96" s="502"/>
      <c r="S96" s="63"/>
      <c r="T96" s="8"/>
      <c r="U96" s="5"/>
      <c r="V96" s="10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38"/>
      <c r="AL96" s="539"/>
      <c r="AM96" s="538"/>
      <c r="AN96" s="538"/>
      <c r="AO96" s="540" t="s">
        <v>302</v>
      </c>
      <c r="AP96" s="538"/>
      <c r="AQ96" s="538"/>
      <c r="AR96" s="538"/>
      <c r="AS96" s="541"/>
      <c r="AT96" s="541"/>
      <c r="AU96" s="541" t="s">
        <v>303</v>
      </c>
      <c r="AV96" s="542"/>
      <c r="AW96" s="541" t="s">
        <v>253</v>
      </c>
      <c r="AX96" s="543" t="s">
        <v>148</v>
      </c>
      <c r="AY96" s="543" t="s">
        <v>222</v>
      </c>
      <c r="AZ96" s="543" t="s">
        <v>252</v>
      </c>
      <c r="BA96" s="543" t="s">
        <v>304</v>
      </c>
      <c r="BB96" s="543" t="s">
        <v>305</v>
      </c>
      <c r="BC96" s="541"/>
      <c r="BD96" s="541"/>
      <c r="BE96" s="541" t="s">
        <v>147</v>
      </c>
      <c r="BF96" s="542" t="s">
        <v>150</v>
      </c>
      <c r="BG96" s="543" t="s">
        <v>306</v>
      </c>
      <c r="BH96" s="541"/>
      <c r="BI96" s="542"/>
      <c r="BJ96" s="541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AMJ96" s="504"/>
    </row>
    <row r="97" s="1" customFormat="true" ht="14.15" hidden="false" customHeight="true" outlineLevel="0" collapsed="false">
      <c r="A97" s="5"/>
      <c r="B97" s="528" t="s">
        <v>307</v>
      </c>
      <c r="C97" s="528"/>
      <c r="D97" s="535" t="n">
        <v>3.3</v>
      </c>
      <c r="E97" s="536" t="n">
        <f aca="false">D97</f>
        <v>3.3</v>
      </c>
      <c r="F97" s="8"/>
      <c r="G97" s="5"/>
      <c r="H97" s="5"/>
      <c r="I97" s="5"/>
      <c r="J97" s="505"/>
      <c r="K97" s="319"/>
      <c r="L97" s="319"/>
      <c r="M97" s="319"/>
      <c r="N97" s="506" t="n">
        <f aca="false">N92+25</f>
        <v>55</v>
      </c>
      <c r="O97" s="507" t="n">
        <f aca="false">-1*N97</f>
        <v>-55</v>
      </c>
      <c r="P97" s="508" t="n">
        <f aca="false">VLOOKUP(N97,$B$215:$E$1316,4,1)</f>
        <v>5.57946860165468</v>
      </c>
      <c r="Q97" s="502"/>
      <c r="R97" s="502"/>
      <c r="S97" s="63"/>
      <c r="T97" s="8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319" t="s">
        <v>308</v>
      </c>
      <c r="AL97" s="544" t="n">
        <v>0.8</v>
      </c>
      <c r="AM97" s="319" t="s">
        <v>308</v>
      </c>
      <c r="AN97" s="319" t="s">
        <v>309</v>
      </c>
      <c r="AO97" s="319" t="n">
        <v>4600</v>
      </c>
      <c r="AP97" s="299" t="s">
        <v>310</v>
      </c>
      <c r="AQ97" s="299"/>
      <c r="AR97" s="299"/>
      <c r="AS97" s="5"/>
      <c r="AT97" s="5"/>
      <c r="AU97" s="5"/>
      <c r="AV97" s="8"/>
      <c r="AW97" s="10" t="s">
        <v>158</v>
      </c>
      <c r="AX97" s="5" t="n">
        <v>4</v>
      </c>
      <c r="AY97" s="545" t="n">
        <v>-26</v>
      </c>
      <c r="AZ97" s="5" t="n">
        <v>5</v>
      </c>
      <c r="BA97" s="5" t="n">
        <v>1</v>
      </c>
      <c r="BB97" s="378" t="n">
        <v>6.5</v>
      </c>
      <c r="BC97" s="5"/>
      <c r="BD97" s="5"/>
      <c r="BE97" s="5" t="s">
        <v>311</v>
      </c>
      <c r="BF97" s="8" t="n">
        <v>592</v>
      </c>
      <c r="BG97" s="545" t="n">
        <v>24</v>
      </c>
      <c r="BH97" s="546" t="n">
        <f aca="false">BF97/24</f>
        <v>24.6666666666667</v>
      </c>
      <c r="BI97" s="8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AMJ97" s="504"/>
    </row>
    <row r="98" s="1" customFormat="true" ht="14.15" hidden="false" customHeight="true" outlineLevel="0" collapsed="false">
      <c r="A98" s="5"/>
      <c r="B98" s="528" t="s">
        <v>312</v>
      </c>
      <c r="C98" s="528"/>
      <c r="D98" s="535" t="n">
        <v>21</v>
      </c>
      <c r="E98" s="547" t="n">
        <f aca="false">D98</f>
        <v>21</v>
      </c>
      <c r="F98" s="522"/>
      <c r="G98" s="522"/>
      <c r="H98" s="299"/>
      <c r="I98" s="5"/>
      <c r="J98" s="505"/>
      <c r="K98" s="319"/>
      <c r="L98" s="319"/>
      <c r="M98" s="319"/>
      <c r="N98" s="506" t="n">
        <f aca="false">N93+25</f>
        <v>60</v>
      </c>
      <c r="O98" s="507" t="n">
        <f aca="false">-1*N98</f>
        <v>-60</v>
      </c>
      <c r="P98" s="508" t="n">
        <f aca="false">VLOOKUP(N98,$B$215:$E$1316,4,1)</f>
        <v>5.62946860165468</v>
      </c>
      <c r="Q98" s="502"/>
      <c r="R98" s="502"/>
      <c r="S98" s="63"/>
      <c r="T98" s="8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319" t="s">
        <v>309</v>
      </c>
      <c r="AL98" s="544" t="n">
        <v>0.75</v>
      </c>
      <c r="AM98" s="319" t="s">
        <v>309</v>
      </c>
      <c r="AN98" s="319" t="s">
        <v>309</v>
      </c>
      <c r="AO98" s="319" t="n">
        <v>200</v>
      </c>
      <c r="AP98" s="299" t="s">
        <v>313</v>
      </c>
      <c r="AQ98" s="299"/>
      <c r="AR98" s="299"/>
      <c r="AS98" s="5"/>
      <c r="AT98" s="5"/>
      <c r="AU98" s="5"/>
      <c r="AV98" s="8"/>
      <c r="AW98" s="10" t="s">
        <v>171</v>
      </c>
      <c r="AX98" s="5" t="n">
        <v>17</v>
      </c>
      <c r="AY98" s="545" t="n">
        <v>-38</v>
      </c>
      <c r="AZ98" s="5" t="n">
        <v>0</v>
      </c>
      <c r="BA98" s="5" t="n">
        <v>-5</v>
      </c>
      <c r="BB98" s="378" t="n">
        <v>0.3</v>
      </c>
      <c r="BC98" s="5"/>
      <c r="BD98" s="5"/>
      <c r="BE98" s="5" t="s">
        <v>158</v>
      </c>
      <c r="BF98" s="8" t="n">
        <v>647</v>
      </c>
      <c r="BG98" s="545" t="n">
        <v>25</v>
      </c>
      <c r="BH98" s="546" t="n">
        <f aca="false">BF98/24</f>
        <v>26.9583333333333</v>
      </c>
      <c r="BI98" s="8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AMJ98" s="504"/>
    </row>
    <row r="99" s="1" customFormat="true" ht="14.15" hidden="false" customHeight="true" outlineLevel="0" collapsed="false">
      <c r="A99" s="5"/>
      <c r="B99" s="528" t="s">
        <v>314</v>
      </c>
      <c r="C99" s="528"/>
      <c r="D99" s="535" t="s">
        <v>315</v>
      </c>
      <c r="E99" s="547" t="str">
        <f aca="false">D99&amp;" "&amp;E100&amp;" C"</f>
        <v>VIRALLINEN -32 C</v>
      </c>
      <c r="F99" s="522"/>
      <c r="G99" s="522"/>
      <c r="H99" s="299"/>
      <c r="I99" s="5"/>
      <c r="J99" s="505"/>
      <c r="K99" s="319"/>
      <c r="L99" s="319"/>
      <c r="M99" s="319"/>
      <c r="N99" s="506" t="n">
        <f aca="false">N94+25</f>
        <v>65</v>
      </c>
      <c r="O99" s="507" t="n">
        <f aca="false">-1*N99</f>
        <v>-65</v>
      </c>
      <c r="P99" s="508" t="n">
        <f aca="false">VLOOKUP(N99,$B$215:$E$1316,4,1)</f>
        <v>5.67946860165468</v>
      </c>
      <c r="Q99" s="502"/>
      <c r="R99" s="502"/>
      <c r="S99" s="63"/>
      <c r="T99" s="8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319" t="s">
        <v>316</v>
      </c>
      <c r="AL99" s="544" t="n">
        <v>1.15</v>
      </c>
      <c r="AM99" s="319" t="s">
        <v>316</v>
      </c>
      <c r="AN99" s="319" t="str">
        <f aca="false">AM99</f>
        <v>MOREENI</v>
      </c>
      <c r="AO99" s="319" t="n">
        <v>4000</v>
      </c>
      <c r="AP99" s="299" t="s">
        <v>317</v>
      </c>
      <c r="AQ99" s="299"/>
      <c r="AR99" s="299"/>
      <c r="AS99" s="5"/>
      <c r="AT99" s="5"/>
      <c r="AU99" s="5" t="s">
        <v>174</v>
      </c>
      <c r="AV99" s="8" t="n">
        <v>1</v>
      </c>
      <c r="AW99" s="10" t="s">
        <v>167</v>
      </c>
      <c r="AX99" s="5" t="n">
        <v>13</v>
      </c>
      <c r="AY99" s="545" t="n">
        <v>-32</v>
      </c>
      <c r="AZ99" s="5" t="n">
        <v>2</v>
      </c>
      <c r="BA99" s="5" t="n">
        <v>-1</v>
      </c>
      <c r="BB99" s="378" t="n">
        <v>3.5</v>
      </c>
      <c r="BC99" s="5"/>
      <c r="BD99" s="5"/>
      <c r="BE99" s="5" t="s">
        <v>160</v>
      </c>
      <c r="BF99" s="8" t="n">
        <v>663</v>
      </c>
      <c r="BG99" s="545" t="n">
        <v>25</v>
      </c>
      <c r="BH99" s="546" t="n">
        <f aca="false">BF99/24</f>
        <v>27.625</v>
      </c>
      <c r="BI99" s="8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AMJ99" s="504"/>
    </row>
    <row r="100" s="1" customFormat="true" ht="14.15" hidden="false" customHeight="true" outlineLevel="0" collapsed="false">
      <c r="A100" s="5"/>
      <c r="B100" s="528" t="s">
        <v>318</v>
      </c>
      <c r="C100" s="528"/>
      <c r="D100" s="548" t="n">
        <f aca="false">AT65</f>
        <v>-32</v>
      </c>
      <c r="E100" s="549" t="n">
        <f aca="false">IF(D99="LASKETTU",D101,D100)</f>
        <v>-32</v>
      </c>
      <c r="F100" s="522"/>
      <c r="G100" s="522"/>
      <c r="H100" s="299"/>
      <c r="I100" s="5"/>
      <c r="J100" s="505"/>
      <c r="K100" s="319"/>
      <c r="L100" s="319"/>
      <c r="M100" s="319"/>
      <c r="N100" s="506" t="n">
        <f aca="false">N95+25</f>
        <v>70</v>
      </c>
      <c r="O100" s="507" t="n">
        <f aca="false">-1*N100</f>
        <v>-70</v>
      </c>
      <c r="P100" s="508" t="n">
        <f aca="false">VLOOKUP(N100,$B$215:$E$1316,4,1)</f>
        <v>5.72946860165468</v>
      </c>
      <c r="Q100" s="502"/>
      <c r="R100" s="502"/>
      <c r="S100" s="63"/>
      <c r="T100" s="8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319" t="s">
        <v>134</v>
      </c>
      <c r="AL100" s="544" t="n">
        <v>1.05</v>
      </c>
      <c r="AM100" s="319" t="s">
        <v>134</v>
      </c>
      <c r="AN100" s="319" t="str">
        <f aca="false">AM100</f>
        <v>SAVI</v>
      </c>
      <c r="AO100" s="319" t="n">
        <v>3200</v>
      </c>
      <c r="AP100" s="299" t="s">
        <v>319</v>
      </c>
      <c r="AQ100" s="299"/>
      <c r="AR100" s="299"/>
      <c r="AS100" s="5"/>
      <c r="AT100" s="5"/>
      <c r="AU100" s="5" t="s">
        <v>180</v>
      </c>
      <c r="AV100" s="8" t="n">
        <v>2</v>
      </c>
      <c r="AW100" s="10" t="s">
        <v>164</v>
      </c>
      <c r="AX100" s="5" t="n">
        <v>10</v>
      </c>
      <c r="AY100" s="545" t="n">
        <v>-32</v>
      </c>
      <c r="AZ100" s="5" t="n">
        <v>2</v>
      </c>
      <c r="BA100" s="5" t="n">
        <v>-1</v>
      </c>
      <c r="BB100" s="378" t="n">
        <v>3.7</v>
      </c>
      <c r="BC100" s="5"/>
      <c r="BD100" s="5"/>
      <c r="BE100" s="5" t="s">
        <v>159</v>
      </c>
      <c r="BF100" s="8" t="n">
        <v>677</v>
      </c>
      <c r="BG100" s="545" t="n">
        <v>26</v>
      </c>
      <c r="BH100" s="546" t="n">
        <f aca="false">BF100/24</f>
        <v>28.2083333333333</v>
      </c>
      <c r="BI100" s="8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AMJ100" s="504"/>
    </row>
    <row r="101" s="1" customFormat="true" ht="14.15" hidden="false" customHeight="true" outlineLevel="0" collapsed="false">
      <c r="A101" s="5"/>
      <c r="B101" s="528" t="s">
        <v>320</v>
      </c>
      <c r="C101" s="528"/>
      <c r="D101" s="548" t="n">
        <f aca="false">ROUND(-G57/25)</f>
        <v>-31</v>
      </c>
      <c r="E101" s="8"/>
      <c r="F101" s="522" t="s">
        <v>68</v>
      </c>
      <c r="G101" s="522"/>
      <c r="H101" s="299"/>
      <c r="I101" s="5"/>
      <c r="J101" s="8"/>
      <c r="K101" s="8"/>
      <c r="L101" s="5"/>
      <c r="M101" s="8"/>
      <c r="N101" s="506" t="n">
        <f aca="false">N96+25</f>
        <v>75</v>
      </c>
      <c r="O101" s="507" t="n">
        <f aca="false">-1*N101</f>
        <v>-75</v>
      </c>
      <c r="P101" s="508" t="n">
        <f aca="false">VLOOKUP(N101,$B$215:$E$1316,4,1)</f>
        <v>5.77946860165467</v>
      </c>
      <c r="Q101" s="502"/>
      <c r="R101" s="502"/>
      <c r="S101" s="63"/>
      <c r="T101" s="8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319" t="s">
        <v>321</v>
      </c>
      <c r="AL101" s="544" t="n">
        <v>1.3</v>
      </c>
      <c r="AM101" s="319" t="s">
        <v>321</v>
      </c>
      <c r="AN101" s="319" t="s">
        <v>321</v>
      </c>
      <c r="AO101" s="299"/>
      <c r="AP101" s="299"/>
      <c r="AQ101" s="299"/>
      <c r="AR101" s="299"/>
      <c r="AS101" s="5"/>
      <c r="AT101" s="5"/>
      <c r="AU101" s="5" t="s">
        <v>185</v>
      </c>
      <c r="AV101" s="8" t="n">
        <v>3</v>
      </c>
      <c r="AW101" s="10" t="s">
        <v>168</v>
      </c>
      <c r="AX101" s="5" t="n">
        <v>14</v>
      </c>
      <c r="AY101" s="545" t="n">
        <v>-32</v>
      </c>
      <c r="AZ101" s="5" t="n">
        <v>2</v>
      </c>
      <c r="BA101" s="5" t="n">
        <v>-1</v>
      </c>
      <c r="BB101" s="378" t="n">
        <v>2.5</v>
      </c>
      <c r="BC101" s="5"/>
      <c r="BD101" s="5"/>
      <c r="BE101" s="5" t="s">
        <v>157</v>
      </c>
      <c r="BF101" s="8" t="n">
        <v>682</v>
      </c>
      <c r="BG101" s="545" t="n">
        <v>26</v>
      </c>
      <c r="BH101" s="546" t="n">
        <f aca="false">BF101/24</f>
        <v>28.4166666666667</v>
      </c>
      <c r="BI101" s="8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AMJ101" s="504"/>
    </row>
    <row r="102" s="1" customFormat="true" ht="14.15" hidden="false" customHeight="true" outlineLevel="0" collapsed="false">
      <c r="A102" s="5"/>
      <c r="B102" s="63"/>
      <c r="C102" s="63"/>
      <c r="D102" s="63"/>
      <c r="E102" s="63"/>
      <c r="F102" s="63"/>
      <c r="G102" s="63"/>
      <c r="H102" s="299"/>
      <c r="I102" s="5"/>
      <c r="J102" s="8"/>
      <c r="K102" s="8"/>
      <c r="L102" s="5"/>
      <c r="M102" s="8"/>
      <c r="N102" s="506" t="n">
        <f aca="false">N97+25</f>
        <v>80</v>
      </c>
      <c r="O102" s="507" t="n">
        <f aca="false">-1*N102</f>
        <v>-80</v>
      </c>
      <c r="P102" s="508" t="n">
        <f aca="false">VLOOKUP(N102,$B$215:$E$1316,4,1)</f>
        <v>5.82946860165467</v>
      </c>
      <c r="Q102" s="502"/>
      <c r="R102" s="502"/>
      <c r="S102" s="63"/>
      <c r="T102" s="8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319"/>
      <c r="AL102" s="550"/>
      <c r="AM102" s="319"/>
      <c r="AN102" s="319"/>
      <c r="AO102" s="299"/>
      <c r="AP102" s="299"/>
      <c r="AQ102" s="299"/>
      <c r="AR102" s="299"/>
      <c r="AS102" s="5"/>
      <c r="AT102" s="5"/>
      <c r="AU102" s="5" t="s">
        <v>190</v>
      </c>
      <c r="AV102" s="8" t="n">
        <v>4</v>
      </c>
      <c r="AW102" s="10" t="s">
        <v>166</v>
      </c>
      <c r="AX102" s="5" t="n">
        <v>12</v>
      </c>
      <c r="AY102" s="545" t="n">
        <v>-32</v>
      </c>
      <c r="AZ102" s="5" t="n">
        <v>2</v>
      </c>
      <c r="BA102" s="5" t="n">
        <v>-1</v>
      </c>
      <c r="BB102" s="378" t="n">
        <v>3.9</v>
      </c>
      <c r="BC102" s="5"/>
      <c r="BD102" s="5"/>
      <c r="BE102" s="5" t="s">
        <v>165</v>
      </c>
      <c r="BF102" s="8" t="n">
        <v>719</v>
      </c>
      <c r="BG102" s="545" t="n">
        <v>27</v>
      </c>
      <c r="BH102" s="546" t="n">
        <f aca="false">BF102/24</f>
        <v>29.9583333333333</v>
      </c>
      <c r="BI102" s="8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AMJ102" s="504"/>
    </row>
    <row r="103" s="1" customFormat="true" ht="15.6" hidden="false" customHeight="true" outlineLevel="0" collapsed="false">
      <c r="A103" s="5"/>
      <c r="B103" s="248" t="s">
        <v>322</v>
      </c>
      <c r="C103" s="248"/>
      <c r="D103" s="248"/>
      <c r="E103" s="248"/>
      <c r="F103" s="248" t="s">
        <v>323</v>
      </c>
      <c r="G103" s="248"/>
      <c r="H103" s="502"/>
      <c r="I103" s="299"/>
      <c r="J103" s="8"/>
      <c r="K103" s="8"/>
      <c r="L103" s="5"/>
      <c r="M103" s="8"/>
      <c r="N103" s="506" t="n">
        <f aca="false">N98+25</f>
        <v>85</v>
      </c>
      <c r="O103" s="507" t="n">
        <f aca="false">-1*N103</f>
        <v>-85</v>
      </c>
      <c r="P103" s="508" t="n">
        <f aca="false">VLOOKUP(N103,$B$215:$E$1316,4,1)</f>
        <v>5.87946860165467</v>
      </c>
      <c r="Q103" s="506"/>
      <c r="R103" s="8"/>
      <c r="S103" s="8"/>
      <c r="T103" s="8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299"/>
      <c r="AL103" s="299"/>
      <c r="AM103" s="319" t="n">
        <v>0</v>
      </c>
      <c r="AN103" s="551" t="s">
        <v>324</v>
      </c>
      <c r="AO103" s="551"/>
      <c r="AP103" s="551"/>
      <c r="AQ103" s="299"/>
      <c r="AR103" s="299"/>
      <c r="AS103" s="5"/>
      <c r="AT103" s="5"/>
      <c r="AU103" s="5" t="s">
        <v>194</v>
      </c>
      <c r="AV103" s="8" t="n">
        <v>5</v>
      </c>
      <c r="AW103" s="10" t="s">
        <v>162</v>
      </c>
      <c r="AX103" s="5" t="n">
        <v>8</v>
      </c>
      <c r="AY103" s="545" t="n">
        <v>-29</v>
      </c>
      <c r="AZ103" s="5" t="n">
        <v>4</v>
      </c>
      <c r="BA103" s="5" t="n">
        <v>0</v>
      </c>
      <c r="BB103" s="378" t="n">
        <v>4.9</v>
      </c>
      <c r="BC103" s="5"/>
      <c r="BD103" s="5"/>
      <c r="BE103" s="5" t="s">
        <v>161</v>
      </c>
      <c r="BF103" s="8" t="n">
        <v>724</v>
      </c>
      <c r="BG103" s="545" t="n">
        <v>28</v>
      </c>
      <c r="BH103" s="546" t="n">
        <f aca="false">BF103/24</f>
        <v>30.1666666666667</v>
      </c>
      <c r="BI103" s="8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AMJ103" s="504"/>
    </row>
    <row r="104" s="1" customFormat="true" ht="15.6" hidden="false" customHeight="true" outlineLevel="0" collapsed="false">
      <c r="A104" s="5"/>
      <c r="B104" s="528" t="s">
        <v>325</v>
      </c>
      <c r="C104" s="528"/>
      <c r="D104" s="552" t="n">
        <v>10</v>
      </c>
      <c r="E104" s="553" t="n">
        <f aca="false">IF(D104&gt;120,120,D104)</f>
        <v>10</v>
      </c>
      <c r="F104" s="355" t="s">
        <v>326</v>
      </c>
      <c r="G104" s="355" t="s">
        <v>327</v>
      </c>
      <c r="H104" s="502"/>
      <c r="I104" s="299"/>
      <c r="J104" s="5"/>
      <c r="K104" s="8"/>
      <c r="L104" s="5"/>
      <c r="M104" s="8"/>
      <c r="N104" s="506" t="n">
        <f aca="false">N99+25</f>
        <v>90</v>
      </c>
      <c r="O104" s="507" t="n">
        <f aca="false">-1*N104</f>
        <v>-90</v>
      </c>
      <c r="P104" s="508" t="n">
        <f aca="false">VLOOKUP(N104,$B$215:$E$1316,4,1)</f>
        <v>5.92946860165467</v>
      </c>
      <c r="Q104" s="506"/>
      <c r="R104" s="8"/>
      <c r="S104" s="8"/>
      <c r="T104" s="8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299"/>
      <c r="AL104" s="299"/>
      <c r="AM104" s="319" t="n">
        <v>1</v>
      </c>
      <c r="AN104" s="551" t="s">
        <v>328</v>
      </c>
      <c r="AO104" s="551"/>
      <c r="AP104" s="551"/>
      <c r="AQ104" s="299"/>
      <c r="AR104" s="299"/>
      <c r="AS104" s="5"/>
      <c r="AT104" s="541"/>
      <c r="AU104" s="541" t="s">
        <v>197</v>
      </c>
      <c r="AV104" s="542" t="n">
        <v>6</v>
      </c>
      <c r="AW104" s="554" t="s">
        <v>163</v>
      </c>
      <c r="AX104" s="541" t="n">
        <v>9</v>
      </c>
      <c r="AY104" s="543" t="n">
        <v>-29</v>
      </c>
      <c r="AZ104" s="541" t="n">
        <v>4</v>
      </c>
      <c r="BA104" s="541" t="n">
        <v>0</v>
      </c>
      <c r="BB104" s="555" t="n">
        <v>4.7</v>
      </c>
      <c r="BC104" s="541"/>
      <c r="BD104" s="5"/>
      <c r="BE104" s="5" t="s">
        <v>162</v>
      </c>
      <c r="BF104" s="8" t="n">
        <v>726</v>
      </c>
      <c r="BG104" s="545" t="n">
        <v>28</v>
      </c>
      <c r="BH104" s="546" t="n">
        <f aca="false">BF104/24</f>
        <v>30.25</v>
      </c>
      <c r="BI104" s="8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AMJ104" s="504"/>
    </row>
    <row r="105" s="1" customFormat="true" ht="15.6" hidden="false" customHeight="true" outlineLevel="0" collapsed="false">
      <c r="A105" s="5"/>
      <c r="B105" s="528" t="s">
        <v>329</v>
      </c>
      <c r="C105" s="528"/>
      <c r="D105" s="556" t="n">
        <v>1.5</v>
      </c>
      <c r="E105" s="557" t="n">
        <f aca="false">D105</f>
        <v>1.5</v>
      </c>
      <c r="F105" s="558" t="n">
        <f aca="false">G51</f>
        <v>19027.6060606061</v>
      </c>
      <c r="G105" s="559" t="n">
        <f aca="false">F205</f>
        <v>203</v>
      </c>
      <c r="H105" s="502"/>
      <c r="I105" s="299"/>
      <c r="J105" s="299"/>
      <c r="K105" s="319"/>
      <c r="L105" s="299"/>
      <c r="M105" s="319"/>
      <c r="N105" s="506" t="n">
        <f aca="false">N100+25</f>
        <v>95</v>
      </c>
      <c r="O105" s="507" t="n">
        <f aca="false">-1*N105</f>
        <v>-95</v>
      </c>
      <c r="P105" s="508" t="n">
        <f aca="false">VLOOKUP(N105,$B$215:$E$1316,4,1)</f>
        <v>5.97946860165467</v>
      </c>
      <c r="Q105" s="506"/>
      <c r="R105" s="319"/>
      <c r="S105" s="319"/>
      <c r="T105" s="319"/>
      <c r="U105" s="299"/>
      <c r="V105" s="299"/>
      <c r="W105" s="299"/>
      <c r="X105" s="299"/>
      <c r="Y105" s="299"/>
      <c r="Z105" s="299"/>
      <c r="AA105" s="299"/>
      <c r="AB105" s="5"/>
      <c r="AC105" s="5"/>
      <c r="AD105" s="5"/>
      <c r="AE105" s="5"/>
      <c r="AF105" s="5"/>
      <c r="AG105" s="5"/>
      <c r="AH105" s="5"/>
      <c r="AI105" s="5"/>
      <c r="AJ105" s="5"/>
      <c r="AK105" s="299"/>
      <c r="AL105" s="299"/>
      <c r="AM105" s="319"/>
      <c r="AN105" s="299"/>
      <c r="AO105" s="357"/>
      <c r="AP105" s="348"/>
      <c r="AQ105" s="551"/>
      <c r="AR105" s="551"/>
      <c r="AS105" s="5"/>
      <c r="AT105" s="5"/>
      <c r="AU105" s="5" t="s">
        <v>200</v>
      </c>
      <c r="AV105" s="8" t="n">
        <v>7</v>
      </c>
      <c r="AW105" s="10" t="s">
        <v>156</v>
      </c>
      <c r="AX105" s="5" t="n">
        <v>2</v>
      </c>
      <c r="AY105" s="545" t="n">
        <v>-26</v>
      </c>
      <c r="AZ105" s="5" t="n">
        <v>5</v>
      </c>
      <c r="BA105" s="5" t="n">
        <v>1</v>
      </c>
      <c r="BB105" s="378" t="n">
        <v>6.2</v>
      </c>
      <c r="BC105" s="5"/>
      <c r="BD105" s="5"/>
      <c r="BE105" s="5" t="s">
        <v>330</v>
      </c>
      <c r="BF105" s="8" t="n">
        <v>759</v>
      </c>
      <c r="BG105" s="545" t="n">
        <v>29</v>
      </c>
      <c r="BH105" s="546" t="n">
        <f aca="false">BF105/24</f>
        <v>31.625</v>
      </c>
      <c r="BI105" s="8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AMJ105" s="504"/>
    </row>
    <row r="106" s="1" customFormat="true" ht="15.6" hidden="false" customHeight="true" outlineLevel="0" collapsed="false">
      <c r="A106" s="5"/>
      <c r="B106" s="198" t="s">
        <v>331</v>
      </c>
      <c r="C106" s="198"/>
      <c r="D106" s="560" t="n">
        <v>3</v>
      </c>
      <c r="E106" s="561" t="n">
        <f aca="false">D106</f>
        <v>3</v>
      </c>
      <c r="F106" s="248" t="s">
        <v>332</v>
      </c>
      <c r="G106" s="248"/>
      <c r="H106" s="248"/>
      <c r="I106" s="299"/>
      <c r="J106" s="299"/>
      <c r="K106" s="319"/>
      <c r="L106" s="299"/>
      <c r="M106" s="319"/>
      <c r="N106" s="506" t="n">
        <f aca="false">N101+25</f>
        <v>100</v>
      </c>
      <c r="O106" s="507" t="n">
        <f aca="false">-1*N106</f>
        <v>-100</v>
      </c>
      <c r="P106" s="508" t="n">
        <f aca="false">VLOOKUP(N106,$B$215:$E$1316,4,1)</f>
        <v>6.02946860165467</v>
      </c>
      <c r="Q106" s="506"/>
      <c r="R106" s="319"/>
      <c r="S106" s="319"/>
      <c r="T106" s="319"/>
      <c r="U106" s="299"/>
      <c r="V106" s="299"/>
      <c r="W106" s="299"/>
      <c r="X106" s="299"/>
      <c r="Y106" s="299"/>
      <c r="Z106" s="299"/>
      <c r="AA106" s="299"/>
      <c r="AB106" s="5"/>
      <c r="AC106" s="5"/>
      <c r="AD106" s="5"/>
      <c r="AE106" s="5"/>
      <c r="AF106" s="5"/>
      <c r="AG106" s="299"/>
      <c r="AH106" s="299"/>
      <c r="AI106" s="299"/>
      <c r="AJ106" s="299"/>
      <c r="AK106" s="319" t="s">
        <v>308</v>
      </c>
      <c r="AL106" s="550" t="n">
        <v>2.3</v>
      </c>
      <c r="AM106" s="319" t="s">
        <v>308</v>
      </c>
      <c r="AN106" s="319" t="s">
        <v>333</v>
      </c>
      <c r="AO106" s="357"/>
      <c r="AP106" s="348"/>
      <c r="AQ106" s="551"/>
      <c r="AR106" s="551"/>
      <c r="AS106" s="5"/>
      <c r="AT106" s="5"/>
      <c r="AU106" s="5" t="s">
        <v>203</v>
      </c>
      <c r="AV106" s="8" t="n">
        <v>8</v>
      </c>
      <c r="AW106" s="10" t="s">
        <v>169</v>
      </c>
      <c r="AX106" s="5" t="n">
        <v>15</v>
      </c>
      <c r="AY106" s="545" t="n">
        <v>-32</v>
      </c>
      <c r="AZ106" s="5" t="n">
        <v>2</v>
      </c>
      <c r="BA106" s="5" t="n">
        <v>-1</v>
      </c>
      <c r="BB106" s="378" t="n">
        <v>3</v>
      </c>
      <c r="BC106" s="5"/>
      <c r="BD106" s="5"/>
      <c r="BE106" s="541" t="s">
        <v>164</v>
      </c>
      <c r="BF106" s="542" t="n">
        <v>785</v>
      </c>
      <c r="BG106" s="543" t="n">
        <v>30</v>
      </c>
      <c r="BH106" s="562" t="n">
        <f aca="false">BF106/24</f>
        <v>32.7083333333333</v>
      </c>
      <c r="BI106" s="542"/>
      <c r="BJ106" s="541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AMJ106" s="504"/>
    </row>
    <row r="107" s="1" customFormat="true" ht="15.6" hidden="false" customHeight="true" outlineLevel="0" collapsed="false">
      <c r="A107" s="5"/>
      <c r="B107" s="563" t="s">
        <v>334</v>
      </c>
      <c r="C107" s="563"/>
      <c r="D107" s="564" t="s">
        <v>335</v>
      </c>
      <c r="E107" s="557" t="str">
        <f aca="false">D107</f>
        <v>AUTO</v>
      </c>
      <c r="F107" s="565" t="s">
        <v>336</v>
      </c>
      <c r="G107" s="565" t="s">
        <v>337</v>
      </c>
      <c r="H107" s="565" t="s">
        <v>335</v>
      </c>
      <c r="I107" s="299"/>
      <c r="J107" s="299"/>
      <c r="K107" s="319"/>
      <c r="L107" s="299"/>
      <c r="M107" s="319"/>
      <c r="N107" s="319" t="s">
        <v>338</v>
      </c>
      <c r="O107" s="319"/>
      <c r="P107" s="319" t="s">
        <v>338</v>
      </c>
      <c r="Q107" s="506"/>
      <c r="R107" s="319"/>
      <c r="S107" s="319"/>
      <c r="T107" s="319"/>
      <c r="U107" s="299"/>
      <c r="V107" s="299"/>
      <c r="W107" s="299"/>
      <c r="X107" s="299"/>
      <c r="Y107" s="299"/>
      <c r="Z107" s="299"/>
      <c r="AA107" s="299"/>
      <c r="AB107" s="5"/>
      <c r="AC107" s="5"/>
      <c r="AD107" s="5"/>
      <c r="AE107" s="5"/>
      <c r="AF107" s="5"/>
      <c r="AG107" s="299"/>
      <c r="AH107" s="299"/>
      <c r="AI107" s="299"/>
      <c r="AJ107" s="299"/>
      <c r="AK107" s="319" t="s">
        <v>137</v>
      </c>
      <c r="AL107" s="550" t="n">
        <v>2.8</v>
      </c>
      <c r="AM107" s="319" t="s">
        <v>137</v>
      </c>
      <c r="AN107" s="319" t="str">
        <f aca="false">AM107</f>
        <v>KOSTEA</v>
      </c>
      <c r="AO107" s="357"/>
      <c r="AP107" s="348"/>
      <c r="AQ107" s="551"/>
      <c r="AR107" s="551"/>
      <c r="AS107" s="5"/>
      <c r="AT107" s="5"/>
      <c r="AU107" s="5" t="s">
        <v>205</v>
      </c>
      <c r="AV107" s="8" t="n">
        <v>9</v>
      </c>
      <c r="AW107" s="10" t="s">
        <v>159</v>
      </c>
      <c r="AX107" s="5" t="n">
        <v>5</v>
      </c>
      <c r="AY107" s="545" t="n">
        <v>-26</v>
      </c>
      <c r="AZ107" s="5" t="n">
        <v>5</v>
      </c>
      <c r="BA107" s="5" t="n">
        <v>1</v>
      </c>
      <c r="BB107" s="378" t="n">
        <v>5.5</v>
      </c>
      <c r="BC107" s="5"/>
      <c r="BD107" s="5"/>
      <c r="BE107" s="5" t="s">
        <v>166</v>
      </c>
      <c r="BF107" s="8" t="n">
        <v>812</v>
      </c>
      <c r="BG107" s="545" t="n">
        <v>30</v>
      </c>
      <c r="BH107" s="546" t="n">
        <f aca="false">BF107/24</f>
        <v>33.8333333333333</v>
      </c>
      <c r="BI107" s="8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AMJ107" s="504"/>
    </row>
    <row r="108" s="1" customFormat="true" ht="15.6" hidden="false" customHeight="true" outlineLevel="0" collapsed="false">
      <c r="A108" s="5"/>
      <c r="B108" s="563"/>
      <c r="C108" s="563"/>
      <c r="D108" s="566" t="n">
        <v>5</v>
      </c>
      <c r="E108" s="567" t="n">
        <f aca="false">IF(D107="AUTO",H108,D108)</f>
        <v>5.22946860165469</v>
      </c>
      <c r="F108" s="568" t="n">
        <v>0</v>
      </c>
      <c r="G108" s="568" t="n">
        <v>10</v>
      </c>
      <c r="H108" s="568" t="n">
        <f aca="false">(-1*(($C$196*F57+$C$199)/365)+17)+$C$200</f>
        <v>5.22946860165469</v>
      </c>
      <c r="I108" s="5"/>
      <c r="J108" s="299"/>
      <c r="K108" s="319"/>
      <c r="L108" s="299"/>
      <c r="M108" s="319"/>
      <c r="N108" s="481" t="str">
        <f aca="false">R214</f>
        <v>Syvyys</v>
      </c>
      <c r="O108" s="481" t="str">
        <f aca="false">S214</f>
        <v>Perus</v>
      </c>
      <c r="P108" s="481" t="str">
        <f aca="false">T214</f>
        <v>Vara</v>
      </c>
      <c r="Q108" s="506"/>
      <c r="R108" s="319"/>
      <c r="S108" s="319"/>
      <c r="T108" s="319"/>
      <c r="U108" s="299"/>
      <c r="V108" s="299"/>
      <c r="W108" s="299"/>
      <c r="X108" s="299"/>
      <c r="Y108" s="299"/>
      <c r="Z108" s="299"/>
      <c r="AA108" s="299"/>
      <c r="AB108" s="5"/>
      <c r="AC108" s="5"/>
      <c r="AD108" s="5"/>
      <c r="AE108" s="5"/>
      <c r="AF108" s="5"/>
      <c r="AG108" s="299"/>
      <c r="AH108" s="299"/>
      <c r="AI108" s="299"/>
      <c r="AJ108" s="299"/>
      <c r="AK108" s="319" t="s">
        <v>333</v>
      </c>
      <c r="AL108" s="550" t="n">
        <v>2.1</v>
      </c>
      <c r="AM108" s="319" t="s">
        <v>333</v>
      </c>
      <c r="AN108" s="319" t="str">
        <f aca="false">AM108</f>
        <v>KUIVA</v>
      </c>
      <c r="AO108" s="357"/>
      <c r="AP108" s="348"/>
      <c r="AQ108" s="551"/>
      <c r="AR108" s="551"/>
      <c r="AS108" s="5"/>
      <c r="AT108" s="5"/>
      <c r="AU108" s="5" t="s">
        <v>211</v>
      </c>
      <c r="AV108" s="542" t="n">
        <v>10</v>
      </c>
      <c r="AW108" s="554" t="s">
        <v>170</v>
      </c>
      <c r="AX108" s="541" t="n">
        <v>16</v>
      </c>
      <c r="AY108" s="543" t="n">
        <v>-38</v>
      </c>
      <c r="AZ108" s="541" t="n">
        <v>0</v>
      </c>
      <c r="BA108" s="541" t="n">
        <v>-5</v>
      </c>
      <c r="BB108" s="555" t="n">
        <v>0.4</v>
      </c>
      <c r="BC108" s="5"/>
      <c r="BD108" s="5"/>
      <c r="BE108" s="5" t="s">
        <v>169</v>
      </c>
      <c r="BF108" s="8" t="n">
        <v>824</v>
      </c>
      <c r="BG108" s="545" t="n">
        <v>32</v>
      </c>
      <c r="BH108" s="546" t="n">
        <f aca="false">BF108/24</f>
        <v>34.3333333333333</v>
      </c>
      <c r="BI108" s="8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AMJ108" s="504"/>
    </row>
    <row r="109" s="1" customFormat="true" ht="15.6" hidden="false" customHeight="true" outlineLevel="0" collapsed="false">
      <c r="A109" s="5"/>
      <c r="B109" s="198" t="s">
        <v>339</v>
      </c>
      <c r="C109" s="198"/>
      <c r="D109" s="569" t="n">
        <v>10</v>
      </c>
      <c r="E109" s="570" t="n">
        <f aca="false">D109</f>
        <v>10</v>
      </c>
      <c r="F109" s="502"/>
      <c r="G109" s="502"/>
      <c r="H109" s="571" t="n">
        <v>20</v>
      </c>
      <c r="I109" s="5"/>
      <c r="J109" s="299"/>
      <c r="K109" s="319"/>
      <c r="L109" s="299"/>
      <c r="M109" s="319"/>
      <c r="N109" s="481" t="n">
        <f aca="false">R215</f>
        <v>0</v>
      </c>
      <c r="O109" s="572" t="n">
        <f aca="false">S215</f>
        <v>1</v>
      </c>
      <c r="P109" s="572" t="n">
        <f aca="false">T215</f>
        <v>1</v>
      </c>
      <c r="Q109" s="506"/>
      <c r="R109" s="319"/>
      <c r="S109" s="319"/>
      <c r="T109" s="319"/>
      <c r="U109" s="299"/>
      <c r="V109" s="299"/>
      <c r="W109" s="299"/>
      <c r="X109" s="299"/>
      <c r="Y109" s="299"/>
      <c r="Z109" s="299"/>
      <c r="AA109" s="299"/>
      <c r="AB109" s="5"/>
      <c r="AC109" s="5"/>
      <c r="AD109" s="5"/>
      <c r="AE109" s="5"/>
      <c r="AF109" s="5"/>
      <c r="AG109" s="299"/>
      <c r="AH109" s="299"/>
      <c r="AI109" s="299"/>
      <c r="AJ109" s="299"/>
      <c r="AK109" s="319" t="s">
        <v>340</v>
      </c>
      <c r="AL109" s="550" t="n">
        <v>3.3</v>
      </c>
      <c r="AM109" s="319" t="s">
        <v>340</v>
      </c>
      <c r="AN109" s="319" t="s">
        <v>340</v>
      </c>
      <c r="AO109" s="357"/>
      <c r="AP109" s="348"/>
      <c r="AQ109" s="551"/>
      <c r="AR109" s="551"/>
      <c r="AS109" s="5"/>
      <c r="AT109" s="5"/>
      <c r="AU109" s="5" t="s">
        <v>215</v>
      </c>
      <c r="AV109" s="8" t="n">
        <v>11</v>
      </c>
      <c r="AW109" s="10" t="s">
        <v>161</v>
      </c>
      <c r="AX109" s="5" t="n">
        <v>7</v>
      </c>
      <c r="AY109" s="545" t="n">
        <v>-29</v>
      </c>
      <c r="AZ109" s="5" t="n">
        <v>4</v>
      </c>
      <c r="BA109" s="5" t="n">
        <v>0</v>
      </c>
      <c r="BB109" s="378" t="n">
        <v>4.8</v>
      </c>
      <c r="BC109" s="5"/>
      <c r="BD109" s="5"/>
      <c r="BE109" s="5" t="s">
        <v>167</v>
      </c>
      <c r="BF109" s="8" t="n">
        <v>826</v>
      </c>
      <c r="BG109" s="545" t="n">
        <v>32</v>
      </c>
      <c r="BH109" s="546" t="n">
        <f aca="false">BF109/24</f>
        <v>34.4166666666667</v>
      </c>
      <c r="BI109" s="8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AMJ109" s="504"/>
    </row>
    <row r="110" s="1" customFormat="true" ht="15.6" hidden="false" customHeight="true" outlineLevel="0" collapsed="false">
      <c r="A110" s="5"/>
      <c r="B110" s="40" t="s">
        <v>341</v>
      </c>
      <c r="C110" s="40"/>
      <c r="D110" s="569" t="n">
        <v>100</v>
      </c>
      <c r="E110" s="573" t="n">
        <f aca="false">D110</f>
        <v>100</v>
      </c>
      <c r="F110" s="574" t="n">
        <f aca="false">E110/1000</f>
        <v>0.1</v>
      </c>
      <c r="G110" s="502"/>
      <c r="H110" s="502"/>
      <c r="I110" s="5"/>
      <c r="J110" s="5"/>
      <c r="K110" s="8"/>
      <c r="L110" s="5"/>
      <c r="M110" s="8"/>
      <c r="N110" s="481" t="n">
        <f aca="false">R216</f>
        <v>-1</v>
      </c>
      <c r="O110" s="572" t="n">
        <f aca="false">S216</f>
        <v>27.2439407269852</v>
      </c>
      <c r="P110" s="572" t="n">
        <f aca="false">T216</f>
        <v>27.2439407269852</v>
      </c>
      <c r="Q110" s="506"/>
      <c r="R110" s="8"/>
      <c r="S110" s="8"/>
      <c r="T110" s="8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299"/>
      <c r="AH110" s="299"/>
      <c r="AI110" s="299"/>
      <c r="AJ110" s="299"/>
      <c r="AK110" s="319"/>
      <c r="AL110" s="319"/>
      <c r="AM110" s="319"/>
      <c r="AN110" s="319"/>
      <c r="AO110" s="357"/>
      <c r="AP110" s="348"/>
      <c r="AQ110" s="551"/>
      <c r="AR110" s="551"/>
      <c r="AS110" s="5"/>
      <c r="AT110" s="5"/>
      <c r="AU110" s="5" t="s">
        <v>228</v>
      </c>
      <c r="AV110" s="8" t="n">
        <v>12</v>
      </c>
      <c r="AW110" s="10" t="s">
        <v>160</v>
      </c>
      <c r="AX110" s="5" t="n">
        <v>6</v>
      </c>
      <c r="AY110" s="545" t="n">
        <v>-26</v>
      </c>
      <c r="AZ110" s="5" t="n">
        <v>5</v>
      </c>
      <c r="BA110" s="5" t="n">
        <v>1</v>
      </c>
      <c r="BB110" s="378" t="n">
        <v>5.8</v>
      </c>
      <c r="BC110" s="5"/>
      <c r="BD110" s="5"/>
      <c r="BE110" s="5" t="s">
        <v>168</v>
      </c>
      <c r="BF110" s="8" t="n">
        <v>864</v>
      </c>
      <c r="BG110" s="545" t="n">
        <v>34</v>
      </c>
      <c r="BH110" s="546" t="n">
        <f aca="false">BF110/24</f>
        <v>36</v>
      </c>
      <c r="BI110" s="8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AMJ110" s="504"/>
    </row>
    <row r="111" s="1" customFormat="true" ht="15.6" hidden="false" customHeight="true" outlineLevel="0" collapsed="false">
      <c r="A111" s="5"/>
      <c r="B111" s="575" t="s">
        <v>342</v>
      </c>
      <c r="C111" s="575"/>
      <c r="D111" s="556" t="n">
        <v>2.5</v>
      </c>
      <c r="E111" s="576" t="n">
        <f aca="false">D111</f>
        <v>2.5</v>
      </c>
      <c r="F111" s="577" t="n">
        <f aca="false">C208</f>
        <v>0</v>
      </c>
      <c r="G111" s="502"/>
      <c r="H111" s="502"/>
      <c r="I111" s="5"/>
      <c r="J111" s="5"/>
      <c r="K111" s="8"/>
      <c r="L111" s="5"/>
      <c r="M111" s="8"/>
      <c r="N111" s="481" t="n">
        <f aca="false">R217</f>
        <v>-2</v>
      </c>
      <c r="O111" s="572" t="n">
        <f aca="false">S217</f>
        <v>31.1859407269852</v>
      </c>
      <c r="P111" s="572" t="n">
        <f aca="false">T217</f>
        <v>31.1859407269852</v>
      </c>
      <c r="Q111" s="506"/>
      <c r="R111" s="8"/>
      <c r="S111" s="8"/>
      <c r="T111" s="8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299"/>
      <c r="AH111" s="299"/>
      <c r="AI111" s="299"/>
      <c r="AJ111" s="299"/>
      <c r="AK111" s="319"/>
      <c r="AL111" s="319"/>
      <c r="AM111" s="319"/>
      <c r="AN111" s="319"/>
      <c r="AO111" s="357"/>
      <c r="AP111" s="348"/>
      <c r="AQ111" s="551"/>
      <c r="AR111" s="551"/>
      <c r="AS111" s="5"/>
      <c r="AT111" s="5"/>
      <c r="AU111" s="299"/>
      <c r="AV111" s="319"/>
      <c r="AW111" s="578" t="s">
        <v>165</v>
      </c>
      <c r="AX111" s="299" t="n">
        <v>11</v>
      </c>
      <c r="AY111" s="305" t="n">
        <v>-29</v>
      </c>
      <c r="AZ111" s="299" t="n">
        <v>4</v>
      </c>
      <c r="BA111" s="299" t="n">
        <v>0</v>
      </c>
      <c r="BB111" s="579" t="n">
        <v>4.7</v>
      </c>
      <c r="BC111" s="5"/>
      <c r="BD111" s="5"/>
      <c r="BE111" s="5" t="s">
        <v>171</v>
      </c>
      <c r="BF111" s="8" t="n">
        <v>923</v>
      </c>
      <c r="BG111" s="545" t="n">
        <v>38</v>
      </c>
      <c r="BH111" s="546" t="n">
        <f aca="false">BF111/24</f>
        <v>38.4583333333333</v>
      </c>
      <c r="BI111" s="8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AMJ111" s="504"/>
    </row>
    <row r="112" s="1" customFormat="true" ht="15.6" hidden="false" customHeight="true" outlineLevel="0" collapsed="false">
      <c r="A112" s="5"/>
      <c r="B112" s="528" t="s">
        <v>343</v>
      </c>
      <c r="C112" s="528"/>
      <c r="D112" s="580" t="n">
        <v>240</v>
      </c>
      <c r="E112" s="581" t="n">
        <f aca="false">D112</f>
        <v>240</v>
      </c>
      <c r="F112" s="582" t="n">
        <f aca="false">VLOOKUP(E112,B216:E1316,4,1)</f>
        <v>7.42946860165464</v>
      </c>
      <c r="G112" s="583" t="n">
        <f aca="false">E204</f>
        <v>1.77048456863363</v>
      </c>
      <c r="H112" s="502"/>
      <c r="I112" s="5"/>
      <c r="J112" s="5"/>
      <c r="K112" s="8"/>
      <c r="L112" s="5"/>
      <c r="M112" s="8"/>
      <c r="N112" s="481" t="n">
        <f aca="false">R218</f>
        <v>-3</v>
      </c>
      <c r="O112" s="572" t="n">
        <f aca="false">S218</f>
        <v>33.1569407269852</v>
      </c>
      <c r="P112" s="572" t="n">
        <f aca="false">T218</f>
        <v>33.1569407269852</v>
      </c>
      <c r="Q112" s="507"/>
      <c r="R112" s="8"/>
      <c r="S112" s="8"/>
      <c r="T112" s="8"/>
      <c r="U112" s="5"/>
      <c r="V112" s="5"/>
      <c r="W112" s="5"/>
      <c r="X112" s="5"/>
      <c r="Y112" s="5"/>
      <c r="Z112" s="5"/>
      <c r="AA112" s="5"/>
      <c r="AB112" s="5"/>
      <c r="AC112" s="299"/>
      <c r="AD112" s="299"/>
      <c r="AE112" s="299"/>
      <c r="AF112" s="299"/>
      <c r="AG112" s="299"/>
      <c r="AH112" s="299"/>
      <c r="AI112" s="299"/>
      <c r="AJ112" s="299"/>
      <c r="AK112" s="319"/>
      <c r="AL112" s="319"/>
      <c r="AM112" s="319" t="n">
        <v>0</v>
      </c>
      <c r="AN112" s="319" t="s">
        <v>344</v>
      </c>
      <c r="AO112" s="357"/>
      <c r="AP112" s="348"/>
      <c r="AQ112" s="551"/>
      <c r="AR112" s="551"/>
      <c r="AS112" s="5"/>
      <c r="AT112" s="5"/>
      <c r="AU112" s="299"/>
      <c r="AV112" s="319"/>
      <c r="AW112" s="299" t="s">
        <v>157</v>
      </c>
      <c r="AX112" s="299" t="n">
        <v>3</v>
      </c>
      <c r="AY112" s="299" t="n">
        <v>-26</v>
      </c>
      <c r="AZ112" s="299" t="n">
        <v>5</v>
      </c>
      <c r="BA112" s="299" t="n">
        <v>1</v>
      </c>
      <c r="BB112" s="579" t="n">
        <v>5.9</v>
      </c>
      <c r="BC112" s="5"/>
      <c r="BD112" s="5"/>
      <c r="BE112" s="5" t="s">
        <v>170</v>
      </c>
      <c r="BF112" s="8" t="n">
        <v>946</v>
      </c>
      <c r="BG112" s="545" t="n">
        <v>38</v>
      </c>
      <c r="BH112" s="546" t="n">
        <f aca="false">BF112/24</f>
        <v>39.4166666666667</v>
      </c>
      <c r="BI112" s="8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AMJ112" s="504"/>
    </row>
    <row r="113" s="1" customFormat="true" ht="15.6" hidden="false" customHeight="true" outlineLevel="0" collapsed="false">
      <c r="A113" s="5"/>
      <c r="B113" s="63"/>
      <c r="C113" s="63"/>
      <c r="D113" s="63"/>
      <c r="E113" s="63"/>
      <c r="F113" s="63"/>
      <c r="G113" s="63"/>
      <c r="H113" s="63"/>
      <c r="I113" s="5"/>
      <c r="J113" s="5"/>
      <c r="K113" s="8"/>
      <c r="L113" s="5"/>
      <c r="M113" s="8"/>
      <c r="N113" s="481" t="n">
        <f aca="false">R219</f>
        <v>-4</v>
      </c>
      <c r="O113" s="572" t="n">
        <f aca="false">S219</f>
        <v>34.4709407269852</v>
      </c>
      <c r="P113" s="572" t="n">
        <f aca="false">T219</f>
        <v>34.4709407269852</v>
      </c>
      <c r="Q113" s="507"/>
      <c r="R113" s="8"/>
      <c r="S113" s="8"/>
      <c r="T113" s="8"/>
      <c r="U113" s="5"/>
      <c r="V113" s="5"/>
      <c r="W113" s="5"/>
      <c r="X113" s="5"/>
      <c r="Y113" s="5"/>
      <c r="Z113" s="5"/>
      <c r="AA113" s="5"/>
      <c r="AB113" s="5"/>
      <c r="AC113" s="299"/>
      <c r="AD113" s="299"/>
      <c r="AE113" s="299"/>
      <c r="AF113" s="299"/>
      <c r="AG113" s="299"/>
      <c r="AH113" s="299"/>
      <c r="AI113" s="299"/>
      <c r="AJ113" s="299"/>
      <c r="AK113" s="319"/>
      <c r="AL113" s="319"/>
      <c r="AM113" s="319" t="n">
        <v>20</v>
      </c>
      <c r="AN113" s="319" t="s">
        <v>345</v>
      </c>
      <c r="AO113" s="357"/>
      <c r="AP113" s="348"/>
      <c r="AQ113" s="551"/>
      <c r="AR113" s="551"/>
      <c r="AS113" s="5"/>
      <c r="AT113" s="5"/>
      <c r="AU113" s="299"/>
      <c r="AV113" s="319"/>
      <c r="AW113" s="299"/>
      <c r="AX113" s="299"/>
      <c r="AY113" s="299"/>
      <c r="AZ113" s="299"/>
      <c r="BA113" s="299"/>
      <c r="BB113" s="299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AMJ113" s="504"/>
    </row>
    <row r="114" s="1" customFormat="true" ht="15.6" hidden="false" customHeight="true" outlineLevel="0" collapsed="false">
      <c r="A114" s="5"/>
      <c r="B114" s="584" t="s">
        <v>346</v>
      </c>
      <c r="C114" s="584"/>
      <c r="D114" s="585" t="s">
        <v>347</v>
      </c>
      <c r="E114" s="586" t="s">
        <v>348</v>
      </c>
      <c r="F114" s="587" t="s">
        <v>349</v>
      </c>
      <c r="G114" s="588" t="s">
        <v>350</v>
      </c>
      <c r="H114" s="589" t="n">
        <f aca="false">G51</f>
        <v>19027.6060606061</v>
      </c>
      <c r="I114" s="5"/>
      <c r="J114" s="5"/>
      <c r="K114" s="8"/>
      <c r="L114" s="5"/>
      <c r="M114" s="8"/>
      <c r="N114" s="481" t="n">
        <f aca="false">R220</f>
        <v>-5</v>
      </c>
      <c r="O114" s="572" t="n">
        <f aca="false">S220</f>
        <v>35.4564407269852</v>
      </c>
      <c r="P114" s="572" t="n">
        <f aca="false">T220</f>
        <v>35.4564407269852</v>
      </c>
      <c r="Q114" s="590"/>
      <c r="R114" s="8"/>
      <c r="S114" s="8"/>
      <c r="T114" s="8"/>
      <c r="U114" s="5"/>
      <c r="V114" s="5"/>
      <c r="W114" s="5"/>
      <c r="X114" s="5"/>
      <c r="Y114" s="5"/>
      <c r="Z114" s="5"/>
      <c r="AA114" s="5"/>
      <c r="AB114" s="5"/>
      <c r="AC114" s="299"/>
      <c r="AD114" s="299"/>
      <c r="AE114" s="299"/>
      <c r="AF114" s="299"/>
      <c r="AG114" s="299"/>
      <c r="AH114" s="299"/>
      <c r="AI114" s="299"/>
      <c r="AJ114" s="299"/>
      <c r="AK114" s="319"/>
      <c r="AL114" s="319"/>
      <c r="AM114" s="319" t="n">
        <v>35</v>
      </c>
      <c r="AN114" s="319" t="s">
        <v>351</v>
      </c>
      <c r="AO114" s="357"/>
      <c r="AP114" s="348"/>
      <c r="AQ114" s="551"/>
      <c r="AR114" s="551"/>
      <c r="AS114" s="5"/>
      <c r="AT114" s="5"/>
      <c r="AU114" s="299"/>
      <c r="AV114" s="319"/>
      <c r="AW114" s="299"/>
      <c r="AX114" s="299"/>
      <c r="AY114" s="299"/>
      <c r="AZ114" s="299"/>
      <c r="BA114" s="299"/>
      <c r="BB114" s="299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AMJ114" s="504"/>
    </row>
    <row r="115" s="1" customFormat="true" ht="15.6" hidden="false" customHeight="true" outlineLevel="0" collapsed="false">
      <c r="A115" s="5"/>
      <c r="B115" s="40" t="s">
        <v>352</v>
      </c>
      <c r="C115" s="40"/>
      <c r="D115" s="591" t="n">
        <v>0</v>
      </c>
      <c r="E115" s="592" t="n">
        <f aca="false">IF(E104&lt;H109,E104,H109)</f>
        <v>10</v>
      </c>
      <c r="F115" s="593" t="n">
        <f aca="false">VLOOKUP(E115,B215:E1316,2,1)</f>
        <v>386.875069425408</v>
      </c>
      <c r="G115" s="594" t="n">
        <f aca="false">IF(D104&lt;1,"",F115/(E115-D115))</f>
        <v>38.6875069425408</v>
      </c>
      <c r="H115" s="595" t="s">
        <v>353</v>
      </c>
      <c r="I115" s="502"/>
      <c r="J115" s="5"/>
      <c r="K115" s="8"/>
      <c r="L115" s="5"/>
      <c r="M115" s="8"/>
      <c r="N115" s="481" t="n">
        <f aca="false">R221</f>
        <v>-6</v>
      </c>
      <c r="O115" s="572" t="n">
        <f aca="false">S221</f>
        <v>36.2448407269852</v>
      </c>
      <c r="P115" s="572" t="n">
        <f aca="false">T221</f>
        <v>36.2448407269852</v>
      </c>
      <c r="Q115" s="590"/>
      <c r="R115" s="8"/>
      <c r="S115" s="8"/>
      <c r="T115" s="8"/>
      <c r="U115" s="5"/>
      <c r="V115" s="5"/>
      <c r="W115" s="5"/>
      <c r="X115" s="5"/>
      <c r="Y115" s="5"/>
      <c r="Z115" s="5"/>
      <c r="AA115" s="5"/>
      <c r="AB115" s="5"/>
      <c r="AC115" s="299"/>
      <c r="AD115" s="299"/>
      <c r="AE115" s="299"/>
      <c r="AF115" s="299"/>
      <c r="AG115" s="299"/>
      <c r="AH115" s="299"/>
      <c r="AI115" s="299"/>
      <c r="AJ115" s="299"/>
      <c r="AK115" s="319"/>
      <c r="AL115" s="319" t="s">
        <v>60</v>
      </c>
      <c r="AM115" s="319" t="n">
        <v>90</v>
      </c>
      <c r="AN115" s="319" t="s">
        <v>354</v>
      </c>
      <c r="AO115" s="596"/>
      <c r="AP115" s="597"/>
      <c r="AQ115" s="551"/>
      <c r="AR115" s="551"/>
      <c r="AS115" s="5"/>
      <c r="AT115" s="5"/>
      <c r="AU115" s="5"/>
      <c r="AV115" s="8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AMJ115" s="504"/>
    </row>
    <row r="116" s="1" customFormat="true" ht="15.6" hidden="false" customHeight="true" outlineLevel="0" collapsed="false">
      <c r="A116" s="5"/>
      <c r="B116" s="40" t="s">
        <v>355</v>
      </c>
      <c r="C116" s="40"/>
      <c r="D116" s="591" t="n">
        <f aca="false">E115</f>
        <v>10</v>
      </c>
      <c r="E116" s="592" t="n">
        <f aca="false">IF(E104&gt;H109,E104,H109)</f>
        <v>20</v>
      </c>
      <c r="F116" s="598" t="n">
        <f aca="false">VLOOKUP(E116,B215:E1316,2,1)-F115</f>
        <v>802.410546535262</v>
      </c>
      <c r="G116" s="594" t="n">
        <f aca="false">F116/(E116-D116)</f>
        <v>80.2410546535262</v>
      </c>
      <c r="H116" s="595"/>
      <c r="I116" s="502"/>
      <c r="J116" s="5"/>
      <c r="K116" s="8"/>
      <c r="L116" s="5"/>
      <c r="M116" s="8"/>
      <c r="N116" s="481" t="n">
        <f aca="false">R222</f>
        <v>-7</v>
      </c>
      <c r="O116" s="572" t="n">
        <f aca="false">S222</f>
        <v>36.9018407269852</v>
      </c>
      <c r="P116" s="572" t="n">
        <f aca="false">T222</f>
        <v>36.9018407269852</v>
      </c>
      <c r="Q116" s="590"/>
      <c r="R116" s="8"/>
      <c r="S116" s="8"/>
      <c r="T116" s="8"/>
      <c r="U116" s="5"/>
      <c r="V116" s="5"/>
      <c r="W116" s="5"/>
      <c r="X116" s="5"/>
      <c r="Y116" s="5"/>
      <c r="Z116" s="5"/>
      <c r="AA116" s="5"/>
      <c r="AB116" s="5"/>
      <c r="AC116" s="299"/>
      <c r="AD116" s="299"/>
      <c r="AE116" s="299"/>
      <c r="AF116" s="299"/>
      <c r="AG116" s="299"/>
      <c r="AH116" s="299"/>
      <c r="AI116" s="299"/>
      <c r="AJ116" s="299"/>
      <c r="AK116" s="319"/>
      <c r="AL116" s="319" t="s">
        <v>64</v>
      </c>
      <c r="AM116" s="319" t="n">
        <v>151</v>
      </c>
      <c r="AN116" s="319" t="s">
        <v>356</v>
      </c>
      <c r="AO116" s="599" t="n">
        <f aca="false">F59/G61</f>
        <v>1.04097251989118</v>
      </c>
      <c r="AP116" s="597" t="s">
        <v>357</v>
      </c>
      <c r="AQ116" s="551"/>
      <c r="AR116" s="551"/>
      <c r="AS116" s="5"/>
      <c r="AT116" s="5"/>
      <c r="AU116" s="600" t="n">
        <f aca="false">IF(F57&lt;AO97,AO129,($F$57-AO97)/(20*AO98)+AO129)</f>
        <v>3.0460396039604</v>
      </c>
      <c r="AV116" s="542"/>
      <c r="AW116" s="541"/>
      <c r="AX116" s="543" t="s">
        <v>174</v>
      </c>
      <c r="AY116" s="543" t="s">
        <v>180</v>
      </c>
      <c r="AZ116" s="543" t="s">
        <v>185</v>
      </c>
      <c r="BA116" s="543" t="s">
        <v>190</v>
      </c>
      <c r="BB116" s="543" t="s">
        <v>194</v>
      </c>
      <c r="BC116" s="543" t="s">
        <v>197</v>
      </c>
      <c r="BD116" s="543" t="s">
        <v>200</v>
      </c>
      <c r="BE116" s="543" t="s">
        <v>203</v>
      </c>
      <c r="BF116" s="543" t="s">
        <v>205</v>
      </c>
      <c r="BG116" s="543" t="s">
        <v>211</v>
      </c>
      <c r="BH116" s="543" t="s">
        <v>215</v>
      </c>
      <c r="BI116" s="543" t="s">
        <v>228</v>
      </c>
      <c r="BJ116" s="543" t="s">
        <v>149</v>
      </c>
      <c r="BK116" s="541"/>
      <c r="BL116" s="541" t="s">
        <v>358</v>
      </c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AMJ116" s="504"/>
    </row>
    <row r="117" s="1" customFormat="true" ht="15.6" hidden="false" customHeight="true" outlineLevel="0" collapsed="false">
      <c r="A117" s="5"/>
      <c r="B117" s="40" t="s">
        <v>359</v>
      </c>
      <c r="C117" s="40"/>
      <c r="D117" s="591" t="n">
        <f aca="false">E116</f>
        <v>20</v>
      </c>
      <c r="E117" s="592" t="n">
        <f aca="false">F205</f>
        <v>203</v>
      </c>
      <c r="F117" s="598" t="n">
        <f aca="false">VLOOKUP(E117,B215:E1316,2,1)-F116-F115</f>
        <v>17744.562226693</v>
      </c>
      <c r="G117" s="594" t="n">
        <f aca="false">F117/(E117-D117)</f>
        <v>96.9648209108908</v>
      </c>
      <c r="H117" s="595" t="n">
        <f aca="false">D121</f>
        <v>203</v>
      </c>
      <c r="I117" s="502"/>
      <c r="J117" s="5"/>
      <c r="K117" s="8"/>
      <c r="L117" s="5"/>
      <c r="M117" s="8"/>
      <c r="N117" s="481" t="n">
        <f aca="false">R223</f>
        <v>-8</v>
      </c>
      <c r="O117" s="572" t="n">
        <f aca="false">S223</f>
        <v>37.464983584128</v>
      </c>
      <c r="P117" s="572" t="n">
        <f aca="false">T223</f>
        <v>37.464983584128</v>
      </c>
      <c r="Q117" s="590"/>
      <c r="R117" s="8"/>
      <c r="S117" s="8"/>
      <c r="T117" s="8"/>
      <c r="U117" s="5"/>
      <c r="V117" s="5"/>
      <c r="W117" s="5"/>
      <c r="X117" s="5"/>
      <c r="Y117" s="5"/>
      <c r="Z117" s="5"/>
      <c r="AA117" s="5"/>
      <c r="AB117" s="5"/>
      <c r="AC117" s="299"/>
      <c r="AD117" s="299"/>
      <c r="AE117" s="299"/>
      <c r="AF117" s="299"/>
      <c r="AG117" s="299"/>
      <c r="AH117" s="299"/>
      <c r="AI117" s="299"/>
      <c r="AJ117" s="299"/>
      <c r="AK117" s="319"/>
      <c r="AL117" s="319" t="s">
        <v>67</v>
      </c>
      <c r="AM117" s="319" t="n">
        <v>171</v>
      </c>
      <c r="AN117" s="319" t="s">
        <v>360</v>
      </c>
      <c r="AO117" s="357" t="n">
        <v>0</v>
      </c>
      <c r="AP117" s="348" t="s">
        <v>361</v>
      </c>
      <c r="AQ117" s="551"/>
      <c r="AR117" s="551"/>
      <c r="AS117" s="5"/>
      <c r="AT117" s="5"/>
      <c r="AU117" s="5"/>
      <c r="AV117" s="8" t="n">
        <v>1</v>
      </c>
      <c r="AW117" s="5" t="s">
        <v>156</v>
      </c>
      <c r="AX117" s="5" t="n">
        <v>592</v>
      </c>
      <c r="AY117" s="5" t="n">
        <v>567</v>
      </c>
      <c r="AZ117" s="5" t="n">
        <v>551</v>
      </c>
      <c r="BA117" s="5" t="n">
        <v>406</v>
      </c>
      <c r="BB117" s="5" t="n">
        <v>216</v>
      </c>
      <c r="BC117" s="5" t="n">
        <v>34</v>
      </c>
      <c r="BD117" s="5" t="n">
        <v>3</v>
      </c>
      <c r="BE117" s="5" t="n">
        <v>17</v>
      </c>
      <c r="BF117" s="5" t="n">
        <v>135</v>
      </c>
      <c r="BG117" s="5" t="n">
        <v>308</v>
      </c>
      <c r="BH117" s="5" t="n">
        <v>432</v>
      </c>
      <c r="BI117" s="5" t="n">
        <v>542</v>
      </c>
      <c r="BJ117" s="5" t="n">
        <v>3803</v>
      </c>
      <c r="BK117" s="5"/>
      <c r="BL117" s="601" t="n">
        <f aca="false">(-1*(($C$196*BJ117+$C$199)/365)+17)+$C$200</f>
        <v>6.65416438356164</v>
      </c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AMJ117" s="504"/>
    </row>
    <row r="118" s="1" customFormat="true" ht="14.15" hidden="false" customHeight="true" outlineLevel="0" collapsed="false">
      <c r="A118" s="5"/>
      <c r="B118" s="185" t="s">
        <v>362</v>
      </c>
      <c r="C118" s="185"/>
      <c r="D118" s="602" t="n">
        <v>0</v>
      </c>
      <c r="E118" s="603" t="n">
        <f aca="false">F205</f>
        <v>203</v>
      </c>
      <c r="F118" s="604" t="n">
        <f aca="false">VLOOKUP(E118,B215:E1316,2,1)</f>
        <v>18933.8478426537</v>
      </c>
      <c r="G118" s="605" t="n">
        <f aca="false">F118/E118</f>
        <v>93.2701864170132</v>
      </c>
      <c r="H118" s="595"/>
      <c r="I118" s="502"/>
      <c r="J118" s="502"/>
      <c r="K118" s="502"/>
      <c r="L118" s="502"/>
      <c r="M118" s="606"/>
      <c r="N118" s="481" t="n">
        <f aca="false">R224</f>
        <v>-9</v>
      </c>
      <c r="O118" s="572" t="n">
        <f aca="false">S224</f>
        <v>37.957733584128</v>
      </c>
      <c r="P118" s="572" t="n">
        <f aca="false">T224</f>
        <v>37.957733584128</v>
      </c>
      <c r="Q118" s="590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299"/>
      <c r="AD118" s="299"/>
      <c r="AE118" s="299"/>
      <c r="AF118" s="299"/>
      <c r="AG118" s="299"/>
      <c r="AH118" s="299"/>
      <c r="AI118" s="299"/>
      <c r="AJ118" s="299"/>
      <c r="AK118" s="319"/>
      <c r="AL118" s="319" t="s">
        <v>70</v>
      </c>
      <c r="AM118" s="319" t="n">
        <v>191</v>
      </c>
      <c r="AN118" s="319" t="s">
        <v>363</v>
      </c>
      <c r="AO118" s="357" t="n">
        <v>0.6</v>
      </c>
      <c r="AP118" s="348" t="s">
        <v>364</v>
      </c>
      <c r="AQ118" s="551"/>
      <c r="AR118" s="551"/>
      <c r="AS118" s="5"/>
      <c r="AT118" s="5"/>
      <c r="AU118" s="5"/>
      <c r="AV118" s="8" t="n">
        <v>2</v>
      </c>
      <c r="AW118" s="5" t="s">
        <v>157</v>
      </c>
      <c r="AX118" s="5" t="n">
        <v>682</v>
      </c>
      <c r="AY118" s="5" t="n">
        <v>640</v>
      </c>
      <c r="AZ118" s="5" t="n">
        <v>586</v>
      </c>
      <c r="BA118" s="5" t="n">
        <v>376</v>
      </c>
      <c r="BB118" s="5" t="n">
        <v>146</v>
      </c>
      <c r="BC118" s="5" t="n">
        <v>16</v>
      </c>
      <c r="BD118" s="5" t="n">
        <v>2</v>
      </c>
      <c r="BE118" s="5" t="n">
        <v>21</v>
      </c>
      <c r="BF118" s="5" t="n">
        <v>158</v>
      </c>
      <c r="BG118" s="5" t="n">
        <v>348</v>
      </c>
      <c r="BH118" s="5" t="n">
        <v>497</v>
      </c>
      <c r="BI118" s="5" t="n">
        <v>625</v>
      </c>
      <c r="BJ118" s="5" t="n">
        <v>4097</v>
      </c>
      <c r="BK118" s="5"/>
      <c r="BL118" s="601" t="n">
        <f aca="false">(-1*(($C$196*BJ118+$C$199)/365)+17)+$C$200</f>
        <v>6.2272602739726</v>
      </c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AMJ118" s="504"/>
    </row>
    <row r="119" s="1" customFormat="true" ht="14.15" hidden="false" customHeight="true" outlineLevel="0" collapsed="false">
      <c r="A119" s="5"/>
      <c r="B119" s="607"/>
      <c r="C119" s="608"/>
      <c r="D119" s="608"/>
      <c r="E119" s="608"/>
      <c r="F119" s="608"/>
      <c r="G119" s="609"/>
      <c r="H119" s="595"/>
      <c r="I119" s="502"/>
      <c r="J119" s="502"/>
      <c r="K119" s="606"/>
      <c r="L119" s="502"/>
      <c r="M119" s="606"/>
      <c r="N119" s="481" t="n">
        <f aca="false">R225</f>
        <v>-10</v>
      </c>
      <c r="O119" s="572" t="n">
        <f aca="false">S225</f>
        <v>76.791467168256</v>
      </c>
      <c r="P119" s="572" t="n">
        <f aca="false">T225</f>
        <v>63.99288930688</v>
      </c>
      <c r="Q119" s="590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299"/>
      <c r="AD119" s="299"/>
      <c r="AE119" s="299"/>
      <c r="AF119" s="299"/>
      <c r="AG119" s="299"/>
      <c r="AH119" s="299"/>
      <c r="AI119" s="299"/>
      <c r="AJ119" s="299"/>
      <c r="AK119" s="319"/>
      <c r="AL119" s="319" t="s">
        <v>74</v>
      </c>
      <c r="AM119" s="319" t="n">
        <v>231</v>
      </c>
      <c r="AN119" s="319" t="s">
        <v>365</v>
      </c>
      <c r="AO119" s="357" t="n">
        <v>0.7</v>
      </c>
      <c r="AP119" s="348" t="s">
        <v>366</v>
      </c>
      <c r="AQ119" s="551"/>
      <c r="AR119" s="551"/>
      <c r="AS119" s="5"/>
      <c r="AT119" s="5"/>
      <c r="AU119" s="5"/>
      <c r="AV119" s="8" t="n">
        <v>3</v>
      </c>
      <c r="AW119" s="5" t="s">
        <v>158</v>
      </c>
      <c r="AX119" s="5" t="n">
        <v>647</v>
      </c>
      <c r="AY119" s="5" t="n">
        <v>612</v>
      </c>
      <c r="AZ119" s="5" t="n">
        <v>566</v>
      </c>
      <c r="BA119" s="5" t="n">
        <v>383</v>
      </c>
      <c r="BB119" s="5" t="n">
        <v>153</v>
      </c>
      <c r="BC119" s="5" t="n">
        <v>11</v>
      </c>
      <c r="BD119" s="5" t="n">
        <v>1</v>
      </c>
      <c r="BE119" s="5" t="n">
        <v>12</v>
      </c>
      <c r="BF119" s="5" t="n">
        <v>125</v>
      </c>
      <c r="BG119" s="5" t="n">
        <v>316</v>
      </c>
      <c r="BH119" s="5" t="n">
        <v>464</v>
      </c>
      <c r="BI119" s="5" t="n">
        <v>588</v>
      </c>
      <c r="BJ119" s="5" t="n">
        <v>3878</v>
      </c>
      <c r="BK119" s="5"/>
      <c r="BL119" s="601" t="n">
        <f aca="false">(-1*(($C$196*BJ119+$C$199)/365)+17)+$C$200</f>
        <v>6.5452602739726</v>
      </c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AMJ119" s="504"/>
    </row>
    <row r="120" s="1" customFormat="true" ht="14.65" hidden="false" customHeight="true" outlineLevel="0" collapsed="false">
      <c r="A120" s="5"/>
      <c r="B120" s="20" t="s">
        <v>367</v>
      </c>
      <c r="C120" s="20"/>
      <c r="D120" s="610" t="n">
        <f aca="false">D112</f>
        <v>240</v>
      </c>
      <c r="E120" s="611" t="n">
        <f aca="false">G51</f>
        <v>19027.6060606061</v>
      </c>
      <c r="F120" s="612" t="s">
        <v>368</v>
      </c>
      <c r="G120" s="613" t="s">
        <v>369</v>
      </c>
      <c r="H120" s="389" t="s">
        <v>370</v>
      </c>
      <c r="I120" s="502"/>
      <c r="J120" s="502"/>
      <c r="K120" s="606"/>
      <c r="L120" s="502"/>
      <c r="M120" s="606"/>
      <c r="N120" s="481" t="n">
        <f aca="false">R226</f>
        <v>-11</v>
      </c>
      <c r="O120" s="572" t="n">
        <f aca="false">S226</f>
        <v>77.579867168256</v>
      </c>
      <c r="P120" s="572" t="n">
        <f aca="false">T226</f>
        <v>64.64988930688</v>
      </c>
      <c r="Q120" s="590"/>
      <c r="R120" s="299"/>
      <c r="S120" s="299"/>
      <c r="T120" s="299"/>
      <c r="U120" s="299"/>
      <c r="V120" s="299"/>
      <c r="W120" s="299"/>
      <c r="X120" s="299"/>
      <c r="Y120" s="299"/>
      <c r="Z120" s="299"/>
      <c r="AA120" s="299"/>
      <c r="AB120" s="299"/>
      <c r="AC120" s="5"/>
      <c r="AD120" s="5"/>
      <c r="AE120" s="5"/>
      <c r="AF120" s="5"/>
      <c r="AG120" s="5"/>
      <c r="AH120" s="5"/>
      <c r="AI120" s="5"/>
      <c r="AJ120" s="5"/>
      <c r="AK120" s="319"/>
      <c r="AL120" s="319" t="s">
        <v>77</v>
      </c>
      <c r="AM120" s="319" t="n">
        <v>271</v>
      </c>
      <c r="AN120" s="319" t="s">
        <v>371</v>
      </c>
      <c r="AO120" s="357" t="n">
        <v>0.8</v>
      </c>
      <c r="AP120" s="348" t="s">
        <v>372</v>
      </c>
      <c r="AQ120" s="551"/>
      <c r="AR120" s="551"/>
      <c r="AS120" s="299"/>
      <c r="AT120" s="299"/>
      <c r="AU120" s="299"/>
      <c r="AV120" s="8" t="n">
        <v>4</v>
      </c>
      <c r="AW120" s="5" t="s">
        <v>159</v>
      </c>
      <c r="AX120" s="5" t="n">
        <v>677</v>
      </c>
      <c r="AY120" s="5" t="n">
        <v>633</v>
      </c>
      <c r="AZ120" s="5" t="n">
        <v>585</v>
      </c>
      <c r="BA120" s="5" t="n">
        <v>389</v>
      </c>
      <c r="BB120" s="5" t="n">
        <v>181</v>
      </c>
      <c r="BC120" s="5" t="n">
        <v>26</v>
      </c>
      <c r="BD120" s="5" t="n">
        <v>3</v>
      </c>
      <c r="BE120" s="5" t="n">
        <v>25</v>
      </c>
      <c r="BF120" s="5" t="n">
        <v>171</v>
      </c>
      <c r="BG120" s="5" t="n">
        <v>352</v>
      </c>
      <c r="BH120" s="5" t="n">
        <v>497</v>
      </c>
      <c r="BI120" s="5" t="n">
        <v>622</v>
      </c>
      <c r="BJ120" s="5" t="n">
        <v>4161</v>
      </c>
      <c r="BK120" s="5"/>
      <c r="BL120" s="601" t="n">
        <f aca="false">(-1*(($C$196*BJ120+$C$199)/365)+17)+$C$200</f>
        <v>6.13432876712329</v>
      </c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AMJ120" s="504"/>
    </row>
    <row r="121" s="1" customFormat="true" ht="14.15" hidden="false" customHeight="true" outlineLevel="0" collapsed="false">
      <c r="A121" s="483"/>
      <c r="B121" s="217" t="s">
        <v>373</v>
      </c>
      <c r="C121" s="217"/>
      <c r="D121" s="602" t="n">
        <f aca="false">F205</f>
        <v>203</v>
      </c>
      <c r="E121" s="614" t="n">
        <f aca="false">G205</f>
        <v>19028</v>
      </c>
      <c r="F121" s="615" t="n">
        <f aca="false">E121/D121</f>
        <v>93.7339901477833</v>
      </c>
      <c r="G121" s="616" t="n">
        <f aca="false">1000*F121/(24*365)</f>
        <v>10.70022718582</v>
      </c>
      <c r="H121" s="347" t="s">
        <v>252</v>
      </c>
      <c r="I121" s="502"/>
      <c r="J121" s="502"/>
      <c r="K121" s="606"/>
      <c r="L121" s="502"/>
      <c r="M121" s="606"/>
      <c r="N121" s="481" t="n">
        <f aca="false">R227</f>
        <v>-12</v>
      </c>
      <c r="O121" s="572" t="n">
        <f aca="false">S227</f>
        <v>78.2965944409833</v>
      </c>
      <c r="P121" s="572" t="n">
        <f aca="false">T227</f>
        <v>65.2471620341528</v>
      </c>
      <c r="Q121" s="590"/>
      <c r="R121" s="299"/>
      <c r="S121" s="299"/>
      <c r="T121" s="299"/>
      <c r="U121" s="299"/>
      <c r="V121" s="299"/>
      <c r="W121" s="299"/>
      <c r="X121" s="299"/>
      <c r="Y121" s="299"/>
      <c r="Z121" s="299"/>
      <c r="AA121" s="299"/>
      <c r="AB121" s="299"/>
      <c r="AC121" s="5"/>
      <c r="AD121" s="5"/>
      <c r="AE121" s="5"/>
      <c r="AF121" s="5"/>
      <c r="AG121" s="5"/>
      <c r="AH121" s="5"/>
      <c r="AI121" s="5"/>
      <c r="AJ121" s="5"/>
      <c r="AK121" s="319"/>
      <c r="AL121" s="319" t="s">
        <v>80</v>
      </c>
      <c r="AM121" s="319" t="n">
        <v>321</v>
      </c>
      <c r="AN121" s="319" t="s">
        <v>374</v>
      </c>
      <c r="AO121" s="357" t="n">
        <v>0.9</v>
      </c>
      <c r="AP121" s="348" t="s">
        <v>375</v>
      </c>
      <c r="AQ121" s="551"/>
      <c r="AR121" s="551"/>
      <c r="AS121" s="299"/>
      <c r="AT121" s="299"/>
      <c r="AU121" s="299"/>
      <c r="AV121" s="8" t="n">
        <v>5</v>
      </c>
      <c r="AW121" s="5" t="s">
        <v>160</v>
      </c>
      <c r="AX121" s="5" t="n">
        <v>663</v>
      </c>
      <c r="AY121" s="5" t="n">
        <v>625</v>
      </c>
      <c r="AZ121" s="5" t="n">
        <v>575</v>
      </c>
      <c r="BA121" s="5" t="n">
        <v>377</v>
      </c>
      <c r="BB121" s="5" t="n">
        <v>161</v>
      </c>
      <c r="BC121" s="5" t="n">
        <v>19</v>
      </c>
      <c r="BD121" s="5" t="n">
        <v>2</v>
      </c>
      <c r="BE121" s="5" t="n">
        <v>18</v>
      </c>
      <c r="BF121" s="5" t="n">
        <v>149</v>
      </c>
      <c r="BG121" s="5" t="n">
        <v>338</v>
      </c>
      <c r="BH121" s="5" t="n">
        <v>486</v>
      </c>
      <c r="BI121" s="5" t="n">
        <v>608</v>
      </c>
      <c r="BJ121" s="5" t="n">
        <v>4021</v>
      </c>
      <c r="BK121" s="5"/>
      <c r="BL121" s="601" t="n">
        <f aca="false">(-1*(($C$196*BJ121+$C$199)/365)+17)+$C$200</f>
        <v>6.33761643835616</v>
      </c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AMJ121" s="504"/>
    </row>
    <row r="122" s="1" customFormat="true" ht="14.15" hidden="false" customHeight="true" outlineLevel="0" collapsed="false">
      <c r="A122" s="483"/>
      <c r="B122" s="617" t="s">
        <v>129</v>
      </c>
      <c r="C122" s="617"/>
      <c r="D122" s="618" t="n">
        <f aca="false">IF(E207&lt;1,"",E207)</f>
        <v>203</v>
      </c>
      <c r="E122" s="619" t="n">
        <f aca="false">IF(F207&lt;1,"",F207)</f>
        <v>19028</v>
      </c>
      <c r="F122" s="620" t="n">
        <f aca="false">IF(D122="","",E122/D122)</f>
        <v>93.7339901477833</v>
      </c>
      <c r="G122" s="621" t="n">
        <f aca="false">1000*F122/(24*365)</f>
        <v>10.70022718582</v>
      </c>
      <c r="H122" s="622" t="n">
        <f aca="false">VLOOKUP(D122,B215:K1316,10,1)</f>
        <v>6.01203017800935</v>
      </c>
      <c r="I122" s="502"/>
      <c r="J122" s="502"/>
      <c r="K122" s="606"/>
      <c r="L122" s="502"/>
      <c r="M122" s="606"/>
      <c r="N122" s="481" t="n">
        <f aca="false">R228</f>
        <v>-13</v>
      </c>
      <c r="O122" s="572" t="n">
        <f aca="false">S228</f>
        <v>78.9535944409833</v>
      </c>
      <c r="P122" s="572" t="n">
        <f aca="false">T228</f>
        <v>65.7946620341528</v>
      </c>
      <c r="Q122" s="590"/>
      <c r="R122" s="319"/>
      <c r="S122" s="319"/>
      <c r="T122" s="319"/>
      <c r="U122" s="319"/>
      <c r="V122" s="319"/>
      <c r="W122" s="319"/>
      <c r="X122" s="319"/>
      <c r="Y122" s="319"/>
      <c r="Z122" s="319"/>
      <c r="AA122" s="319"/>
      <c r="AB122" s="578"/>
      <c r="AC122" s="5"/>
      <c r="AD122" s="5"/>
      <c r="AE122" s="5"/>
      <c r="AF122" s="5"/>
      <c r="AG122" s="5"/>
      <c r="AH122" s="5"/>
      <c r="AI122" s="5"/>
      <c r="AJ122" s="5"/>
      <c r="AK122" s="319"/>
      <c r="AL122" s="319"/>
      <c r="AM122" s="319" t="n">
        <v>800</v>
      </c>
      <c r="AN122" s="319" t="s">
        <v>376</v>
      </c>
      <c r="AO122" s="357" t="n">
        <v>0.96</v>
      </c>
      <c r="AP122" s="348" t="s">
        <v>377</v>
      </c>
      <c r="AQ122" s="551"/>
      <c r="AR122" s="551"/>
      <c r="AS122" s="299"/>
      <c r="AT122" s="299"/>
      <c r="AU122" s="299"/>
      <c r="AV122" s="8" t="n">
        <v>6</v>
      </c>
      <c r="AW122" s="5" t="s">
        <v>161</v>
      </c>
      <c r="AX122" s="5" t="n">
        <v>724</v>
      </c>
      <c r="AY122" s="5" t="n">
        <v>675</v>
      </c>
      <c r="AZ122" s="5" t="n">
        <v>612</v>
      </c>
      <c r="BA122" s="5" t="n">
        <v>400</v>
      </c>
      <c r="BB122" s="5" t="n">
        <v>176</v>
      </c>
      <c r="BC122" s="5" t="n">
        <v>28</v>
      </c>
      <c r="BD122" s="5" t="n">
        <v>5</v>
      </c>
      <c r="BE122" s="5" t="n">
        <v>34</v>
      </c>
      <c r="BF122" s="5" t="n">
        <v>192</v>
      </c>
      <c r="BG122" s="5" t="n">
        <v>382</v>
      </c>
      <c r="BH122" s="5" t="n">
        <v>529</v>
      </c>
      <c r="BI122" s="5" t="n">
        <v>667</v>
      </c>
      <c r="BJ122" s="5" t="n">
        <v>4424</v>
      </c>
      <c r="BK122" s="5"/>
      <c r="BL122" s="601" t="n">
        <f aca="false">(-1*(($C$196*BJ122+$C$199)/365)+17)+$C$200</f>
        <v>5.75243835616438</v>
      </c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AMJ122" s="504"/>
    </row>
    <row r="123" s="1" customFormat="true" ht="14.15" hidden="false" customHeight="true" outlineLevel="0" collapsed="false">
      <c r="A123" s="483"/>
      <c r="B123" s="617" t="str">
        <f aca="false">IF(D123="","","Kaivo # 2")</f>
        <v/>
      </c>
      <c r="C123" s="617"/>
      <c r="D123" s="618" t="str">
        <f aca="false">IF(E208&lt;1,"",E208)</f>
        <v/>
      </c>
      <c r="E123" s="619" t="str">
        <f aca="false">IF(F208&lt;1,"",F208)</f>
        <v/>
      </c>
      <c r="F123" s="620" t="str">
        <f aca="false">IF(D123="","",E123/D123)</f>
        <v/>
      </c>
      <c r="G123" s="621" t="str">
        <f aca="false">IF(D123="","",1000*F123/(24*365))</f>
        <v/>
      </c>
      <c r="H123" s="622" t="str">
        <f aca="false">IF(E208&lt;1,"",VLOOKUP(D123,B216:K1316,10,1))</f>
        <v/>
      </c>
      <c r="I123" s="502"/>
      <c r="J123" s="502"/>
      <c r="K123" s="606"/>
      <c r="L123" s="502"/>
      <c r="M123" s="606"/>
      <c r="N123" s="481" t="n">
        <f aca="false">R229</f>
        <v>-14</v>
      </c>
      <c r="O123" s="572" t="n">
        <f aca="false">S229</f>
        <v>79.5600559794448</v>
      </c>
      <c r="P123" s="572" t="n">
        <f aca="false">T229</f>
        <v>66.3000466495374</v>
      </c>
      <c r="Q123" s="590"/>
      <c r="R123" s="319"/>
      <c r="S123" s="319"/>
      <c r="T123" s="319"/>
      <c r="U123" s="319"/>
      <c r="V123" s="319"/>
      <c r="W123" s="319"/>
      <c r="X123" s="319"/>
      <c r="Y123" s="319"/>
      <c r="Z123" s="319"/>
      <c r="AA123" s="319"/>
      <c r="AB123" s="299"/>
      <c r="AC123" s="5"/>
      <c r="AD123" s="5"/>
      <c r="AE123" s="5"/>
      <c r="AF123" s="5"/>
      <c r="AG123" s="5"/>
      <c r="AH123" s="5"/>
      <c r="AI123" s="5"/>
      <c r="AJ123" s="5"/>
      <c r="AK123" s="299"/>
      <c r="AL123" s="299"/>
      <c r="AM123" s="299"/>
      <c r="AN123" s="299"/>
      <c r="AO123" s="357" t="n">
        <v>1.3</v>
      </c>
      <c r="AP123" s="348" t="s">
        <v>378</v>
      </c>
      <c r="AQ123" s="551"/>
      <c r="AR123" s="551"/>
      <c r="AS123" s="299"/>
      <c r="AT123" s="299"/>
      <c r="AU123" s="299"/>
      <c r="AV123" s="8" t="n">
        <v>7</v>
      </c>
      <c r="AW123" s="5" t="s">
        <v>162</v>
      </c>
      <c r="AX123" s="5" t="n">
        <v>726</v>
      </c>
      <c r="AY123" s="5" t="n">
        <v>677</v>
      </c>
      <c r="AZ123" s="5" t="n">
        <v>610</v>
      </c>
      <c r="BA123" s="5" t="n">
        <v>395</v>
      </c>
      <c r="BB123" s="5" t="n">
        <v>159</v>
      </c>
      <c r="BC123" s="5" t="n">
        <v>20</v>
      </c>
      <c r="BD123" s="5" t="n">
        <v>4</v>
      </c>
      <c r="BE123" s="5" t="n">
        <v>31</v>
      </c>
      <c r="BF123" s="5" t="n">
        <v>191</v>
      </c>
      <c r="BG123" s="5" t="n">
        <v>383</v>
      </c>
      <c r="BH123" s="5" t="n">
        <v>528</v>
      </c>
      <c r="BI123" s="5" t="n">
        <v>668</v>
      </c>
      <c r="BJ123" s="5" t="n">
        <v>4392</v>
      </c>
      <c r="BK123" s="5"/>
      <c r="BL123" s="601" t="n">
        <f aca="false">(-1*(($C$196*BJ123+$C$199)/365)+17)+$C$200</f>
        <v>5.79890410958904</v>
      </c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AMJ123" s="504"/>
    </row>
    <row r="124" s="1" customFormat="true" ht="14.15" hidden="false" customHeight="true" outlineLevel="0" collapsed="false">
      <c r="A124" s="483"/>
      <c r="B124" s="617" t="str">
        <f aca="false">IF(D124="","","Kaivo # 3")</f>
        <v/>
      </c>
      <c r="C124" s="617"/>
      <c r="D124" s="618" t="str">
        <f aca="false">IF(E209&lt;1,"",E209)</f>
        <v/>
      </c>
      <c r="E124" s="619" t="str">
        <f aca="false">IF(F209&lt;1,"",F209)</f>
        <v/>
      </c>
      <c r="F124" s="620" t="str">
        <f aca="false">IF(D124="","",E124/D124)</f>
        <v/>
      </c>
      <c r="G124" s="621" t="str">
        <f aca="false">IF(D124="","",1000*F124/(24*365))</f>
        <v/>
      </c>
      <c r="H124" s="622" t="str">
        <f aca="false">IF(E209&lt;1,"",VLOOKUP(D124,B216:K1316,10,1))</f>
        <v/>
      </c>
      <c r="I124" s="502"/>
      <c r="J124" s="502"/>
      <c r="K124" s="606"/>
      <c r="L124" s="502"/>
      <c r="M124" s="606"/>
      <c r="N124" s="481" t="n">
        <f aca="false">R230</f>
        <v>-15</v>
      </c>
      <c r="O124" s="572" t="n">
        <f aca="false">S230</f>
        <v>80.1231988365877</v>
      </c>
      <c r="P124" s="572" t="n">
        <f aca="false">T230</f>
        <v>66.7693323638231</v>
      </c>
      <c r="Q124" s="590"/>
      <c r="R124" s="319"/>
      <c r="S124" s="319"/>
      <c r="T124" s="319"/>
      <c r="U124" s="319"/>
      <c r="V124" s="319"/>
      <c r="W124" s="319"/>
      <c r="X124" s="319"/>
      <c r="Y124" s="319"/>
      <c r="Z124" s="319"/>
      <c r="AA124" s="319"/>
      <c r="AB124" s="299"/>
      <c r="AC124" s="5"/>
      <c r="AD124" s="5"/>
      <c r="AE124" s="5"/>
      <c r="AF124" s="5"/>
      <c r="AG124" s="5"/>
      <c r="AH124" s="5"/>
      <c r="AI124" s="5"/>
      <c r="AJ124" s="5"/>
      <c r="AK124" s="299"/>
      <c r="AL124" s="299"/>
      <c r="AM124" s="299"/>
      <c r="AN124" s="299"/>
      <c r="AO124" s="319" t="n">
        <v>1.5</v>
      </c>
      <c r="AP124" s="299" t="s">
        <v>379</v>
      </c>
      <c r="AQ124" s="551"/>
      <c r="AR124" s="551"/>
      <c r="AS124" s="299"/>
      <c r="AT124" s="299"/>
      <c r="AU124" s="299"/>
      <c r="AV124" s="8" t="n">
        <v>8</v>
      </c>
      <c r="AW124" s="5" t="s">
        <v>163</v>
      </c>
      <c r="AX124" s="5" t="n">
        <v>759</v>
      </c>
      <c r="AY124" s="5" t="n">
        <v>699</v>
      </c>
      <c r="AZ124" s="5" t="n">
        <v>621</v>
      </c>
      <c r="BA124" s="5" t="n">
        <v>403</v>
      </c>
      <c r="BB124" s="5" t="n">
        <v>165</v>
      </c>
      <c r="BC124" s="5" t="n">
        <v>22</v>
      </c>
      <c r="BD124" s="5" t="n">
        <v>5</v>
      </c>
      <c r="BE124" s="5" t="n">
        <v>28</v>
      </c>
      <c r="BF124" s="5" t="n">
        <v>184</v>
      </c>
      <c r="BG124" s="5" t="n">
        <v>386</v>
      </c>
      <c r="BH124" s="5" t="n">
        <v>546</v>
      </c>
      <c r="BI124" s="5" t="n">
        <v>692</v>
      </c>
      <c r="BJ124" s="5" t="n">
        <v>4510</v>
      </c>
      <c r="BK124" s="5"/>
      <c r="BL124" s="601" t="n">
        <f aca="false">(-1*(($C$196*BJ124+$C$199)/365)+17)+$C$200</f>
        <v>5.62756164383562</v>
      </c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AMJ124" s="504"/>
    </row>
    <row r="125" s="1" customFormat="true" ht="14.15" hidden="false" customHeight="true" outlineLevel="0" collapsed="false">
      <c r="A125" s="483"/>
      <c r="B125" s="617" t="str">
        <f aca="false">IF(D125="","","Kaivo # 4")</f>
        <v/>
      </c>
      <c r="C125" s="617"/>
      <c r="D125" s="618" t="str">
        <f aca="false">IF(E210&lt;1,"",E210)</f>
        <v/>
      </c>
      <c r="E125" s="619" t="str">
        <f aca="false">IF(F210&lt;1,"",F210)</f>
        <v/>
      </c>
      <c r="F125" s="620" t="str">
        <f aca="false">IF(D125="","",E125/D125)</f>
        <v/>
      </c>
      <c r="G125" s="621" t="str">
        <f aca="false">IF(D125="","",1000*F125/(24*365))</f>
        <v/>
      </c>
      <c r="H125" s="622" t="str">
        <f aca="false">IF(E210&lt;1,"",VLOOKUP(D125,B216:K1316,10,1))</f>
        <v/>
      </c>
      <c r="I125" s="502"/>
      <c r="J125" s="502"/>
      <c r="K125" s="606"/>
      <c r="L125" s="502"/>
      <c r="M125" s="606"/>
      <c r="N125" s="481" t="n">
        <f aca="false">R231</f>
        <v>-16</v>
      </c>
      <c r="O125" s="572" t="n">
        <f aca="false">S231</f>
        <v>80.6487988365877</v>
      </c>
      <c r="P125" s="572" t="n">
        <f aca="false">T231</f>
        <v>67.2073323638231</v>
      </c>
      <c r="Q125" s="590"/>
      <c r="R125" s="319"/>
      <c r="S125" s="319"/>
      <c r="T125" s="319"/>
      <c r="U125" s="319"/>
      <c r="V125" s="319"/>
      <c r="W125" s="319"/>
      <c r="X125" s="319"/>
      <c r="Y125" s="319"/>
      <c r="Z125" s="319"/>
      <c r="AA125" s="319"/>
      <c r="AB125" s="299"/>
      <c r="AC125" s="5"/>
      <c r="AD125" s="5"/>
      <c r="AE125" s="5"/>
      <c r="AF125" s="5"/>
      <c r="AG125" s="5"/>
      <c r="AH125" s="5"/>
      <c r="AI125" s="5"/>
      <c r="AJ125" s="5"/>
      <c r="AK125" s="299"/>
      <c r="AL125" s="299"/>
      <c r="AM125" s="299"/>
      <c r="AN125" s="299"/>
      <c r="AO125" s="319" t="n">
        <v>3</v>
      </c>
      <c r="AP125" s="299" t="s">
        <v>380</v>
      </c>
      <c r="AQ125" s="551"/>
      <c r="AR125" s="551"/>
      <c r="AS125" s="299"/>
      <c r="AT125" s="299"/>
      <c r="AU125" s="299"/>
      <c r="AV125" s="8" t="n">
        <v>9</v>
      </c>
      <c r="AW125" s="5" t="s">
        <v>164</v>
      </c>
      <c r="AX125" s="5" t="n">
        <v>785</v>
      </c>
      <c r="AY125" s="5" t="n">
        <v>721</v>
      </c>
      <c r="AZ125" s="5" t="n">
        <v>646</v>
      </c>
      <c r="BA125" s="5" t="n">
        <v>440</v>
      </c>
      <c r="BB125" s="5" t="n">
        <v>206</v>
      </c>
      <c r="BC125" s="5" t="n">
        <v>40</v>
      </c>
      <c r="BD125" s="5" t="n">
        <v>10</v>
      </c>
      <c r="BE125" s="5" t="n">
        <v>56</v>
      </c>
      <c r="BF125" s="5" t="n">
        <v>227</v>
      </c>
      <c r="BG125" s="5" t="n">
        <v>414</v>
      </c>
      <c r="BH125" s="5" t="n">
        <v>569</v>
      </c>
      <c r="BI125" s="5" t="n">
        <v>718</v>
      </c>
      <c r="BJ125" s="5" t="n">
        <v>4832</v>
      </c>
      <c r="BK125" s="5"/>
      <c r="BL125" s="601" t="n">
        <f aca="false">(-1*(($C$196*BJ125+$C$199)/365)+17)+$C$200</f>
        <v>5.16</v>
      </c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AMJ125" s="504"/>
    </row>
    <row r="126" s="1" customFormat="true" ht="14.15" hidden="false" customHeight="true" outlineLevel="0" collapsed="false">
      <c r="A126" s="483"/>
      <c r="B126" s="217" t="str">
        <f aca="false">(COUNT(D122:D125)&amp;" -kaivosta  yhteensä vuodessa")</f>
        <v>1 -kaivosta  yhteensä vuodessa</v>
      </c>
      <c r="C126" s="217"/>
      <c r="D126" s="602" t="n">
        <f aca="false">SUM(D122:D125)</f>
        <v>203</v>
      </c>
      <c r="E126" s="623" t="n">
        <f aca="false">IF(F211&lt;1,"",SUM(E122:E125))</f>
        <v>19028</v>
      </c>
      <c r="F126" s="615" t="n">
        <f aca="false">IF(D126="","",E126/D126)</f>
        <v>93.7339901477833</v>
      </c>
      <c r="G126" s="624" t="n">
        <f aca="false">F126/H122</f>
        <v>15.5910711311199</v>
      </c>
      <c r="H126" s="625" t="str">
        <f aca="false">IF(F127&lt;50,"","Pumpun  teho ! ")</f>
        <v/>
      </c>
      <c r="I126" s="502"/>
      <c r="J126" s="502"/>
      <c r="K126" s="606"/>
      <c r="L126" s="502"/>
      <c r="M126" s="606"/>
      <c r="N126" s="481" t="n">
        <f aca="false">R232</f>
        <v>-17</v>
      </c>
      <c r="O126" s="572" t="n">
        <f aca="false">S232</f>
        <v>81.1415488365877</v>
      </c>
      <c r="P126" s="572" t="n">
        <f aca="false">T232</f>
        <v>67.6179573638231</v>
      </c>
      <c r="Q126" s="590"/>
      <c r="R126" s="319"/>
      <c r="S126" s="319"/>
      <c r="T126" s="319"/>
      <c r="U126" s="319"/>
      <c r="V126" s="319"/>
      <c r="W126" s="319"/>
      <c r="X126" s="319"/>
      <c r="Y126" s="319"/>
      <c r="Z126" s="319"/>
      <c r="AA126" s="319"/>
      <c r="AB126" s="299"/>
      <c r="AC126" s="5"/>
      <c r="AD126" s="5"/>
      <c r="AE126" s="5"/>
      <c r="AF126" s="5"/>
      <c r="AG126" s="5"/>
      <c r="AH126" s="5"/>
      <c r="AI126" s="5"/>
      <c r="AJ126" s="5"/>
      <c r="AK126" s="299"/>
      <c r="AL126" s="299"/>
      <c r="AM126" s="299"/>
      <c r="AN126" s="299"/>
      <c r="AO126" s="299"/>
      <c r="AP126" s="299"/>
      <c r="AQ126" s="551"/>
      <c r="AR126" s="551"/>
      <c r="AS126" s="299"/>
      <c r="AT126" s="299"/>
      <c r="AU126" s="299"/>
      <c r="AV126" s="8" t="n">
        <v>10</v>
      </c>
      <c r="AW126" s="5" t="s">
        <v>165</v>
      </c>
      <c r="AX126" s="5" t="n">
        <v>719</v>
      </c>
      <c r="AY126" s="5" t="n">
        <v>666</v>
      </c>
      <c r="AZ126" s="5" t="n">
        <v>619</v>
      </c>
      <c r="BA126" s="5" t="n">
        <v>424</v>
      </c>
      <c r="BB126" s="5" t="n">
        <v>214</v>
      </c>
      <c r="BC126" s="5" t="n">
        <v>29</v>
      </c>
      <c r="BD126" s="5" t="n">
        <v>5</v>
      </c>
      <c r="BE126" s="5" t="n">
        <v>35</v>
      </c>
      <c r="BF126" s="5" t="n">
        <v>192</v>
      </c>
      <c r="BG126" s="5" t="n">
        <v>377</v>
      </c>
      <c r="BH126" s="5" t="n">
        <v>526</v>
      </c>
      <c r="BI126" s="5" t="n">
        <v>663</v>
      </c>
      <c r="BJ126" s="5" t="n">
        <v>4469</v>
      </c>
      <c r="BK126" s="5"/>
      <c r="BL126" s="601" t="n">
        <f aca="false">(-1*(($C$196*BJ126+$C$199)/365)+17)+$C$200</f>
        <v>5.68709589041096</v>
      </c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AMJ126" s="504"/>
    </row>
    <row r="127" s="1" customFormat="true" ht="14.15" hidden="false" customHeight="true" outlineLevel="0" collapsed="false">
      <c r="A127" s="483"/>
      <c r="B127" s="19" t="str">
        <f aca="false">"Enimmäiskuorma kaivosta "&amp;G59&amp;" kW pumpulla"</f>
        <v>Enimmäiskuorma kaivosta 9 kW pumpulla</v>
      </c>
      <c r="C127" s="19"/>
      <c r="D127" s="626" t="n">
        <f aca="false">F36</f>
        <v>3.3</v>
      </c>
      <c r="E127" s="627" t="n">
        <f aca="false">G59-(G59/G36)</f>
        <v>6.27272727272727</v>
      </c>
      <c r="F127" s="628" t="n">
        <f aca="false">1000*E127/D126</f>
        <v>30.9001343484102</v>
      </c>
      <c r="G127" s="629" t="n">
        <f aca="false">1000*E127/D126/H122</f>
        <v>5.13971710611765</v>
      </c>
      <c r="H127" s="625"/>
      <c r="I127" s="502"/>
      <c r="J127" s="502"/>
      <c r="K127" s="502"/>
      <c r="L127" s="502"/>
      <c r="M127" s="606"/>
      <c r="N127" s="481" t="n">
        <f aca="false">R233</f>
        <v>-18</v>
      </c>
      <c r="O127" s="572" t="n">
        <f aca="false">S233</f>
        <v>81.60531354247</v>
      </c>
      <c r="P127" s="572" t="n">
        <f aca="false">T233</f>
        <v>68.0044279520584</v>
      </c>
      <c r="Q127" s="590"/>
      <c r="R127" s="319"/>
      <c r="S127" s="319"/>
      <c r="T127" s="319"/>
      <c r="U127" s="319"/>
      <c r="V127" s="319"/>
      <c r="W127" s="319"/>
      <c r="X127" s="319"/>
      <c r="Y127" s="319"/>
      <c r="Z127" s="319"/>
      <c r="AA127" s="319"/>
      <c r="AB127" s="299"/>
      <c r="AC127" s="5"/>
      <c r="AD127" s="5"/>
      <c r="AE127" s="5"/>
      <c r="AF127" s="5"/>
      <c r="AG127" s="5"/>
      <c r="AH127" s="5"/>
      <c r="AI127" s="5"/>
      <c r="AJ127" s="5"/>
      <c r="AK127" s="319"/>
      <c r="AL127" s="319"/>
      <c r="AM127" s="299"/>
      <c r="AN127" s="319" t="s">
        <v>381</v>
      </c>
      <c r="AO127" s="319" t="s">
        <v>381</v>
      </c>
      <c r="AP127" s="299" t="s">
        <v>381</v>
      </c>
      <c r="AQ127" s="299"/>
      <c r="AR127" s="299"/>
      <c r="AS127" s="299"/>
      <c r="AT127" s="299"/>
      <c r="AU127" s="299"/>
      <c r="AV127" s="8" t="n">
        <v>11</v>
      </c>
      <c r="AW127" s="5" t="s">
        <v>166</v>
      </c>
      <c r="AX127" s="5" t="n">
        <v>812</v>
      </c>
      <c r="AY127" s="5" t="n">
        <v>741</v>
      </c>
      <c r="AZ127" s="5" t="n">
        <v>653</v>
      </c>
      <c r="BA127" s="5" t="n">
        <v>445</v>
      </c>
      <c r="BB127" s="5" t="n">
        <v>198</v>
      </c>
      <c r="BC127" s="5" t="n">
        <v>31</v>
      </c>
      <c r="BD127" s="5" t="n">
        <v>7</v>
      </c>
      <c r="BE127" s="5" t="n">
        <v>38</v>
      </c>
      <c r="BF127" s="5" t="n">
        <v>194</v>
      </c>
      <c r="BG127" s="5" t="n">
        <v>400</v>
      </c>
      <c r="BH127" s="5" t="n">
        <v>571</v>
      </c>
      <c r="BI127" s="5" t="n">
        <v>735</v>
      </c>
      <c r="BJ127" s="5" t="n">
        <v>4825</v>
      </c>
      <c r="BK127" s="5"/>
      <c r="BL127" s="601" t="n">
        <f aca="false">(-1*(($C$196*BJ127+$C$199)/365)+17)+$C$200</f>
        <v>5.17016438356164</v>
      </c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AMJ127" s="504"/>
    </row>
    <row r="128" s="1" customFormat="true" ht="14.15" hidden="false" customHeight="true" outlineLevel="0" collapsed="false">
      <c r="A128" s="483"/>
      <c r="B128" s="217" t="s">
        <v>382</v>
      </c>
      <c r="C128" s="217"/>
      <c r="D128" s="630" t="n">
        <f aca="false">E126</f>
        <v>19028</v>
      </c>
      <c r="E128" s="308" t="n">
        <f aca="false">D128/(24*365)</f>
        <v>2.17214611872146</v>
      </c>
      <c r="F128" s="631" t="n">
        <f aca="false">1000*E128/D126</f>
        <v>10.70022718582</v>
      </c>
      <c r="G128" s="632" t="n">
        <f aca="false">E204</f>
        <v>1.77048456863363</v>
      </c>
      <c r="H128" s="625"/>
      <c r="I128" s="502"/>
      <c r="J128" s="502"/>
      <c r="K128" s="502"/>
      <c r="L128" s="502"/>
      <c r="M128" s="606"/>
      <c r="N128" s="481" t="n">
        <f aca="false">R234</f>
        <v>-19</v>
      </c>
      <c r="O128" s="572" t="n">
        <f aca="false">S234</f>
        <v>82.0433135424701</v>
      </c>
      <c r="P128" s="572" t="n">
        <f aca="false">T234</f>
        <v>68.3694279520584</v>
      </c>
      <c r="Q128" s="590"/>
      <c r="R128" s="319"/>
      <c r="S128" s="319"/>
      <c r="T128" s="319"/>
      <c r="U128" s="319"/>
      <c r="V128" s="319"/>
      <c r="W128" s="319"/>
      <c r="X128" s="319"/>
      <c r="Y128" s="319"/>
      <c r="Z128" s="319"/>
      <c r="AA128" s="319"/>
      <c r="AB128" s="299"/>
      <c r="AC128" s="5"/>
      <c r="AD128" s="5"/>
      <c r="AE128" s="5"/>
      <c r="AF128" s="5"/>
      <c r="AG128" s="5"/>
      <c r="AH128" s="5"/>
      <c r="AI128" s="5"/>
      <c r="AJ128" s="5"/>
      <c r="AK128" s="319"/>
      <c r="AL128" s="319"/>
      <c r="AM128" s="299"/>
      <c r="AN128" s="633" t="n">
        <v>0.6</v>
      </c>
      <c r="AO128" s="544" t="n">
        <v>0.65</v>
      </c>
      <c r="AP128" s="299" t="s">
        <v>383</v>
      </c>
      <c r="AQ128" s="299"/>
      <c r="AR128" s="299"/>
      <c r="AS128" s="299"/>
      <c r="AT128" s="299"/>
      <c r="AU128" s="299"/>
      <c r="AV128" s="8" t="n">
        <v>12</v>
      </c>
      <c r="AW128" s="5" t="s">
        <v>167</v>
      </c>
      <c r="AX128" s="5" t="n">
        <v>826</v>
      </c>
      <c r="AY128" s="5" t="n">
        <v>753</v>
      </c>
      <c r="AZ128" s="5" t="n">
        <v>665</v>
      </c>
      <c r="BA128" s="5" t="n">
        <v>456</v>
      </c>
      <c r="BB128" s="5" t="n">
        <v>216</v>
      </c>
      <c r="BC128" s="5" t="n">
        <v>39</v>
      </c>
      <c r="BD128" s="5" t="n">
        <v>10</v>
      </c>
      <c r="BE128" s="5" t="n">
        <v>47</v>
      </c>
      <c r="BF128" s="5" t="n">
        <v>215</v>
      </c>
      <c r="BG128" s="5" t="n">
        <v>416</v>
      </c>
      <c r="BH128" s="5" t="n">
        <v>589</v>
      </c>
      <c r="BI128" s="5" t="n">
        <v>752</v>
      </c>
      <c r="BJ128" s="5" t="n">
        <v>4984</v>
      </c>
      <c r="BK128" s="5"/>
      <c r="BL128" s="601" t="n">
        <f aca="false">(-1*(($C$196*BJ128+$C$199)/365)+17)+$C$200</f>
        <v>4.93928767123288</v>
      </c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AMJ128" s="504"/>
    </row>
    <row r="129" s="1" customFormat="true" ht="14.15" hidden="false" customHeight="true" outlineLevel="0" collapsed="false">
      <c r="A129" s="483"/>
      <c r="B129" s="502"/>
      <c r="C129" s="502"/>
      <c r="D129" s="606"/>
      <c r="E129" s="502"/>
      <c r="F129" s="502"/>
      <c r="G129" s="502"/>
      <c r="H129" s="502"/>
      <c r="I129" s="502"/>
      <c r="J129" s="502"/>
      <c r="K129" s="606"/>
      <c r="L129" s="502"/>
      <c r="M129" s="606"/>
      <c r="N129" s="481" t="n">
        <f aca="false">R235</f>
        <v>-20</v>
      </c>
      <c r="O129" s="572" t="n">
        <f aca="false">S235</f>
        <v>82.4582609108911</v>
      </c>
      <c r="P129" s="572" t="n">
        <f aca="false">T235</f>
        <v>68.7152174257426</v>
      </c>
      <c r="Q129" s="590"/>
      <c r="R129" s="319"/>
      <c r="S129" s="319"/>
      <c r="T129" s="319"/>
      <c r="U129" s="319"/>
      <c r="V129" s="319"/>
      <c r="W129" s="319"/>
      <c r="X129" s="319"/>
      <c r="Y129" s="319"/>
      <c r="Z129" s="319"/>
      <c r="AA129" s="319"/>
      <c r="AB129" s="299"/>
      <c r="AC129" s="5"/>
      <c r="AD129" s="5"/>
      <c r="AE129" s="5"/>
      <c r="AF129" s="5"/>
      <c r="AG129" s="5"/>
      <c r="AH129" s="5"/>
      <c r="AI129" s="5"/>
      <c r="AJ129" s="5"/>
      <c r="AK129" s="319"/>
      <c r="AL129" s="319"/>
      <c r="AM129" s="299"/>
      <c r="AN129" s="299"/>
      <c r="AO129" s="544" t="n">
        <v>3</v>
      </c>
      <c r="AP129" s="299" t="s">
        <v>384</v>
      </c>
      <c r="AQ129" s="299"/>
      <c r="AR129" s="502"/>
      <c r="AS129" s="299"/>
      <c r="AT129" s="299"/>
      <c r="AU129" s="299"/>
      <c r="AV129" s="8" t="n">
        <v>13</v>
      </c>
      <c r="AW129" s="5" t="s">
        <v>168</v>
      </c>
      <c r="AX129" s="5" t="n">
        <v>864</v>
      </c>
      <c r="AY129" s="5" t="n">
        <v>777</v>
      </c>
      <c r="AZ129" s="5" t="n">
        <v>695</v>
      </c>
      <c r="BA129" s="5" t="n">
        <v>479</v>
      </c>
      <c r="BB129" s="5" t="n">
        <v>251</v>
      </c>
      <c r="BC129" s="5" t="n">
        <v>57</v>
      </c>
      <c r="BD129" s="5" t="n">
        <v>17</v>
      </c>
      <c r="BE129" s="5" t="n">
        <v>75</v>
      </c>
      <c r="BF129" s="5" t="n">
        <v>245</v>
      </c>
      <c r="BG129" s="5" t="n">
        <v>441</v>
      </c>
      <c r="BH129" s="5" t="n">
        <v>618</v>
      </c>
      <c r="BI129" s="5" t="n">
        <v>785</v>
      </c>
      <c r="BJ129" s="5" t="n">
        <v>5304</v>
      </c>
      <c r="BK129" s="5"/>
      <c r="BL129" s="601" t="n">
        <f aca="false">(-1*(($C$196*BJ129+$C$199)/365)+17)+$C$200</f>
        <v>4.4746301369863</v>
      </c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AMJ129" s="504"/>
    </row>
    <row r="130" s="1" customFormat="true" ht="14.15" hidden="false" customHeight="true" outlineLevel="0" collapsed="false">
      <c r="A130" s="483"/>
      <c r="B130" s="634" t="s">
        <v>385</v>
      </c>
      <c r="C130" s="634"/>
      <c r="D130" s="634"/>
      <c r="E130" s="634"/>
      <c r="F130" s="634"/>
      <c r="G130" s="634"/>
      <c r="H130" s="589" t="n">
        <f aca="false">H114</f>
        <v>19027.6060606061</v>
      </c>
      <c r="I130" s="299"/>
      <c r="J130" s="319"/>
      <c r="K130" s="319"/>
      <c r="L130" s="299"/>
      <c r="M130" s="319"/>
      <c r="N130" s="481" t="n">
        <f aca="false">R236</f>
        <v>-21</v>
      </c>
      <c r="O130" s="572" t="n">
        <f aca="false">S236</f>
        <v>82.6159409108911</v>
      </c>
      <c r="P130" s="572" t="n">
        <f aca="false">T236</f>
        <v>68.8466174257426</v>
      </c>
      <c r="Q130" s="590"/>
      <c r="R130" s="299"/>
      <c r="S130" s="299"/>
      <c r="T130" s="299"/>
      <c r="U130" s="299"/>
      <c r="V130" s="578"/>
      <c r="W130" s="319"/>
      <c r="X130" s="319"/>
      <c r="Y130" s="319"/>
      <c r="Z130" s="319"/>
      <c r="AA130" s="319"/>
      <c r="AB130" s="299"/>
      <c r="AC130" s="5"/>
      <c r="AD130" s="5"/>
      <c r="AE130" s="5"/>
      <c r="AF130" s="5"/>
      <c r="AG130" s="5"/>
      <c r="AH130" s="5"/>
      <c r="AI130" s="5"/>
      <c r="AJ130" s="5"/>
      <c r="AK130" s="319"/>
      <c r="AL130" s="319"/>
      <c r="AM130" s="299"/>
      <c r="AN130" s="319" t="s">
        <v>386</v>
      </c>
      <c r="AO130" s="633" t="n">
        <v>1.82</v>
      </c>
      <c r="AP130" s="299" t="s">
        <v>387</v>
      </c>
      <c r="AQ130" s="299"/>
      <c r="AR130" s="299"/>
      <c r="AS130" s="299"/>
      <c r="AT130" s="299"/>
      <c r="AU130" s="299"/>
      <c r="AV130" s="8" t="n">
        <v>14</v>
      </c>
      <c r="AW130" s="5" t="s">
        <v>169</v>
      </c>
      <c r="AX130" s="5" t="n">
        <v>824</v>
      </c>
      <c r="AY130" s="5" t="n">
        <v>742</v>
      </c>
      <c r="AZ130" s="5" t="n">
        <v>677</v>
      </c>
      <c r="BA130" s="5" t="n">
        <v>465</v>
      </c>
      <c r="BB130" s="5" t="n">
        <v>249</v>
      </c>
      <c r="BC130" s="5" t="n">
        <v>47</v>
      </c>
      <c r="BD130" s="5" t="n">
        <v>9</v>
      </c>
      <c r="BE130" s="5" t="n">
        <v>55</v>
      </c>
      <c r="BF130" s="5" t="n">
        <v>224</v>
      </c>
      <c r="BG130" s="5" t="n">
        <v>423</v>
      </c>
      <c r="BH130" s="5" t="n">
        <v>593</v>
      </c>
      <c r="BI130" s="5" t="n">
        <v>749</v>
      </c>
      <c r="BJ130" s="5" t="n">
        <v>5057</v>
      </c>
      <c r="BK130" s="5"/>
      <c r="BL130" s="601" t="n">
        <f aca="false">(-1*(($C$196*BJ130+$C$199)/365)+17)+$C$200</f>
        <v>4.83328767123288</v>
      </c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AMJ130" s="504"/>
    </row>
    <row r="131" s="1" customFormat="true" ht="14.15" hidden="false" customHeight="true" outlineLevel="0" collapsed="false">
      <c r="A131" s="483"/>
      <c r="B131" s="635" t="s">
        <v>388</v>
      </c>
      <c r="C131" s="635"/>
      <c r="D131" s="585" t="s">
        <v>347</v>
      </c>
      <c r="E131" s="586" t="s">
        <v>348</v>
      </c>
      <c r="F131" s="587" t="s">
        <v>349</v>
      </c>
      <c r="G131" s="588" t="s">
        <v>350</v>
      </c>
      <c r="H131" s="636" t="s">
        <v>389</v>
      </c>
      <c r="I131" s="5"/>
      <c r="J131" s="5"/>
      <c r="K131" s="8"/>
      <c r="L131" s="5"/>
      <c r="M131" s="8"/>
      <c r="N131" s="481" t="n">
        <f aca="false">R237</f>
        <v>-22</v>
      </c>
      <c r="O131" s="572" t="n">
        <f aca="false">S237</f>
        <v>82.7736209108911</v>
      </c>
      <c r="P131" s="572" t="n">
        <f aca="false">T237</f>
        <v>68.9780174257426</v>
      </c>
      <c r="Q131" s="590"/>
      <c r="R131" s="299"/>
      <c r="S131" s="299"/>
      <c r="T131" s="299"/>
      <c r="U131" s="299"/>
      <c r="V131" s="578"/>
      <c r="W131" s="319"/>
      <c r="X131" s="319"/>
      <c r="Y131" s="319"/>
      <c r="Z131" s="319"/>
      <c r="AA131" s="319"/>
      <c r="AB131" s="299"/>
      <c r="AC131" s="5"/>
      <c r="AD131" s="5"/>
      <c r="AE131" s="5"/>
      <c r="AF131" s="5"/>
      <c r="AG131" s="5"/>
      <c r="AH131" s="5"/>
      <c r="AI131" s="5"/>
      <c r="AJ131" s="5"/>
      <c r="AK131" s="319"/>
      <c r="AL131" s="319"/>
      <c r="AM131" s="299"/>
      <c r="AN131" s="319"/>
      <c r="AO131" s="637"/>
      <c r="AP131" s="348"/>
      <c r="AQ131" s="299"/>
      <c r="AR131" s="299"/>
      <c r="AS131" s="299"/>
      <c r="AT131" s="299"/>
      <c r="AU131" s="299"/>
      <c r="AV131" s="8" t="n">
        <v>15</v>
      </c>
      <c r="AW131" s="5" t="s">
        <v>170</v>
      </c>
      <c r="AX131" s="5" t="n">
        <v>946</v>
      </c>
      <c r="AY131" s="5" t="n">
        <v>838</v>
      </c>
      <c r="AZ131" s="5" t="n">
        <v>760</v>
      </c>
      <c r="BA131" s="5" t="n">
        <v>548</v>
      </c>
      <c r="BB131" s="5" t="n">
        <v>345</v>
      </c>
      <c r="BC131" s="5" t="n">
        <v>106</v>
      </c>
      <c r="BD131" s="5" t="n">
        <v>49</v>
      </c>
      <c r="BE131" s="5" t="n">
        <v>136</v>
      </c>
      <c r="BF131" s="5" t="n">
        <v>316</v>
      </c>
      <c r="BG131" s="5" t="n">
        <v>523</v>
      </c>
      <c r="BH131" s="5" t="n">
        <v>722</v>
      </c>
      <c r="BI131" s="5" t="n">
        <v>891</v>
      </c>
      <c r="BJ131" s="5" t="n">
        <v>6180</v>
      </c>
      <c r="BK131" s="5"/>
      <c r="BL131" s="601" t="n">
        <f aca="false">(-1*(($C$196*BJ131+$C$199)/365)+17)+$C$200</f>
        <v>3.2026301369863</v>
      </c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AMJ131" s="504"/>
    </row>
    <row r="132" s="1" customFormat="true" ht="14.15" hidden="false" customHeight="true" outlineLevel="0" collapsed="false">
      <c r="A132" s="483"/>
      <c r="B132" s="638" t="s">
        <v>352</v>
      </c>
      <c r="C132" s="638"/>
      <c r="D132" s="591" t="n">
        <v>0</v>
      </c>
      <c r="E132" s="592" t="n">
        <f aca="false">E115</f>
        <v>10</v>
      </c>
      <c r="F132" s="593" t="n">
        <f aca="false">VLOOKUP(E132,L215:P1316,5,1)</f>
        <v>374.076491564032</v>
      </c>
      <c r="G132" s="594" t="n">
        <f aca="false">IF(D104&lt;1,"",F132/(E132-D132))</f>
        <v>37.4076491564032</v>
      </c>
      <c r="H132" s="636"/>
      <c r="I132" s="502"/>
      <c r="J132" s="502"/>
      <c r="K132" s="606"/>
      <c r="L132" s="502"/>
      <c r="M132" s="606"/>
      <c r="N132" s="481" t="n">
        <f aca="false">R238</f>
        <v>-23</v>
      </c>
      <c r="O132" s="572" t="n">
        <f aca="false">S238</f>
        <v>82.9313009108911</v>
      </c>
      <c r="P132" s="572" t="n">
        <f aca="false">T238</f>
        <v>69.1094174257426</v>
      </c>
      <c r="Q132" s="590"/>
      <c r="R132" s="299"/>
      <c r="S132" s="299"/>
      <c r="T132" s="299"/>
      <c r="U132" s="299"/>
      <c r="V132" s="578"/>
      <c r="W132" s="319"/>
      <c r="X132" s="319"/>
      <c r="Y132" s="319"/>
      <c r="Z132" s="319"/>
      <c r="AA132" s="319"/>
      <c r="AB132" s="299"/>
      <c r="AC132" s="5"/>
      <c r="AD132" s="5"/>
      <c r="AE132" s="5"/>
      <c r="AF132" s="5"/>
      <c r="AG132" s="5"/>
      <c r="AH132" s="5"/>
      <c r="AI132" s="5"/>
      <c r="AJ132" s="5"/>
      <c r="AK132" s="639"/>
      <c r="AL132" s="319"/>
      <c r="AM132" s="360" t="n">
        <f aca="false">R7+R8</f>
        <v>23857</v>
      </c>
      <c r="AN132" s="319" t="s">
        <v>390</v>
      </c>
      <c r="AO132" s="640" t="n">
        <f aca="false">AM132/AP132</f>
        <v>7229.39393939394</v>
      </c>
      <c r="AP132" s="641" t="n">
        <f aca="false">F36</f>
        <v>3.3</v>
      </c>
      <c r="AQ132" s="299"/>
      <c r="AR132" s="544"/>
      <c r="AS132" s="299"/>
      <c r="AT132" s="299"/>
      <c r="AU132" s="299"/>
      <c r="AV132" s="8" t="n">
        <v>16</v>
      </c>
      <c r="AW132" s="5" t="s">
        <v>171</v>
      </c>
      <c r="AX132" s="5" t="n">
        <v>923</v>
      </c>
      <c r="AY132" s="5" t="n">
        <v>819</v>
      </c>
      <c r="AZ132" s="5" t="n">
        <v>755</v>
      </c>
      <c r="BA132" s="5" t="n">
        <v>557</v>
      </c>
      <c r="BB132" s="5" t="n">
        <v>377</v>
      </c>
      <c r="BC132" s="5" t="n">
        <v>146</v>
      </c>
      <c r="BD132" s="5" t="n">
        <v>69</v>
      </c>
      <c r="BE132" s="5" t="n">
        <v>147</v>
      </c>
      <c r="BF132" s="5" t="n">
        <v>318</v>
      </c>
      <c r="BG132" s="5" t="n">
        <v>523</v>
      </c>
      <c r="BH132" s="5" t="n">
        <v>722</v>
      </c>
      <c r="BI132" s="5" t="n">
        <v>875</v>
      </c>
      <c r="BJ132" s="642" t="n">
        <v>6231</v>
      </c>
      <c r="BK132" s="5"/>
      <c r="BL132" s="601" t="n">
        <f aca="false">(-1*(($C$196*BJ132+$C$199)/365)+17)+$C$200</f>
        <v>3.12857534246575</v>
      </c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AMJ132" s="504"/>
    </row>
    <row r="133" s="1" customFormat="true" ht="14.15" hidden="false" customHeight="true" outlineLevel="0" collapsed="false">
      <c r="A133" s="483"/>
      <c r="B133" s="638" t="s">
        <v>355</v>
      </c>
      <c r="C133" s="638"/>
      <c r="D133" s="591" t="n">
        <f aca="false">D116</f>
        <v>10</v>
      </c>
      <c r="E133" s="592" t="n">
        <f aca="false">E116</f>
        <v>20</v>
      </c>
      <c r="F133" s="593" t="n">
        <f aca="false">VLOOKUP(E133,L215:P1316,5,1)-F132</f>
        <v>668.675455446051</v>
      </c>
      <c r="G133" s="594" t="n">
        <f aca="false">F133/(E133-D133)</f>
        <v>66.8675455446051</v>
      </c>
      <c r="H133" s="643" t="n">
        <f aca="false">D138</f>
        <v>236</v>
      </c>
      <c r="I133" s="502"/>
      <c r="J133" s="502"/>
      <c r="K133" s="606"/>
      <c r="L133" s="502"/>
      <c r="M133" s="606"/>
      <c r="N133" s="481" t="n">
        <f aca="false">R239</f>
        <v>-24</v>
      </c>
      <c r="O133" s="572" t="n">
        <f aca="false">S239</f>
        <v>83.0889809108911</v>
      </c>
      <c r="P133" s="572" t="n">
        <f aca="false">T239</f>
        <v>69.2408174257426</v>
      </c>
      <c r="Q133" s="590"/>
      <c r="R133" s="299"/>
      <c r="S133" s="299"/>
      <c r="T133" s="299"/>
      <c r="U133" s="299"/>
      <c r="V133" s="578"/>
      <c r="W133" s="319"/>
      <c r="X133" s="319"/>
      <c r="Y133" s="319"/>
      <c r="Z133" s="319"/>
      <c r="AA133" s="319"/>
      <c r="AB133" s="299"/>
      <c r="AC133" s="5"/>
      <c r="AD133" s="5"/>
      <c r="AE133" s="5"/>
      <c r="AF133" s="5"/>
      <c r="AG133" s="5"/>
      <c r="AH133" s="5"/>
      <c r="AI133" s="5"/>
      <c r="AJ133" s="5"/>
      <c r="AK133" s="319"/>
      <c r="AL133" s="319"/>
      <c r="AM133" s="360" t="n">
        <f aca="false">$F$39</f>
        <v>4000</v>
      </c>
      <c r="AN133" s="319" t="s">
        <v>391</v>
      </c>
      <c r="AO133" s="640" t="n">
        <f aca="false">AM133/AP133</f>
        <v>1600</v>
      </c>
      <c r="AP133" s="641" t="n">
        <f aca="false">F40</f>
        <v>2.5</v>
      </c>
      <c r="AQ133" s="299"/>
      <c r="AR133" s="299"/>
      <c r="AS133" s="299"/>
      <c r="AT133" s="299"/>
      <c r="AU133" s="299"/>
      <c r="AV133" s="8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AMJ133" s="504"/>
    </row>
    <row r="134" s="1" customFormat="true" ht="14.15" hidden="false" customHeight="true" outlineLevel="0" collapsed="false">
      <c r="A134" s="483"/>
      <c r="B134" s="638" t="s">
        <v>359</v>
      </c>
      <c r="C134" s="638"/>
      <c r="D134" s="591" t="n">
        <f aca="false">D117</f>
        <v>20</v>
      </c>
      <c r="E134" s="592" t="n">
        <f aca="false">D138</f>
        <v>236</v>
      </c>
      <c r="F134" s="593" t="n">
        <f aca="false">VLOOKUP(E134,L215:P1316,5,1)-F132-F133</f>
        <v>17921.9773639603</v>
      </c>
      <c r="G134" s="594" t="n">
        <f aca="false">F134/(E134-D134)</f>
        <v>82.9721174257423</v>
      </c>
      <c r="H134" s="643"/>
      <c r="I134" s="502"/>
      <c r="J134" s="502"/>
      <c r="K134" s="606"/>
      <c r="L134" s="502"/>
      <c r="M134" s="606"/>
      <c r="N134" s="481" t="n">
        <f aca="false">R240</f>
        <v>-25</v>
      </c>
      <c r="O134" s="572" t="n">
        <f aca="false">S240</f>
        <v>83.2466609108911</v>
      </c>
      <c r="P134" s="572" t="n">
        <f aca="false">T240</f>
        <v>69.3722174257426</v>
      </c>
      <c r="Q134" s="590"/>
      <c r="R134" s="299"/>
      <c r="S134" s="299"/>
      <c r="T134" s="299"/>
      <c r="U134" s="299"/>
      <c r="V134" s="578"/>
      <c r="W134" s="319"/>
      <c r="X134" s="319"/>
      <c r="Y134" s="319"/>
      <c r="Z134" s="319"/>
      <c r="AA134" s="319"/>
      <c r="AB134" s="299"/>
      <c r="AC134" s="5"/>
      <c r="AD134" s="5"/>
      <c r="AE134" s="5"/>
      <c r="AF134" s="5"/>
      <c r="AG134" s="5"/>
      <c r="AH134" s="5"/>
      <c r="AI134" s="5"/>
      <c r="AJ134" s="5"/>
      <c r="AK134" s="319"/>
      <c r="AL134" s="319"/>
      <c r="AM134" s="299"/>
      <c r="AN134" s="319" t="s">
        <v>392</v>
      </c>
      <c r="AO134" s="644" t="n">
        <f aca="false">(AM132+AM133)/(AO132+AO133)</f>
        <v>3.15502968733912</v>
      </c>
      <c r="AP134" s="299"/>
      <c r="AQ134" s="299"/>
      <c r="AR134" s="299"/>
      <c r="AS134" s="299"/>
      <c r="AT134" s="299"/>
      <c r="AU134" s="299"/>
      <c r="AV134" s="645"/>
      <c r="AW134" s="646" t="n">
        <v>1</v>
      </c>
      <c r="AX134" s="647" t="n">
        <v>2</v>
      </c>
      <c r="AY134" s="647" t="n">
        <v>3</v>
      </c>
      <c r="AZ134" s="647" t="n">
        <v>4</v>
      </c>
      <c r="BA134" s="647" t="n">
        <v>5</v>
      </c>
      <c r="BB134" s="647" t="n">
        <v>6</v>
      </c>
      <c r="BC134" s="647" t="n">
        <v>7</v>
      </c>
      <c r="BD134" s="647" t="n">
        <v>8</v>
      </c>
      <c r="BE134" s="647" t="n">
        <v>9</v>
      </c>
      <c r="BF134" s="647" t="n">
        <v>10</v>
      </c>
      <c r="BG134" s="647" t="n">
        <v>11</v>
      </c>
      <c r="BH134" s="647" t="n">
        <v>12</v>
      </c>
      <c r="BI134" s="647" t="n">
        <v>13</v>
      </c>
      <c r="BJ134" s="647" t="n">
        <v>14</v>
      </c>
      <c r="BK134" s="647" t="n">
        <v>15</v>
      </c>
      <c r="BL134" s="647" t="n">
        <v>16</v>
      </c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AMJ134" s="504"/>
    </row>
    <row r="135" s="1" customFormat="true" ht="14.15" hidden="false" customHeight="true" outlineLevel="0" collapsed="false">
      <c r="A135" s="483"/>
      <c r="B135" s="648" t="s">
        <v>362</v>
      </c>
      <c r="C135" s="648"/>
      <c r="D135" s="602" t="n">
        <v>0</v>
      </c>
      <c r="E135" s="603" t="n">
        <f aca="false">D138</f>
        <v>236</v>
      </c>
      <c r="F135" s="649" t="n">
        <f aca="false">VLOOKUP(E135,L215:P1316,5,1)</f>
        <v>18964.7293109704</v>
      </c>
      <c r="G135" s="605" t="n">
        <f aca="false">F135/(E135-D135)</f>
        <v>80.3590225041119</v>
      </c>
      <c r="H135" s="643"/>
      <c r="I135" s="502"/>
      <c r="J135" s="502"/>
      <c r="K135" s="606"/>
      <c r="L135" s="502"/>
      <c r="M135" s="606"/>
      <c r="N135" s="481" t="n">
        <f aca="false">R241</f>
        <v>-26</v>
      </c>
      <c r="O135" s="572" t="n">
        <f aca="false">S241</f>
        <v>83.4043409108911</v>
      </c>
      <c r="P135" s="572" t="n">
        <f aca="false">T241</f>
        <v>69.5036174257426</v>
      </c>
      <c r="Q135" s="590"/>
      <c r="R135" s="299"/>
      <c r="S135" s="299"/>
      <c r="T135" s="299"/>
      <c r="U135" s="299"/>
      <c r="V135" s="578"/>
      <c r="W135" s="319"/>
      <c r="X135" s="319"/>
      <c r="Y135" s="319"/>
      <c r="Z135" s="319"/>
      <c r="AA135" s="319"/>
      <c r="AB135" s="299"/>
      <c r="AC135" s="5"/>
      <c r="AD135" s="5"/>
      <c r="AE135" s="5"/>
      <c r="AF135" s="5"/>
      <c r="AG135" s="5"/>
      <c r="AH135" s="5"/>
      <c r="AI135" s="5"/>
      <c r="AJ135" s="5"/>
      <c r="AK135" s="319"/>
      <c r="AL135" s="319"/>
      <c r="AM135" s="299"/>
      <c r="AN135" s="319"/>
      <c r="AO135" s="319"/>
      <c r="AP135" s="299"/>
      <c r="AQ135" s="299"/>
      <c r="AR135" s="299"/>
      <c r="AS135" s="299"/>
      <c r="AT135" s="299"/>
      <c r="AU135" s="299"/>
      <c r="AV135" s="542"/>
      <c r="AW135" s="541"/>
      <c r="AX135" s="543" t="s">
        <v>174</v>
      </c>
      <c r="AY135" s="543" t="s">
        <v>180</v>
      </c>
      <c r="AZ135" s="543" t="s">
        <v>185</v>
      </c>
      <c r="BA135" s="543" t="s">
        <v>190</v>
      </c>
      <c r="BB135" s="543" t="s">
        <v>194</v>
      </c>
      <c r="BC135" s="543" t="s">
        <v>197</v>
      </c>
      <c r="BD135" s="543" t="s">
        <v>200</v>
      </c>
      <c r="BE135" s="543" t="s">
        <v>203</v>
      </c>
      <c r="BF135" s="543" t="s">
        <v>205</v>
      </c>
      <c r="BG135" s="543" t="s">
        <v>211</v>
      </c>
      <c r="BH135" s="543" t="s">
        <v>215</v>
      </c>
      <c r="BI135" s="543" t="s">
        <v>228</v>
      </c>
      <c r="BJ135" s="543" t="s">
        <v>149</v>
      </c>
      <c r="BK135" s="541"/>
      <c r="BL135" s="542" t="s">
        <v>358</v>
      </c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AMJ135" s="504"/>
    </row>
    <row r="136" s="1" customFormat="true" ht="14.15" hidden="false" customHeight="true" outlineLevel="0" collapsed="false">
      <c r="A136" s="483"/>
      <c r="B136" s="650"/>
      <c r="C136" s="608"/>
      <c r="D136" s="651" t="str">
        <f aca="false">IF((E143-E138)&lt;0,E143-E138,"")</f>
        <v/>
      </c>
      <c r="E136" s="608"/>
      <c r="F136" s="608"/>
      <c r="G136" s="609"/>
      <c r="H136" s="643"/>
      <c r="I136" s="502"/>
      <c r="J136" s="502"/>
      <c r="K136" s="606"/>
      <c r="L136" s="502"/>
      <c r="M136" s="606"/>
      <c r="N136" s="481" t="n">
        <f aca="false">R242</f>
        <v>-27</v>
      </c>
      <c r="O136" s="572" t="n">
        <f aca="false">S242</f>
        <v>83.5620209108911</v>
      </c>
      <c r="P136" s="572" t="n">
        <f aca="false">T242</f>
        <v>69.6350174257425</v>
      </c>
      <c r="Q136" s="590"/>
      <c r="R136" s="299"/>
      <c r="S136" s="299"/>
      <c r="T136" s="299"/>
      <c r="U136" s="299"/>
      <c r="V136" s="578"/>
      <c r="W136" s="319"/>
      <c r="X136" s="319"/>
      <c r="Y136" s="319"/>
      <c r="Z136" s="319"/>
      <c r="AA136" s="319"/>
      <c r="AB136" s="299"/>
      <c r="AC136" s="5"/>
      <c r="AD136" s="5"/>
      <c r="AE136" s="5"/>
      <c r="AF136" s="5"/>
      <c r="AG136" s="5"/>
      <c r="AH136" s="5"/>
      <c r="AI136" s="5"/>
      <c r="AJ136" s="5"/>
      <c r="AK136" s="319"/>
      <c r="AL136" s="319"/>
      <c r="AM136" s="502"/>
      <c r="AN136" s="502"/>
      <c r="AO136" s="502"/>
      <c r="AP136" s="502"/>
      <c r="AQ136" s="299"/>
      <c r="AR136" s="299"/>
      <c r="AS136" s="299"/>
      <c r="AT136" s="299"/>
      <c r="AU136" s="299"/>
      <c r="AV136" s="8"/>
      <c r="AW136" s="5" t="s">
        <v>158</v>
      </c>
      <c r="AX136" s="5" t="n">
        <v>647</v>
      </c>
      <c r="AY136" s="5" t="n">
        <v>612</v>
      </c>
      <c r="AZ136" s="5" t="n">
        <v>566</v>
      </c>
      <c r="BA136" s="5" t="n">
        <v>383</v>
      </c>
      <c r="BB136" s="5" t="n">
        <v>153</v>
      </c>
      <c r="BC136" s="5" t="n">
        <v>11</v>
      </c>
      <c r="BD136" s="5" t="n">
        <v>1</v>
      </c>
      <c r="BE136" s="5" t="n">
        <v>12</v>
      </c>
      <c r="BF136" s="5" t="n">
        <v>125</v>
      </c>
      <c r="BG136" s="5" t="n">
        <v>316</v>
      </c>
      <c r="BH136" s="5" t="n">
        <v>464</v>
      </c>
      <c r="BI136" s="5" t="n">
        <v>588</v>
      </c>
      <c r="BJ136" s="5" t="n">
        <v>3878</v>
      </c>
      <c r="BK136" s="5"/>
      <c r="BL136" s="601" t="n">
        <f aca="false">(-1*(($C$196*BJ136+$C$199)/365)+17)+$C$200</f>
        <v>6.5452602739726</v>
      </c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AMJ136" s="504"/>
    </row>
    <row r="137" s="1" customFormat="true" ht="14.15" hidden="false" customHeight="true" outlineLevel="0" collapsed="false">
      <c r="A137" s="483"/>
      <c r="B137" s="652" t="s">
        <v>393</v>
      </c>
      <c r="C137" s="652"/>
      <c r="D137" s="580" t="n">
        <v>240</v>
      </c>
      <c r="E137" s="611" t="s">
        <v>394</v>
      </c>
      <c r="F137" s="612" t="s">
        <v>368</v>
      </c>
      <c r="G137" s="613" t="s">
        <v>369</v>
      </c>
      <c r="H137" s="653" t="s">
        <v>370</v>
      </c>
      <c r="I137" s="502"/>
      <c r="J137" s="502"/>
      <c r="K137" s="606"/>
      <c r="L137" s="502"/>
      <c r="M137" s="606"/>
      <c r="N137" s="481" t="n">
        <f aca="false">R243</f>
        <v>-28</v>
      </c>
      <c r="O137" s="572" t="n">
        <f aca="false">S243</f>
        <v>83.7197009108911</v>
      </c>
      <c r="P137" s="572" t="n">
        <f aca="false">T243</f>
        <v>69.7664174257426</v>
      </c>
      <c r="Q137" s="590"/>
      <c r="R137" s="299"/>
      <c r="S137" s="299"/>
      <c r="T137" s="299"/>
      <c r="U137" s="299"/>
      <c r="V137" s="578"/>
      <c r="W137" s="319"/>
      <c r="X137" s="319"/>
      <c r="Y137" s="319"/>
      <c r="Z137" s="319"/>
      <c r="AA137" s="319"/>
      <c r="AB137" s="299"/>
      <c r="AC137" s="5"/>
      <c r="AD137" s="5"/>
      <c r="AE137" s="5"/>
      <c r="AF137" s="5"/>
      <c r="AG137" s="5"/>
      <c r="AH137" s="5"/>
      <c r="AI137" s="5"/>
      <c r="AJ137" s="5"/>
      <c r="AK137" s="319"/>
      <c r="AL137" s="319"/>
      <c r="AM137" s="502"/>
      <c r="AN137" s="502"/>
      <c r="AO137" s="502"/>
      <c r="AP137" s="502"/>
      <c r="AQ137" s="299"/>
      <c r="AR137" s="299"/>
      <c r="AS137" s="299"/>
      <c r="AT137" s="299"/>
      <c r="AU137" s="299"/>
      <c r="AV137" s="8"/>
      <c r="AW137" s="5" t="s">
        <v>171</v>
      </c>
      <c r="AX137" s="5" t="n">
        <v>923</v>
      </c>
      <c r="AY137" s="5" t="n">
        <v>819</v>
      </c>
      <c r="AZ137" s="5" t="n">
        <v>755</v>
      </c>
      <c r="BA137" s="5" t="n">
        <v>557</v>
      </c>
      <c r="BB137" s="5" t="n">
        <v>377</v>
      </c>
      <c r="BC137" s="5" t="n">
        <v>146</v>
      </c>
      <c r="BD137" s="5" t="n">
        <v>69</v>
      </c>
      <c r="BE137" s="5" t="n">
        <v>147</v>
      </c>
      <c r="BF137" s="5" t="n">
        <v>318</v>
      </c>
      <c r="BG137" s="5" t="n">
        <v>523</v>
      </c>
      <c r="BH137" s="5" t="n">
        <v>722</v>
      </c>
      <c r="BI137" s="5" t="n">
        <v>875</v>
      </c>
      <c r="BJ137" s="642" t="n">
        <v>6231</v>
      </c>
      <c r="BK137" s="5"/>
      <c r="BL137" s="601" t="n">
        <f aca="false">(-1*(($C$196*BJ137+$C$199)/365)+17)+$C$200</f>
        <v>3.12857534246575</v>
      </c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AMJ137" s="504"/>
    </row>
    <row r="138" s="1" customFormat="true" ht="14.15" hidden="false" customHeight="true" outlineLevel="0" collapsed="false">
      <c r="A138" s="483"/>
      <c r="B138" s="654" t="s">
        <v>395</v>
      </c>
      <c r="C138" s="654"/>
      <c r="D138" s="602" t="n">
        <f aca="false">Q204</f>
        <v>236</v>
      </c>
      <c r="E138" s="614" t="n">
        <f aca="false">G51</f>
        <v>19027.6060606061</v>
      </c>
      <c r="F138" s="615" t="n">
        <f aca="false">E138/D138</f>
        <v>80.6254494093477</v>
      </c>
      <c r="G138" s="616" t="n">
        <f aca="false">1000*F138/(24*365)</f>
        <v>9.20381842572463</v>
      </c>
      <c r="H138" s="655" t="s">
        <v>252</v>
      </c>
      <c r="I138" s="502"/>
      <c r="J138" s="502"/>
      <c r="K138" s="606"/>
      <c r="L138" s="502"/>
      <c r="M138" s="606"/>
      <c r="N138" s="481" t="n">
        <f aca="false">R244</f>
        <v>-29</v>
      </c>
      <c r="O138" s="572" t="n">
        <f aca="false">S244</f>
        <v>83.8773809108911</v>
      </c>
      <c r="P138" s="572" t="n">
        <f aca="false">T244</f>
        <v>69.8978174257425</v>
      </c>
      <c r="Q138" s="590"/>
      <c r="R138" s="299"/>
      <c r="S138" s="299"/>
      <c r="T138" s="299"/>
      <c r="U138" s="299"/>
      <c r="V138" s="578"/>
      <c r="W138" s="319"/>
      <c r="X138" s="319"/>
      <c r="Y138" s="319"/>
      <c r="Z138" s="319"/>
      <c r="AA138" s="319"/>
      <c r="AB138" s="299"/>
      <c r="AC138" s="5"/>
      <c r="AD138" s="5"/>
      <c r="AE138" s="5"/>
      <c r="AF138" s="5"/>
      <c r="AG138" s="5"/>
      <c r="AH138" s="5"/>
      <c r="AI138" s="5"/>
      <c r="AJ138" s="5"/>
      <c r="AK138" s="319"/>
      <c r="AL138" s="319"/>
      <c r="AM138" s="502"/>
      <c r="AN138" s="502"/>
      <c r="AO138" s="502"/>
      <c r="AP138" s="502"/>
      <c r="AQ138" s="299"/>
      <c r="AR138" s="299"/>
      <c r="AS138" s="299"/>
      <c r="AT138" s="299"/>
      <c r="AU138" s="299"/>
      <c r="AV138" s="8"/>
      <c r="AW138" s="5" t="s">
        <v>167</v>
      </c>
      <c r="AX138" s="5" t="n">
        <v>826</v>
      </c>
      <c r="AY138" s="5" t="n">
        <v>753</v>
      </c>
      <c r="AZ138" s="5" t="n">
        <v>665</v>
      </c>
      <c r="BA138" s="5" t="n">
        <v>456</v>
      </c>
      <c r="BB138" s="5" t="n">
        <v>216</v>
      </c>
      <c r="BC138" s="5" t="n">
        <v>39</v>
      </c>
      <c r="BD138" s="5" t="n">
        <v>10</v>
      </c>
      <c r="BE138" s="5" t="n">
        <v>47</v>
      </c>
      <c r="BF138" s="5" t="n">
        <v>215</v>
      </c>
      <c r="BG138" s="5" t="n">
        <v>416</v>
      </c>
      <c r="BH138" s="5" t="n">
        <v>589</v>
      </c>
      <c r="BI138" s="5" t="n">
        <v>752</v>
      </c>
      <c r="BJ138" s="5" t="n">
        <v>4984</v>
      </c>
      <c r="BK138" s="5"/>
      <c r="BL138" s="601" t="n">
        <f aca="false">(-1*(($C$196*BJ138+$C$199)/365)+17)+$C$200</f>
        <v>4.93928767123288</v>
      </c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AMJ138" s="504"/>
    </row>
    <row r="139" s="1" customFormat="true" ht="14.15" hidden="false" customHeight="true" outlineLevel="0" collapsed="false">
      <c r="A139" s="483"/>
      <c r="B139" s="656" t="s">
        <v>129</v>
      </c>
      <c r="C139" s="656"/>
      <c r="D139" s="618" t="n">
        <f aca="false">IF(Q205&lt;1,"",Q205)</f>
        <v>236</v>
      </c>
      <c r="E139" s="619" t="n">
        <f aca="false">IF(Q205&lt;1,"",O205)</f>
        <v>19027.6060606061</v>
      </c>
      <c r="F139" s="620" t="n">
        <f aca="false">IF(D139="","",E139/D139)</f>
        <v>80.6254494093477</v>
      </c>
      <c r="G139" s="621" t="n">
        <f aca="false">1000*F139/(24*365)</f>
        <v>9.20381842572463</v>
      </c>
      <c r="H139" s="657" t="n">
        <f aca="false">VLOOKUP(D139,B215:K1316,10,1)</f>
        <v>6.18226521182416</v>
      </c>
      <c r="I139" s="502"/>
      <c r="J139" s="502"/>
      <c r="K139" s="606"/>
      <c r="L139" s="502"/>
      <c r="M139" s="606"/>
      <c r="N139" s="319" t="n">
        <f aca="false">R245</f>
        <v>-30</v>
      </c>
      <c r="O139" s="658" t="n">
        <f aca="false">S245</f>
        <v>84.0350609108911</v>
      </c>
      <c r="P139" s="658" t="n">
        <f aca="false">T245</f>
        <v>70.0292174257426</v>
      </c>
      <c r="Q139" s="590"/>
      <c r="R139" s="299"/>
      <c r="S139" s="299"/>
      <c r="T139" s="299"/>
      <c r="U139" s="299"/>
      <c r="V139" s="578"/>
      <c r="W139" s="659"/>
      <c r="X139" s="659"/>
      <c r="Y139" s="659"/>
      <c r="Z139" s="659"/>
      <c r="AA139" s="660"/>
      <c r="AB139" s="661"/>
      <c r="AC139" s="5"/>
      <c r="AD139" s="5"/>
      <c r="AE139" s="5"/>
      <c r="AF139" s="5"/>
      <c r="AG139" s="5"/>
      <c r="AH139" s="5"/>
      <c r="AI139" s="5"/>
      <c r="AJ139" s="5"/>
      <c r="AK139" s="319"/>
      <c r="AL139" s="319"/>
      <c r="AM139" s="299"/>
      <c r="AN139" s="319" t="s">
        <v>68</v>
      </c>
      <c r="AO139" s="644"/>
      <c r="AP139" s="299"/>
      <c r="AQ139" s="299"/>
      <c r="AR139" s="299"/>
      <c r="AS139" s="299"/>
      <c r="AT139" s="299"/>
      <c r="AU139" s="299"/>
      <c r="AV139" s="8"/>
      <c r="AW139" s="5" t="s">
        <v>164</v>
      </c>
      <c r="AX139" s="5" t="n">
        <v>785</v>
      </c>
      <c r="AY139" s="5" t="n">
        <v>721</v>
      </c>
      <c r="AZ139" s="5" t="n">
        <v>646</v>
      </c>
      <c r="BA139" s="5" t="n">
        <v>440</v>
      </c>
      <c r="BB139" s="5" t="n">
        <v>206</v>
      </c>
      <c r="BC139" s="5" t="n">
        <v>40</v>
      </c>
      <c r="BD139" s="5" t="n">
        <v>10</v>
      </c>
      <c r="BE139" s="5" t="n">
        <v>56</v>
      </c>
      <c r="BF139" s="5" t="n">
        <v>227</v>
      </c>
      <c r="BG139" s="5" t="n">
        <v>414</v>
      </c>
      <c r="BH139" s="5" t="n">
        <v>569</v>
      </c>
      <c r="BI139" s="5" t="n">
        <v>718</v>
      </c>
      <c r="BJ139" s="5" t="n">
        <v>4832</v>
      </c>
      <c r="BK139" s="5"/>
      <c r="BL139" s="601" t="n">
        <f aca="false">(-1*(($C$196*BJ139+$C$199)/365)+17)+$C$200</f>
        <v>5.16</v>
      </c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AMJ139" s="504"/>
    </row>
    <row r="140" s="1" customFormat="true" ht="14.15" hidden="false" customHeight="true" outlineLevel="0" collapsed="false">
      <c r="A140" s="483"/>
      <c r="B140" s="656" t="str">
        <f aca="false">IF(D140="","","Kaivo # 2")</f>
        <v/>
      </c>
      <c r="C140" s="656"/>
      <c r="D140" s="618" t="str">
        <f aca="false">IF(Q206&lt;1,"",Q206)</f>
        <v/>
      </c>
      <c r="E140" s="619" t="str">
        <f aca="false">IF(Q206&lt;1,"",O206)</f>
        <v/>
      </c>
      <c r="F140" s="620" t="str">
        <f aca="false">IF(D140="","",E140/D140)</f>
        <v/>
      </c>
      <c r="G140" s="621" t="str">
        <f aca="false">IF(D140="","",1000*F140/(24*365))</f>
        <v/>
      </c>
      <c r="H140" s="657" t="str">
        <f aca="false">IF(Q206&lt;1,"",VLOOKUP(D140,B215:K1316,10,1))</f>
        <v/>
      </c>
      <c r="I140" s="502"/>
      <c r="J140" s="502"/>
      <c r="K140" s="606"/>
      <c r="L140" s="502"/>
      <c r="M140" s="606"/>
      <c r="N140" s="319" t="n">
        <f aca="false">R246</f>
        <v>-31</v>
      </c>
      <c r="O140" s="658" t="n">
        <f aca="false">S246</f>
        <v>84.192740910891</v>
      </c>
      <c r="P140" s="658" t="n">
        <f aca="false">T246</f>
        <v>70.1606174257425</v>
      </c>
      <c r="Q140" s="590"/>
      <c r="R140" s="299"/>
      <c r="S140" s="299"/>
      <c r="T140" s="299"/>
      <c r="U140" s="299"/>
      <c r="V140" s="578"/>
      <c r="W140" s="659"/>
      <c r="X140" s="659"/>
      <c r="Y140" s="659"/>
      <c r="Z140" s="659"/>
      <c r="AA140" s="662"/>
      <c r="AB140" s="299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299"/>
      <c r="AT140" s="299"/>
      <c r="AU140" s="299"/>
      <c r="AV140" s="8"/>
      <c r="AW140" s="5" t="s">
        <v>168</v>
      </c>
      <c r="AX140" s="5" t="n">
        <v>864</v>
      </c>
      <c r="AY140" s="5" t="n">
        <v>777</v>
      </c>
      <c r="AZ140" s="5" t="n">
        <v>695</v>
      </c>
      <c r="BA140" s="5" t="n">
        <v>479</v>
      </c>
      <c r="BB140" s="5" t="n">
        <v>251</v>
      </c>
      <c r="BC140" s="5" t="n">
        <v>57</v>
      </c>
      <c r="BD140" s="5" t="n">
        <v>17</v>
      </c>
      <c r="BE140" s="5" t="n">
        <v>75</v>
      </c>
      <c r="BF140" s="5" t="n">
        <v>245</v>
      </c>
      <c r="BG140" s="5" t="n">
        <v>441</v>
      </c>
      <c r="BH140" s="5" t="n">
        <v>618</v>
      </c>
      <c r="BI140" s="5" t="n">
        <v>785</v>
      </c>
      <c r="BJ140" s="5" t="n">
        <v>5304</v>
      </c>
      <c r="BK140" s="5"/>
      <c r="BL140" s="601" t="n">
        <f aca="false">(-1*(($C$196*BJ140+$C$199)/365)+17)+$C$200</f>
        <v>4.4746301369863</v>
      </c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AMJ140" s="504"/>
    </row>
    <row r="141" s="1" customFormat="true" ht="14.15" hidden="false" customHeight="true" outlineLevel="0" collapsed="false">
      <c r="A141" s="483"/>
      <c r="B141" s="656" t="str">
        <f aca="false">IF(D141="","","Kaivo # 3")</f>
        <v/>
      </c>
      <c r="C141" s="656"/>
      <c r="D141" s="618" t="str">
        <f aca="false">IF(Q207&lt;1,"",Q207)</f>
        <v/>
      </c>
      <c r="E141" s="619" t="str">
        <f aca="false">IF(Q207&lt;1,"",O207)</f>
        <v/>
      </c>
      <c r="F141" s="620" t="str">
        <f aca="false">IF(D141="","",E141/D141)</f>
        <v/>
      </c>
      <c r="G141" s="621" t="str">
        <f aca="false">IF(D141="","",1000*F141/(24*365))</f>
        <v/>
      </c>
      <c r="H141" s="657" t="str">
        <f aca="false">IF(Q207&lt;1,"",VLOOKUP(D141,B215:K1316,10,1))</f>
        <v/>
      </c>
      <c r="I141" s="502"/>
      <c r="J141" s="502"/>
      <c r="K141" s="606"/>
      <c r="L141" s="502"/>
      <c r="M141" s="606"/>
      <c r="N141" s="319" t="n">
        <f aca="false">R247</f>
        <v>-32</v>
      </c>
      <c r="O141" s="658" t="n">
        <f aca="false">S247</f>
        <v>84.3504209108911</v>
      </c>
      <c r="P141" s="658" t="n">
        <f aca="false">T247</f>
        <v>70.2920174257425</v>
      </c>
      <c r="Q141" s="590"/>
      <c r="R141" s="299"/>
      <c r="S141" s="299"/>
      <c r="T141" s="299"/>
      <c r="U141" s="299"/>
      <c r="V141" s="578"/>
      <c r="W141" s="662"/>
      <c r="X141" s="662"/>
      <c r="Y141" s="662"/>
      <c r="Z141" s="662"/>
      <c r="AA141" s="662"/>
      <c r="AB141" s="299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299"/>
      <c r="AT141" s="299"/>
      <c r="AU141" s="299"/>
      <c r="AV141" s="8"/>
      <c r="AW141" s="5" t="s">
        <v>166</v>
      </c>
      <c r="AX141" s="5" t="n">
        <v>812</v>
      </c>
      <c r="AY141" s="5" t="n">
        <v>741</v>
      </c>
      <c r="AZ141" s="5" t="n">
        <v>653</v>
      </c>
      <c r="BA141" s="5" t="n">
        <v>445</v>
      </c>
      <c r="BB141" s="5" t="n">
        <v>198</v>
      </c>
      <c r="BC141" s="5" t="n">
        <v>31</v>
      </c>
      <c r="BD141" s="5" t="n">
        <v>7</v>
      </c>
      <c r="BE141" s="5" t="n">
        <v>38</v>
      </c>
      <c r="BF141" s="5" t="n">
        <v>194</v>
      </c>
      <c r="BG141" s="5" t="n">
        <v>400</v>
      </c>
      <c r="BH141" s="5" t="n">
        <v>571</v>
      </c>
      <c r="BI141" s="5" t="n">
        <v>735</v>
      </c>
      <c r="BJ141" s="5" t="n">
        <v>4825</v>
      </c>
      <c r="BK141" s="5"/>
      <c r="BL141" s="601" t="n">
        <f aca="false">(-1*(($C$196*BJ141+$C$199)/365)+17)+$C$200</f>
        <v>5.17016438356164</v>
      </c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AMJ141" s="504"/>
    </row>
    <row r="142" s="1" customFormat="true" ht="14.15" hidden="false" customHeight="true" outlineLevel="0" collapsed="false">
      <c r="A142" s="483"/>
      <c r="B142" s="656" t="str">
        <f aca="false">IF(D142="","","Kaivo # 4")</f>
        <v/>
      </c>
      <c r="C142" s="656"/>
      <c r="D142" s="618" t="str">
        <f aca="false">IF(Q208&lt;1,"",Q208)</f>
        <v/>
      </c>
      <c r="E142" s="619" t="str">
        <f aca="false">IF(Q208&lt;1,"",O208)</f>
        <v/>
      </c>
      <c r="F142" s="620" t="str">
        <f aca="false">IF(D142="","",E142/D142)</f>
        <v/>
      </c>
      <c r="G142" s="621" t="str">
        <f aca="false">IF(D142="","",1000*F142/(24*365))</f>
        <v/>
      </c>
      <c r="H142" s="657" t="str">
        <f aca="false">IF(Q208&lt;1,"",VLOOKUP(D142,B225:K1325,10,1))</f>
        <v/>
      </c>
      <c r="I142" s="502"/>
      <c r="J142" s="502"/>
      <c r="K142" s="606"/>
      <c r="L142" s="502"/>
      <c r="M142" s="606"/>
      <c r="N142" s="319" t="n">
        <f aca="false">R248</f>
        <v>-33</v>
      </c>
      <c r="O142" s="658" t="n">
        <f aca="false">S248</f>
        <v>84.5081009108911</v>
      </c>
      <c r="P142" s="658" t="n">
        <f aca="false">T248</f>
        <v>70.4234174257425</v>
      </c>
      <c r="Q142" s="590"/>
      <c r="R142" s="299"/>
      <c r="S142" s="299"/>
      <c r="T142" s="299"/>
      <c r="U142" s="299"/>
      <c r="V142" s="578"/>
      <c r="W142" s="662"/>
      <c r="X142" s="662"/>
      <c r="Y142" s="662"/>
      <c r="Z142" s="662"/>
      <c r="AA142" s="319"/>
      <c r="AB142" s="299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299"/>
      <c r="AT142" s="299"/>
      <c r="AU142" s="299"/>
      <c r="AV142" s="8"/>
      <c r="AW142" s="5" t="s">
        <v>162</v>
      </c>
      <c r="AX142" s="5" t="n">
        <v>726</v>
      </c>
      <c r="AY142" s="5" t="n">
        <v>677</v>
      </c>
      <c r="AZ142" s="5" t="n">
        <v>610</v>
      </c>
      <c r="BA142" s="5" t="n">
        <v>395</v>
      </c>
      <c r="BB142" s="5" t="n">
        <v>159</v>
      </c>
      <c r="BC142" s="5" t="n">
        <v>20</v>
      </c>
      <c r="BD142" s="5" t="n">
        <v>4</v>
      </c>
      <c r="BE142" s="5" t="n">
        <v>31</v>
      </c>
      <c r="BF142" s="5" t="n">
        <v>191</v>
      </c>
      <c r="BG142" s="5" t="n">
        <v>383</v>
      </c>
      <c r="BH142" s="5" t="n">
        <v>528</v>
      </c>
      <c r="BI142" s="5" t="n">
        <v>668</v>
      </c>
      <c r="BJ142" s="5" t="n">
        <v>4392</v>
      </c>
      <c r="BK142" s="5"/>
      <c r="BL142" s="601" t="n">
        <f aca="false">(-1*(($C$196*BJ142+$C$199)/365)+17)+$C$200</f>
        <v>5.79890410958904</v>
      </c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AMJ142" s="504"/>
    </row>
    <row r="143" s="1" customFormat="true" ht="14.15" hidden="false" customHeight="true" outlineLevel="0" collapsed="false">
      <c r="A143" s="483"/>
      <c r="B143" s="654" t="str">
        <f aca="false">(COUNT(D139:D142)&amp;" -kaivosta  yhteensä vuodessa")</f>
        <v>1 -kaivosta  yhteensä vuodessa</v>
      </c>
      <c r="C143" s="654"/>
      <c r="D143" s="602" t="n">
        <f aca="false">SUM(D139:D142)</f>
        <v>236</v>
      </c>
      <c r="E143" s="623" t="n">
        <f aca="false">SUM(E139:E142)</f>
        <v>19027.6060606061</v>
      </c>
      <c r="F143" s="615" t="n">
        <f aca="false">IF(D143="","",E143/D143)</f>
        <v>80.6254494093477</v>
      </c>
      <c r="G143" s="624" t="n">
        <f aca="false">F143/H139</f>
        <v>13.0414090380892</v>
      </c>
      <c r="H143" s="625" t="str">
        <f aca="false">IF(F144&lt;50,"","Pumpun  teho ! ")</f>
        <v/>
      </c>
      <c r="I143" s="502"/>
      <c r="J143" s="502"/>
      <c r="K143" s="606"/>
      <c r="L143" s="502"/>
      <c r="M143" s="606"/>
      <c r="N143" s="319" t="n">
        <f aca="false">R249</f>
        <v>-34</v>
      </c>
      <c r="O143" s="658" t="n">
        <f aca="false">S249</f>
        <v>84.665780910891</v>
      </c>
      <c r="P143" s="658" t="n">
        <f aca="false">T249</f>
        <v>70.5548174257425</v>
      </c>
      <c r="Q143" s="590"/>
      <c r="R143" s="299"/>
      <c r="S143" s="299"/>
      <c r="T143" s="299"/>
      <c r="U143" s="299"/>
      <c r="V143" s="578"/>
      <c r="W143" s="299"/>
      <c r="X143" s="299"/>
      <c r="Y143" s="299"/>
      <c r="Z143" s="299"/>
      <c r="AA143" s="299"/>
      <c r="AB143" s="299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299"/>
      <c r="AT143" s="299"/>
      <c r="AU143" s="299"/>
      <c r="AV143" s="8"/>
      <c r="AW143" s="5" t="s">
        <v>163</v>
      </c>
      <c r="AX143" s="5" t="n">
        <v>759</v>
      </c>
      <c r="AY143" s="5" t="n">
        <v>699</v>
      </c>
      <c r="AZ143" s="5" t="n">
        <v>621</v>
      </c>
      <c r="BA143" s="5" t="n">
        <v>403</v>
      </c>
      <c r="BB143" s="5" t="n">
        <v>165</v>
      </c>
      <c r="BC143" s="5" t="n">
        <v>22</v>
      </c>
      <c r="BD143" s="5" t="n">
        <v>5</v>
      </c>
      <c r="BE143" s="5" t="n">
        <v>28</v>
      </c>
      <c r="BF143" s="5" t="n">
        <v>184</v>
      </c>
      <c r="BG143" s="5" t="n">
        <v>386</v>
      </c>
      <c r="BH143" s="5" t="n">
        <v>546</v>
      </c>
      <c r="BI143" s="5" t="n">
        <v>692</v>
      </c>
      <c r="BJ143" s="5" t="n">
        <v>4510</v>
      </c>
      <c r="BK143" s="5"/>
      <c r="BL143" s="601" t="n">
        <f aca="false">(-1*(($C$196*BJ143+$C$199)/365)+17)+$C$200</f>
        <v>5.62756164383562</v>
      </c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AMJ143" s="504"/>
    </row>
    <row r="144" s="1" customFormat="true" ht="14.15" hidden="false" customHeight="true" outlineLevel="0" collapsed="false">
      <c r="A144" s="483"/>
      <c r="B144" s="652" t="str">
        <f aca="false">"Enimmäiskuorma kaivosta "&amp;G59&amp;" kW pumpulla"</f>
        <v>Enimmäiskuorma kaivosta 9 kW pumpulla</v>
      </c>
      <c r="C144" s="652"/>
      <c r="D144" s="626" t="n">
        <f aca="false">F36</f>
        <v>3.3</v>
      </c>
      <c r="E144" s="627" t="n">
        <f aca="false">G59-(G59/G36)</f>
        <v>6.27272727272727</v>
      </c>
      <c r="F144" s="628" t="n">
        <f aca="false">1000*E144/D143</f>
        <v>26.5793528505393</v>
      </c>
      <c r="G144" s="629" t="n">
        <f aca="false">1000*E144/D143/H139</f>
        <v>4.29929029891888</v>
      </c>
      <c r="H144" s="625"/>
      <c r="I144" s="502"/>
      <c r="J144" s="502"/>
      <c r="K144" s="606"/>
      <c r="L144" s="502"/>
      <c r="M144" s="606"/>
      <c r="N144" s="319" t="n">
        <f aca="false">R250</f>
        <v>-35</v>
      </c>
      <c r="O144" s="658" t="n">
        <f aca="false">S250</f>
        <v>84.823460910891</v>
      </c>
      <c r="P144" s="658" t="n">
        <f aca="false">T250</f>
        <v>70.6862174257425</v>
      </c>
      <c r="Q144" s="590"/>
      <c r="R144" s="299"/>
      <c r="S144" s="299"/>
      <c r="T144" s="299"/>
      <c r="U144" s="299"/>
      <c r="V144" s="578"/>
      <c r="W144" s="299"/>
      <c r="X144" s="299"/>
      <c r="Y144" s="299"/>
      <c r="Z144" s="299"/>
      <c r="AA144" s="299"/>
      <c r="AB144" s="299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299"/>
      <c r="AT144" s="299"/>
      <c r="AU144" s="299"/>
      <c r="AV144" s="8"/>
      <c r="AW144" s="5" t="s">
        <v>156</v>
      </c>
      <c r="AX144" s="5" t="n">
        <v>592</v>
      </c>
      <c r="AY144" s="5" t="n">
        <v>567</v>
      </c>
      <c r="AZ144" s="5" t="n">
        <v>551</v>
      </c>
      <c r="BA144" s="5" t="n">
        <v>406</v>
      </c>
      <c r="BB144" s="5" t="n">
        <v>216</v>
      </c>
      <c r="BC144" s="5" t="n">
        <v>34</v>
      </c>
      <c r="BD144" s="5" t="n">
        <v>3</v>
      </c>
      <c r="BE144" s="5" t="n">
        <v>17</v>
      </c>
      <c r="BF144" s="5" t="n">
        <v>135</v>
      </c>
      <c r="BG144" s="5" t="n">
        <v>308</v>
      </c>
      <c r="BH144" s="5" t="n">
        <v>432</v>
      </c>
      <c r="BI144" s="5" t="n">
        <v>542</v>
      </c>
      <c r="BJ144" s="5" t="n">
        <v>3803</v>
      </c>
      <c r="BK144" s="5"/>
      <c r="BL144" s="601" t="n">
        <f aca="false">(-1*(($C$196*BJ144+$C$199)/365)+17)+$C$200</f>
        <v>6.65416438356164</v>
      </c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AMJ144" s="504"/>
    </row>
    <row r="145" s="1" customFormat="true" ht="14.15" hidden="false" customHeight="true" outlineLevel="0" collapsed="false">
      <c r="A145" s="483"/>
      <c r="B145" s="663" t="s">
        <v>382</v>
      </c>
      <c r="C145" s="663"/>
      <c r="D145" s="664" t="n">
        <f aca="false">E143</f>
        <v>19027.6060606061</v>
      </c>
      <c r="E145" s="665" t="n">
        <f aca="false">D145/(24*365)</f>
        <v>2.17210114847101</v>
      </c>
      <c r="F145" s="666" t="n">
        <f aca="false">1000*E145/D143</f>
        <v>9.20381842572463</v>
      </c>
      <c r="G145" s="667" t="n">
        <f aca="false">1000*E145/D143/H139</f>
        <v>1.48874532398278</v>
      </c>
      <c r="H145" s="625"/>
      <c r="I145" s="502"/>
      <c r="J145" s="502"/>
      <c r="K145" s="606"/>
      <c r="L145" s="502"/>
      <c r="M145" s="606"/>
      <c r="N145" s="319" t="n">
        <f aca="false">R251</f>
        <v>-36</v>
      </c>
      <c r="O145" s="658" t="n">
        <f aca="false">S251</f>
        <v>84.981140910891</v>
      </c>
      <c r="P145" s="658" t="n">
        <f aca="false">T251</f>
        <v>70.8176174257425</v>
      </c>
      <c r="Q145" s="502"/>
      <c r="R145" s="299"/>
      <c r="S145" s="299"/>
      <c r="T145" s="299"/>
      <c r="U145" s="299"/>
      <c r="V145" s="578"/>
      <c r="W145" s="299"/>
      <c r="X145" s="299"/>
      <c r="Y145" s="299"/>
      <c r="Z145" s="299"/>
      <c r="AA145" s="299"/>
      <c r="AB145" s="299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299"/>
      <c r="AT145" s="299"/>
      <c r="AU145" s="299"/>
      <c r="AV145" s="8"/>
      <c r="AW145" s="5" t="s">
        <v>169</v>
      </c>
      <c r="AX145" s="5" t="n">
        <v>824</v>
      </c>
      <c r="AY145" s="5" t="n">
        <v>742</v>
      </c>
      <c r="AZ145" s="5" t="n">
        <v>677</v>
      </c>
      <c r="BA145" s="5" t="n">
        <v>465</v>
      </c>
      <c r="BB145" s="5" t="n">
        <v>249</v>
      </c>
      <c r="BC145" s="5" t="n">
        <v>47</v>
      </c>
      <c r="BD145" s="5" t="n">
        <v>9</v>
      </c>
      <c r="BE145" s="5" t="n">
        <v>55</v>
      </c>
      <c r="BF145" s="5" t="n">
        <v>224</v>
      </c>
      <c r="BG145" s="5" t="n">
        <v>423</v>
      </c>
      <c r="BH145" s="5" t="n">
        <v>593</v>
      </c>
      <c r="BI145" s="5" t="n">
        <v>749</v>
      </c>
      <c r="BJ145" s="5" t="n">
        <v>5057</v>
      </c>
      <c r="BK145" s="5"/>
      <c r="BL145" s="601" t="n">
        <f aca="false">(-1*(($C$196*BJ145+$C$199)/365)+17)+$C$200</f>
        <v>4.83328767123288</v>
      </c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AMJ145" s="504"/>
    </row>
    <row r="146" s="1" customFormat="true" ht="14.15" hidden="false" customHeight="true" outlineLevel="0" collapsed="false">
      <c r="A146" s="483"/>
      <c r="B146" s="502"/>
      <c r="C146" s="502"/>
      <c r="D146" s="502"/>
      <c r="E146" s="502"/>
      <c r="F146" s="502"/>
      <c r="G146" s="502"/>
      <c r="H146" s="502"/>
      <c r="I146" s="502"/>
      <c r="J146" s="502"/>
      <c r="K146" s="606"/>
      <c r="L146" s="502"/>
      <c r="M146" s="606"/>
      <c r="N146" s="319" t="n">
        <f aca="false">R252</f>
        <v>-37</v>
      </c>
      <c r="O146" s="658" t="n">
        <f aca="false">S252</f>
        <v>85.1388209108911</v>
      </c>
      <c r="P146" s="658" t="n">
        <f aca="false">T252</f>
        <v>70.9490174257425</v>
      </c>
      <c r="Q146" s="502"/>
      <c r="R146" s="299"/>
      <c r="S146" s="299"/>
      <c r="T146" s="299"/>
      <c r="U146" s="299"/>
      <c r="V146" s="578"/>
      <c r="W146" s="299"/>
      <c r="X146" s="299"/>
      <c r="Y146" s="299"/>
      <c r="Z146" s="299"/>
      <c r="AA146" s="299"/>
      <c r="AB146" s="299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299"/>
      <c r="AT146" s="299"/>
      <c r="AU146" s="299"/>
      <c r="AV146" s="8"/>
      <c r="AW146" s="5" t="s">
        <v>159</v>
      </c>
      <c r="AX146" s="5" t="n">
        <v>677</v>
      </c>
      <c r="AY146" s="5" t="n">
        <v>633</v>
      </c>
      <c r="AZ146" s="5" t="n">
        <v>585</v>
      </c>
      <c r="BA146" s="5" t="n">
        <v>389</v>
      </c>
      <c r="BB146" s="5" t="n">
        <v>181</v>
      </c>
      <c r="BC146" s="5" t="n">
        <v>26</v>
      </c>
      <c r="BD146" s="5" t="n">
        <v>3</v>
      </c>
      <c r="BE146" s="5" t="n">
        <v>25</v>
      </c>
      <c r="BF146" s="5" t="n">
        <v>171</v>
      </c>
      <c r="BG146" s="5" t="n">
        <v>352</v>
      </c>
      <c r="BH146" s="5" t="n">
        <v>497</v>
      </c>
      <c r="BI146" s="5" t="n">
        <v>622</v>
      </c>
      <c r="BJ146" s="5" t="n">
        <v>4161</v>
      </c>
      <c r="BK146" s="5"/>
      <c r="BL146" s="601" t="n">
        <f aca="false">(-1*(($C$196*BJ146+$C$199)/365)+17)+$C$200</f>
        <v>6.13432876712329</v>
      </c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AMJ146" s="504"/>
    </row>
    <row r="147" s="1" customFormat="true" ht="14.15" hidden="false" customHeight="true" outlineLevel="0" collapsed="false">
      <c r="A147" s="483"/>
      <c r="B147" s="248" t="str">
        <f aca="false">"Olet valinnut lämpökaivon, jonka keskilämpötila on "&amp;(ROUND(((F111+F111)/2)*100))/100&amp;" Celsius astetta"</f>
        <v>Olet valinnut lämpökaivon, jonka keskilämpötila on 0 Celsius astetta</v>
      </c>
      <c r="C147" s="248"/>
      <c r="D147" s="248"/>
      <c r="E147" s="248"/>
      <c r="F147" s="248"/>
      <c r="G147" s="248"/>
      <c r="H147" s="502"/>
      <c r="I147" s="299"/>
      <c r="J147" s="319"/>
      <c r="K147" s="319"/>
      <c r="L147" s="299"/>
      <c r="M147" s="319"/>
      <c r="N147" s="319" t="n">
        <f aca="false">R253</f>
        <v>-38</v>
      </c>
      <c r="O147" s="658" t="n">
        <f aca="false">S253</f>
        <v>85.296500910891</v>
      </c>
      <c r="P147" s="658" t="n">
        <f aca="false">T253</f>
        <v>71.0804174257425</v>
      </c>
      <c r="Q147" s="299"/>
      <c r="R147" s="299"/>
      <c r="S147" s="299"/>
      <c r="T147" s="299"/>
      <c r="U147" s="299"/>
      <c r="V147" s="578"/>
      <c r="W147" s="299"/>
      <c r="X147" s="299"/>
      <c r="Y147" s="299"/>
      <c r="Z147" s="299"/>
      <c r="AA147" s="299"/>
      <c r="AB147" s="299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299"/>
      <c r="AT147" s="299"/>
      <c r="AU147" s="299"/>
      <c r="AV147" s="8"/>
      <c r="AW147" s="5" t="s">
        <v>170</v>
      </c>
      <c r="AX147" s="5" t="n">
        <v>946</v>
      </c>
      <c r="AY147" s="5" t="n">
        <v>838</v>
      </c>
      <c r="AZ147" s="5" t="n">
        <v>760</v>
      </c>
      <c r="BA147" s="5" t="n">
        <v>548</v>
      </c>
      <c r="BB147" s="5" t="n">
        <v>345</v>
      </c>
      <c r="BC147" s="5" t="n">
        <v>106</v>
      </c>
      <c r="BD147" s="5" t="n">
        <v>49</v>
      </c>
      <c r="BE147" s="5" t="n">
        <v>136</v>
      </c>
      <c r="BF147" s="5" t="n">
        <v>316</v>
      </c>
      <c r="BG147" s="5" t="n">
        <v>523</v>
      </c>
      <c r="BH147" s="5" t="n">
        <v>722</v>
      </c>
      <c r="BI147" s="5" t="n">
        <v>891</v>
      </c>
      <c r="BJ147" s="5" t="n">
        <v>6180</v>
      </c>
      <c r="BK147" s="5"/>
      <c r="BL147" s="601" t="n">
        <f aca="false">(-1*(($C$196*BJ147+$C$199)/365)+17)+$C$200</f>
        <v>3.2026301369863</v>
      </c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AMJ147" s="504"/>
    </row>
    <row r="148" s="1" customFormat="true" ht="14.15" hidden="false" customHeight="true" outlineLevel="0" collapsed="false">
      <c r="A148" s="483"/>
      <c r="B148" s="7" t="s">
        <v>396</v>
      </c>
      <c r="C148" s="7" t="s">
        <v>397</v>
      </c>
      <c r="D148" s="7" t="s">
        <v>398</v>
      </c>
      <c r="E148" s="7" t="s">
        <v>399</v>
      </c>
      <c r="F148" s="668" t="s">
        <v>400</v>
      </c>
      <c r="G148" s="668" t="s">
        <v>400</v>
      </c>
      <c r="H148" s="502"/>
      <c r="I148" s="299"/>
      <c r="J148" s="319"/>
      <c r="K148" s="319"/>
      <c r="L148" s="299"/>
      <c r="M148" s="319"/>
      <c r="N148" s="319" t="n">
        <f aca="false">R254</f>
        <v>-39</v>
      </c>
      <c r="O148" s="658" t="n">
        <f aca="false">S254</f>
        <v>85.454180910891</v>
      </c>
      <c r="P148" s="658" t="n">
        <f aca="false">T254</f>
        <v>71.2118174257425</v>
      </c>
      <c r="Q148" s="299"/>
      <c r="R148" s="299"/>
      <c r="S148" s="299"/>
      <c r="T148" s="299"/>
      <c r="U148" s="299"/>
      <c r="V148" s="578"/>
      <c r="W148" s="299"/>
      <c r="X148" s="299"/>
      <c r="Y148" s="299"/>
      <c r="Z148" s="299"/>
      <c r="AA148" s="299"/>
      <c r="AB148" s="299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299"/>
      <c r="AT148" s="299"/>
      <c r="AU148" s="299"/>
      <c r="AV148" s="8"/>
      <c r="AW148" s="5" t="s">
        <v>161</v>
      </c>
      <c r="AX148" s="5" t="n">
        <v>724</v>
      </c>
      <c r="AY148" s="5" t="n">
        <v>675</v>
      </c>
      <c r="AZ148" s="5" t="n">
        <v>612</v>
      </c>
      <c r="BA148" s="5" t="n">
        <v>400</v>
      </c>
      <c r="BB148" s="5" t="n">
        <v>176</v>
      </c>
      <c r="BC148" s="5" t="n">
        <v>28</v>
      </c>
      <c r="BD148" s="5" t="n">
        <v>5</v>
      </c>
      <c r="BE148" s="5" t="n">
        <v>34</v>
      </c>
      <c r="BF148" s="5" t="n">
        <v>192</v>
      </c>
      <c r="BG148" s="5" t="n">
        <v>382</v>
      </c>
      <c r="BH148" s="5" t="n">
        <v>529</v>
      </c>
      <c r="BI148" s="5" t="n">
        <v>667</v>
      </c>
      <c r="BJ148" s="5" t="n">
        <v>4424</v>
      </c>
      <c r="BK148" s="5"/>
      <c r="BL148" s="601" t="n">
        <f aca="false">(-1*(($C$196*BJ148+$C$199)/365)+17)+$C$200</f>
        <v>5.75243835616438</v>
      </c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AMJ148" s="504"/>
    </row>
    <row r="149" s="1" customFormat="true" ht="14.15" hidden="false" customHeight="true" outlineLevel="0" collapsed="false">
      <c r="A149" s="483"/>
      <c r="B149" s="669" t="n">
        <v>1</v>
      </c>
      <c r="C149" s="670" t="n">
        <f aca="false">VLOOKUP(B149,$B$215:$E$1316,4,1)</f>
        <v>3.45559877308285</v>
      </c>
      <c r="D149" s="671" t="n">
        <f aca="false">VLOOKUP(B149,$B$215:$E$1316,3,1)</f>
        <v>27.2439407269852</v>
      </c>
      <c r="E149" s="672" t="n">
        <f aca="false">VLOOKUP(B149,$B$215:$E$1316,2,1)</f>
        <v>27.2439407269852</v>
      </c>
      <c r="F149" s="673" t="s">
        <v>401</v>
      </c>
      <c r="G149" s="673" t="s">
        <v>402</v>
      </c>
      <c r="H149" s="502"/>
      <c r="I149" s="5"/>
      <c r="J149" s="8"/>
      <c r="K149" s="8"/>
      <c r="L149" s="5"/>
      <c r="M149" s="8"/>
      <c r="N149" s="319" t="n">
        <f aca="false">R255</f>
        <v>-40</v>
      </c>
      <c r="O149" s="658" t="n">
        <f aca="false">S255</f>
        <v>85.611860910891</v>
      </c>
      <c r="P149" s="658" t="n">
        <f aca="false">T255</f>
        <v>71.3432174257425</v>
      </c>
      <c r="Q149" s="5"/>
      <c r="R149" s="5"/>
      <c r="S149" s="5"/>
      <c r="T149" s="5"/>
      <c r="U149" s="5"/>
      <c r="V149" s="10"/>
      <c r="W149" s="299"/>
      <c r="X149" s="299"/>
      <c r="Y149" s="299"/>
      <c r="Z149" s="299"/>
      <c r="AA149" s="299"/>
      <c r="AB149" s="299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299"/>
      <c r="AT149" s="299"/>
      <c r="AU149" s="299"/>
      <c r="AV149" s="8"/>
      <c r="AW149" s="5" t="s">
        <v>160</v>
      </c>
      <c r="AX149" s="5" t="n">
        <v>663</v>
      </c>
      <c r="AY149" s="5" t="n">
        <v>625</v>
      </c>
      <c r="AZ149" s="5" t="n">
        <v>575</v>
      </c>
      <c r="BA149" s="5" t="n">
        <v>377</v>
      </c>
      <c r="BB149" s="5" t="n">
        <v>161</v>
      </c>
      <c r="BC149" s="5" t="n">
        <v>19</v>
      </c>
      <c r="BD149" s="5" t="n">
        <v>2</v>
      </c>
      <c r="BE149" s="5" t="n">
        <v>18</v>
      </c>
      <c r="BF149" s="5" t="n">
        <v>149</v>
      </c>
      <c r="BG149" s="5" t="n">
        <v>338</v>
      </c>
      <c r="BH149" s="5" t="n">
        <v>486</v>
      </c>
      <c r="BI149" s="5" t="n">
        <v>608</v>
      </c>
      <c r="BJ149" s="5" t="n">
        <v>4021</v>
      </c>
      <c r="BK149" s="5"/>
      <c r="BL149" s="601" t="n">
        <f aca="false">(-1*(($C$196*BJ149+$C$199)/365)+17)+$C$200</f>
        <v>6.33761643835616</v>
      </c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AMJ149" s="504"/>
    </row>
    <row r="150" s="1" customFormat="true" ht="14.15" hidden="false" customHeight="true" outlineLevel="0" collapsed="false">
      <c r="A150" s="483"/>
      <c r="B150" s="669" t="n">
        <v>5</v>
      </c>
      <c r="C150" s="670" t="n">
        <f aca="false">VLOOKUP(B150,$B$215:$E$1316,4,1)</f>
        <v>4.49726543974951</v>
      </c>
      <c r="D150" s="671" t="n">
        <f aca="false">VLOOKUP(B150,$B$215:$E$1316,3,1)</f>
        <v>35.4564407269852</v>
      </c>
      <c r="E150" s="672" t="n">
        <f aca="false">VLOOKUP(B150,$B$215:$E$1316,2,1)</f>
        <v>161.514203634926</v>
      </c>
      <c r="F150" s="674" t="n">
        <f aca="false">(C150-C149)/(B150-B149)*1000</f>
        <v>260.416666666667</v>
      </c>
      <c r="G150" s="675" t="n">
        <f aca="false">1000*(C150-$C$149)/(B150-$B$149)</f>
        <v>260.416666666667</v>
      </c>
      <c r="H150" s="502"/>
      <c r="I150" s="5"/>
      <c r="J150" s="8"/>
      <c r="K150" s="8"/>
      <c r="L150" s="5"/>
      <c r="M150" s="8"/>
      <c r="N150" s="319" t="n">
        <f aca="false">R256</f>
        <v>-41</v>
      </c>
      <c r="O150" s="658" t="n">
        <f aca="false">S256</f>
        <v>85.769540910891</v>
      </c>
      <c r="P150" s="658" t="n">
        <f aca="false">T256</f>
        <v>71.4746174257425</v>
      </c>
      <c r="Q150" s="5"/>
      <c r="R150" s="5"/>
      <c r="S150" s="5"/>
      <c r="T150" s="5"/>
      <c r="U150" s="5"/>
      <c r="V150" s="10"/>
      <c r="W150" s="299"/>
      <c r="X150" s="299"/>
      <c r="Y150" s="299"/>
      <c r="Z150" s="299"/>
      <c r="AA150" s="299"/>
      <c r="AB150" s="299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299"/>
      <c r="AT150" s="299"/>
      <c r="AU150" s="299"/>
      <c r="AV150" s="8"/>
      <c r="AW150" s="5" t="s">
        <v>165</v>
      </c>
      <c r="AX150" s="5" t="n">
        <v>719</v>
      </c>
      <c r="AY150" s="5" t="n">
        <v>666</v>
      </c>
      <c r="AZ150" s="5" t="n">
        <v>619</v>
      </c>
      <c r="BA150" s="5" t="n">
        <v>424</v>
      </c>
      <c r="BB150" s="5" t="n">
        <v>214</v>
      </c>
      <c r="BC150" s="5" t="n">
        <v>29</v>
      </c>
      <c r="BD150" s="5" t="n">
        <v>5</v>
      </c>
      <c r="BE150" s="5" t="n">
        <v>35</v>
      </c>
      <c r="BF150" s="5" t="n">
        <v>192</v>
      </c>
      <c r="BG150" s="5" t="n">
        <v>377</v>
      </c>
      <c r="BH150" s="5" t="n">
        <v>526</v>
      </c>
      <c r="BI150" s="5" t="n">
        <v>663</v>
      </c>
      <c r="BJ150" s="5" t="n">
        <v>4469</v>
      </c>
      <c r="BK150" s="5"/>
      <c r="BL150" s="601" t="n">
        <f aca="false">(-1*(($C$196*BJ150+$C$199)/365)+17)+$C$200</f>
        <v>5.68709589041096</v>
      </c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AMJ150" s="504"/>
    </row>
    <row r="151" s="1" customFormat="true" ht="14.15" hidden="false" customHeight="true" outlineLevel="0" collapsed="false">
      <c r="A151" s="483"/>
      <c r="B151" s="669" t="n">
        <v>10</v>
      </c>
      <c r="C151" s="670" t="n">
        <f aca="false">VLOOKUP(B151,$B$215:$E$1316,4,1)</f>
        <v>4.87008290006697</v>
      </c>
      <c r="D151" s="671" t="n">
        <f aca="false">VLOOKUP(B151,$B$215:$E$1316,3,1)</f>
        <v>76.791467168256</v>
      </c>
      <c r="E151" s="672" t="n">
        <f aca="false">VLOOKUP(B151,$B$215:$E$1316,2,1)</f>
        <v>386.875069425408</v>
      </c>
      <c r="F151" s="674" t="n">
        <f aca="false">(C151-C150)/(B151-B150)*1000</f>
        <v>74.5634920634919</v>
      </c>
      <c r="G151" s="675" t="n">
        <f aca="false">1000*(C151-$C$149)/(B151-$B$149)</f>
        <v>157.164902998236</v>
      </c>
      <c r="H151" s="502"/>
      <c r="I151" s="5"/>
      <c r="J151" s="8"/>
      <c r="K151" s="8"/>
      <c r="L151" s="5"/>
      <c r="M151" s="8"/>
      <c r="N151" s="319" t="n">
        <f aca="false">R257</f>
        <v>-42</v>
      </c>
      <c r="O151" s="658" t="n">
        <f aca="false">S257</f>
        <v>85.927220910891</v>
      </c>
      <c r="P151" s="658" t="n">
        <f aca="false">T257</f>
        <v>71.6060174257425</v>
      </c>
      <c r="Q151" s="5"/>
      <c r="R151" s="5"/>
      <c r="S151" s="5"/>
      <c r="T151" s="5"/>
      <c r="U151" s="5"/>
      <c r="V151" s="10"/>
      <c r="W151" s="299"/>
      <c r="X151" s="299"/>
      <c r="Y151" s="299"/>
      <c r="Z151" s="299"/>
      <c r="AA151" s="299"/>
      <c r="AB151" s="299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299"/>
      <c r="AT151" s="299"/>
      <c r="AU151" s="299"/>
      <c r="AV151" s="8"/>
      <c r="AW151" s="5" t="s">
        <v>157</v>
      </c>
      <c r="AX151" s="5" t="n">
        <v>682</v>
      </c>
      <c r="AY151" s="5" t="n">
        <v>640</v>
      </c>
      <c r="AZ151" s="5" t="n">
        <v>586</v>
      </c>
      <c r="BA151" s="5" t="n">
        <v>376</v>
      </c>
      <c r="BB151" s="5" t="n">
        <v>146</v>
      </c>
      <c r="BC151" s="5" t="n">
        <v>16</v>
      </c>
      <c r="BD151" s="5" t="n">
        <v>2</v>
      </c>
      <c r="BE151" s="5" t="n">
        <v>21</v>
      </c>
      <c r="BF151" s="5" t="n">
        <v>158</v>
      </c>
      <c r="BG151" s="5" t="n">
        <v>348</v>
      </c>
      <c r="BH151" s="5" t="n">
        <v>497</v>
      </c>
      <c r="BI151" s="5" t="n">
        <v>625</v>
      </c>
      <c r="BJ151" s="5" t="n">
        <v>4097</v>
      </c>
      <c r="BK151" s="5"/>
      <c r="BL151" s="601" t="n">
        <f aca="false">(-1*(($C$196*BJ151+$C$199)/365)+17)+$C$200</f>
        <v>6.2272602739726</v>
      </c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AMJ151" s="504"/>
    </row>
    <row r="152" s="1" customFormat="true" ht="14.15" hidden="false" customHeight="true" outlineLevel="0" collapsed="false">
      <c r="A152" s="483"/>
      <c r="B152" s="669" t="n">
        <v>15</v>
      </c>
      <c r="C152" s="670" t="n">
        <f aca="false">VLOOKUP(B152,$B$215:$E$1316,4,1)</f>
        <v>5.08137993636401</v>
      </c>
      <c r="D152" s="671" t="n">
        <f aca="false">VLOOKUP(B152,$B$215:$E$1316,3,1)</f>
        <v>80.1231988365877</v>
      </c>
      <c r="E152" s="672" t="n">
        <f aca="false">VLOOKUP(B152,$B$215:$E$1316,2,1)</f>
        <v>781.388380291663</v>
      </c>
      <c r="F152" s="674" t="n">
        <f aca="false">(C152-C151)/(B152-B151)*1000</f>
        <v>42.2594072594073</v>
      </c>
      <c r="G152" s="675" t="n">
        <f aca="false">1000*(C152-$C$149)/(B152-$B$149)</f>
        <v>116.127225948654</v>
      </c>
      <c r="H152" s="502"/>
      <c r="I152" s="5"/>
      <c r="J152" s="8"/>
      <c r="K152" s="8"/>
      <c r="L152" s="5"/>
      <c r="M152" s="8"/>
      <c r="N152" s="319" t="n">
        <f aca="false">R258</f>
        <v>-43</v>
      </c>
      <c r="O152" s="658" t="n">
        <f aca="false">S258</f>
        <v>86.084900910891</v>
      </c>
      <c r="P152" s="658" t="n">
        <f aca="false">T258</f>
        <v>71.7374174257425</v>
      </c>
      <c r="Q152" s="5"/>
      <c r="R152" s="5"/>
      <c r="S152" s="5"/>
      <c r="T152" s="5"/>
      <c r="U152" s="5"/>
      <c r="V152" s="10"/>
      <c r="W152" s="299"/>
      <c r="X152" s="299"/>
      <c r="Y152" s="299"/>
      <c r="Z152" s="299"/>
      <c r="AA152" s="299"/>
      <c r="AB152" s="299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299"/>
      <c r="AT152" s="299"/>
      <c r="AU152" s="299"/>
      <c r="AV152" s="8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AMJ152" s="504"/>
    </row>
    <row r="153" s="1" customFormat="true" ht="14.15" hidden="false" customHeight="true" outlineLevel="0" collapsed="false">
      <c r="A153" s="483"/>
      <c r="B153" s="669" t="n">
        <v>20</v>
      </c>
      <c r="C153" s="670" t="n">
        <f aca="false">VLOOKUP(B153,$B$215:$E$1316,4,1)</f>
        <v>5.22946860165469</v>
      </c>
      <c r="D153" s="671" t="n">
        <f aca="false">VLOOKUP(B153,$B$215:$E$1316,3,1)</f>
        <v>82.4582609108911</v>
      </c>
      <c r="E153" s="672" t="n">
        <f aca="false">VLOOKUP(B153,$B$215:$E$1316,2,1)</f>
        <v>1189.28561596067</v>
      </c>
      <c r="F153" s="674" t="s">
        <v>403</v>
      </c>
      <c r="G153" s="675" t="n">
        <f aca="false">1000*(C153-$C$149)/(B153-$B$149)</f>
        <v>93.3615699248337</v>
      </c>
      <c r="H153" s="502"/>
      <c r="I153" s="5"/>
      <c r="J153" s="8"/>
      <c r="K153" s="8"/>
      <c r="L153" s="5"/>
      <c r="M153" s="8"/>
      <c r="N153" s="319" t="n">
        <f aca="false">R259</f>
        <v>-44</v>
      </c>
      <c r="O153" s="658" t="n">
        <f aca="false">S259</f>
        <v>86.242580910891</v>
      </c>
      <c r="P153" s="658" t="n">
        <f aca="false">T259</f>
        <v>71.8688174257425</v>
      </c>
      <c r="Q153" s="5"/>
      <c r="R153" s="5"/>
      <c r="S153" s="5"/>
      <c r="T153" s="5"/>
      <c r="U153" s="5"/>
      <c r="V153" s="10"/>
      <c r="W153" s="299"/>
      <c r="X153" s="299"/>
      <c r="Y153" s="299"/>
      <c r="Z153" s="299"/>
      <c r="AA153" s="299"/>
      <c r="AB153" s="299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299"/>
      <c r="AT153" s="299"/>
      <c r="AU153" s="299"/>
      <c r="AV153" s="8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AMJ153" s="504"/>
    </row>
    <row r="154" s="1" customFormat="true" ht="14.15" hidden="false" customHeight="true" outlineLevel="0" collapsed="false">
      <c r="A154" s="483"/>
      <c r="B154" s="669" t="n">
        <v>25</v>
      </c>
      <c r="C154" s="670" t="n">
        <f aca="false">VLOOKUP(B154,$B$215:$E$1316,4,1)</f>
        <v>5.27946860165469</v>
      </c>
      <c r="D154" s="671" t="n">
        <f aca="false">VLOOKUP(B154,$B$215:$E$1316,3,1)</f>
        <v>83.2466609108911</v>
      </c>
      <c r="E154" s="672" t="n">
        <f aca="false">VLOOKUP(B154,$B$215:$E$1316,2,1)</f>
        <v>1603.94212051513</v>
      </c>
      <c r="F154" s="674" t="n">
        <f aca="false">(C154-C153)/(B154-B153)*1000</f>
        <v>9.99999999999979</v>
      </c>
      <c r="G154" s="675" t="n">
        <f aca="false">1000*(C154-$C$149)/(B154-$B$149)</f>
        <v>75.9945761904933</v>
      </c>
      <c r="H154" s="502"/>
      <c r="I154" s="5"/>
      <c r="J154" s="8"/>
      <c r="K154" s="8"/>
      <c r="L154" s="5"/>
      <c r="M154" s="8"/>
      <c r="N154" s="319" t="n">
        <f aca="false">R260</f>
        <v>-45</v>
      </c>
      <c r="O154" s="658" t="n">
        <f aca="false">S260</f>
        <v>86.400260910891</v>
      </c>
      <c r="P154" s="658" t="n">
        <f aca="false">T260</f>
        <v>72.0002174257425</v>
      </c>
      <c r="Q154" s="5"/>
      <c r="R154" s="5"/>
      <c r="S154" s="5"/>
      <c r="T154" s="5"/>
      <c r="U154" s="5"/>
      <c r="V154" s="10"/>
      <c r="W154" s="299"/>
      <c r="X154" s="299"/>
      <c r="Y154" s="299"/>
      <c r="Z154" s="299"/>
      <c r="AA154" s="299"/>
      <c r="AB154" s="299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299"/>
      <c r="AT154" s="299"/>
      <c r="AU154" s="299"/>
      <c r="AV154" s="8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AMJ154" s="504"/>
    </row>
    <row r="155" s="1" customFormat="true" ht="14.15" hidden="false" customHeight="true" outlineLevel="0" collapsed="false">
      <c r="A155" s="483"/>
      <c r="B155" s="669" t="n">
        <v>30</v>
      </c>
      <c r="C155" s="670" t="n">
        <f aca="false">VLOOKUP(B155,$B$215:$E$1316,4,1)</f>
        <v>5.32946860165468</v>
      </c>
      <c r="D155" s="671" t="n">
        <f aca="false">VLOOKUP(B155,$B$215:$E$1316,3,1)</f>
        <v>84.0350609108911</v>
      </c>
      <c r="E155" s="672" t="n">
        <f aca="false">VLOOKUP(B155,$B$215:$E$1316,2,1)</f>
        <v>2022.54062506958</v>
      </c>
      <c r="F155" s="674" t="n">
        <f aca="false">(C155-C154)/(B155-B154)*1000</f>
        <v>9.99999999999979</v>
      </c>
      <c r="G155" s="675" t="n">
        <f aca="false">1000*(C155-$C$149)/(B155-$B$149)</f>
        <v>64.6162009852358</v>
      </c>
      <c r="H155" s="502"/>
      <c r="I155" s="5"/>
      <c r="J155" s="8"/>
      <c r="K155" s="8"/>
      <c r="L155" s="5"/>
      <c r="M155" s="8"/>
      <c r="N155" s="319" t="n">
        <f aca="false">R261</f>
        <v>-46</v>
      </c>
      <c r="O155" s="658" t="n">
        <f aca="false">S261</f>
        <v>86.557940910891</v>
      </c>
      <c r="P155" s="658" t="n">
        <f aca="false">T261</f>
        <v>72.1316174257425</v>
      </c>
      <c r="Q155" s="5"/>
      <c r="R155" s="5"/>
      <c r="S155" s="5"/>
      <c r="T155" s="5"/>
      <c r="U155" s="5"/>
      <c r="V155" s="10"/>
      <c r="W155" s="299"/>
      <c r="X155" s="299"/>
      <c r="Y155" s="299"/>
      <c r="Z155" s="299"/>
      <c r="AA155" s="299"/>
      <c r="AB155" s="299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299"/>
      <c r="AT155" s="299"/>
      <c r="AU155" s="299"/>
      <c r="AV155" s="8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AMJ155" s="504"/>
    </row>
    <row r="156" s="1" customFormat="true" ht="14.15" hidden="false" customHeight="true" outlineLevel="0" collapsed="false">
      <c r="A156" s="483"/>
      <c r="B156" s="669" t="n">
        <v>50</v>
      </c>
      <c r="C156" s="670" t="n">
        <f aca="false">VLOOKUP(B156,$B$215:$E$1316,4,1)</f>
        <v>5.52946860165468</v>
      </c>
      <c r="D156" s="671" t="n">
        <f aca="false">VLOOKUP(B156,$B$215:$E$1316,3,1)</f>
        <v>87.188660910891</v>
      </c>
      <c r="E156" s="672" t="n">
        <f aca="false">VLOOKUP(B156,$B$215:$E$1316,2,1)</f>
        <v>3736.3546432874</v>
      </c>
      <c r="F156" s="674" t="n">
        <f aca="false">(C156-C153)/(B156-B153)*1000</f>
        <v>9.99999999999979</v>
      </c>
      <c r="G156" s="675" t="n">
        <f aca="false">1000*(C156-$C$149)/(B156-$B$149)</f>
        <v>42.3238740524864</v>
      </c>
      <c r="H156" s="502"/>
      <c r="I156" s="5"/>
      <c r="J156" s="8"/>
      <c r="K156" s="8"/>
      <c r="L156" s="5"/>
      <c r="M156" s="8"/>
      <c r="N156" s="319" t="n">
        <f aca="false">R262</f>
        <v>-47</v>
      </c>
      <c r="O156" s="658" t="n">
        <f aca="false">S262</f>
        <v>86.715620910891</v>
      </c>
      <c r="P156" s="658" t="n">
        <f aca="false">T262</f>
        <v>72.2630174257425</v>
      </c>
      <c r="Q156" s="5"/>
      <c r="R156" s="5"/>
      <c r="S156" s="5"/>
      <c r="T156" s="5"/>
      <c r="U156" s="5"/>
      <c r="V156" s="10"/>
      <c r="W156" s="299"/>
      <c r="X156" s="299"/>
      <c r="Y156" s="299"/>
      <c r="Z156" s="299"/>
      <c r="AA156" s="299"/>
      <c r="AB156" s="299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299"/>
      <c r="AT156" s="299"/>
      <c r="AU156" s="299"/>
      <c r="AV156" s="8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AMJ156" s="504"/>
    </row>
    <row r="157" s="1" customFormat="true" ht="14.15" hidden="false" customHeight="true" outlineLevel="0" collapsed="false">
      <c r="A157" s="483"/>
      <c r="B157" s="676" t="n">
        <v>100</v>
      </c>
      <c r="C157" s="677" t="n">
        <f aca="false">VLOOKUP(B157,$B$215:$E$1316,4,1)</f>
        <v>6.02946860165467</v>
      </c>
      <c r="D157" s="678" t="n">
        <f aca="false">VLOOKUP(B157,$B$215:$E$1316,3,1)</f>
        <v>95.0726609108908</v>
      </c>
      <c r="E157" s="679" t="n">
        <f aca="false">VLOOKUP(B157,$B$215:$E$1316,2,1)</f>
        <v>8296.82968883195</v>
      </c>
      <c r="F157" s="680" t="n">
        <f aca="false">(C157-C154)/(B157-B154)*1000</f>
        <v>9.99999999999979</v>
      </c>
      <c r="G157" s="681" t="n">
        <f aca="false">1000*(C157-$C$149)/(B157-$B$149)</f>
        <v>25.9986851370891</v>
      </c>
      <c r="H157" s="502"/>
      <c r="I157" s="5"/>
      <c r="J157" s="8"/>
      <c r="K157" s="8"/>
      <c r="L157" s="5"/>
      <c r="M157" s="8"/>
      <c r="N157" s="319" t="n">
        <f aca="false">R263</f>
        <v>-48</v>
      </c>
      <c r="O157" s="658" t="n">
        <f aca="false">S263</f>
        <v>86.873300910891</v>
      </c>
      <c r="P157" s="658" t="n">
        <f aca="false">T263</f>
        <v>72.3944174257425</v>
      </c>
      <c r="Q157" s="5"/>
      <c r="R157" s="5"/>
      <c r="S157" s="5"/>
      <c r="T157" s="5"/>
      <c r="U157" s="5"/>
      <c r="V157" s="10"/>
      <c r="W157" s="299"/>
      <c r="X157" s="299"/>
      <c r="Y157" s="299"/>
      <c r="Z157" s="299"/>
      <c r="AA157" s="299"/>
      <c r="AB157" s="299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299"/>
      <c r="AT157" s="299"/>
      <c r="AU157" s="299"/>
      <c r="AV157" s="8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AMJ157" s="504"/>
    </row>
    <row r="158" s="1" customFormat="true" ht="14.15" hidden="false" customHeight="true" outlineLevel="0" collapsed="false">
      <c r="A158" s="483"/>
      <c r="B158" s="669" t="n">
        <v>150</v>
      </c>
      <c r="C158" s="670" t="n">
        <f aca="false">VLOOKUP(B158,$B$215:$E$1316,4,1)</f>
        <v>6.52946860165466</v>
      </c>
      <c r="D158" s="671" t="n">
        <f aca="false">VLOOKUP(B158,$B$215:$E$1316,3,1)</f>
        <v>102.956660910891</v>
      </c>
      <c r="E158" s="672" t="n">
        <f aca="false">VLOOKUP(B158,$B$215:$E$1316,2,1)</f>
        <v>13251.5047343765</v>
      </c>
      <c r="F158" s="674" t="n">
        <f aca="false">(C158-C155)/(B158-B155)*1000</f>
        <v>9.99999999999979</v>
      </c>
      <c r="G158" s="675" t="n">
        <f aca="false">1000*(C158-$C$149)/(B158-$B$149)</f>
        <v>20.6299988494752</v>
      </c>
      <c r="H158" s="502"/>
      <c r="I158" s="5"/>
      <c r="J158" s="8"/>
      <c r="K158" s="8"/>
      <c r="L158" s="5"/>
      <c r="M158" s="8"/>
      <c r="N158" s="319" t="n">
        <f aca="false">R264</f>
        <v>-49</v>
      </c>
      <c r="O158" s="658" t="n">
        <f aca="false">S264</f>
        <v>87.030980910891</v>
      </c>
      <c r="P158" s="658" t="n">
        <f aca="false">T264</f>
        <v>72.5258174257425</v>
      </c>
      <c r="Q158" s="5"/>
      <c r="R158" s="5"/>
      <c r="S158" s="5"/>
      <c r="T158" s="5"/>
      <c r="U158" s="5"/>
      <c r="V158" s="10"/>
      <c r="W158" s="299"/>
      <c r="X158" s="299"/>
      <c r="Y158" s="299"/>
      <c r="Z158" s="299"/>
      <c r="AA158" s="299"/>
      <c r="AB158" s="299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299"/>
      <c r="AT158" s="299"/>
      <c r="AU158" s="299"/>
      <c r="AV158" s="8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AMJ158" s="504"/>
    </row>
    <row r="159" s="1" customFormat="true" ht="14.15" hidden="false" customHeight="true" outlineLevel="0" collapsed="false">
      <c r="A159" s="483"/>
      <c r="B159" s="676" t="n">
        <v>200</v>
      </c>
      <c r="C159" s="677" t="n">
        <f aca="false">VLOOKUP(B159,$B$215:$E$1316,4,1)</f>
        <v>7.02946860165465</v>
      </c>
      <c r="D159" s="678" t="n">
        <f aca="false">VLOOKUP(B159,$B$215:$E$1316,3,1)</f>
        <v>110.84066091089</v>
      </c>
      <c r="E159" s="679" t="n">
        <f aca="false">VLOOKUP(B159,$B$215:$E$1316,2,1)</f>
        <v>18600.379779921</v>
      </c>
      <c r="F159" s="682" t="n">
        <f aca="false">(C159-C156)/(B159-B156)*1000</f>
        <v>9.99999999999979</v>
      </c>
      <c r="G159" s="681" t="n">
        <f aca="false">1000*(C159-$C$149)/(B159-$B$149)</f>
        <v>17.959144867195</v>
      </c>
      <c r="H159" s="502"/>
      <c r="I159" s="5"/>
      <c r="J159" s="8"/>
      <c r="K159" s="8"/>
      <c r="L159" s="5"/>
      <c r="M159" s="8"/>
      <c r="N159" s="319" t="n">
        <f aca="false">R265</f>
        <v>-50</v>
      </c>
      <c r="O159" s="658" t="n">
        <f aca="false">S265</f>
        <v>87.188660910891</v>
      </c>
      <c r="P159" s="658" t="n">
        <f aca="false">T265</f>
        <v>72.6572174257425</v>
      </c>
      <c r="Q159" s="5"/>
      <c r="R159" s="5"/>
      <c r="S159" s="5"/>
      <c r="T159" s="5"/>
      <c r="U159" s="5"/>
      <c r="V159" s="10"/>
      <c r="W159" s="299"/>
      <c r="X159" s="299"/>
      <c r="Y159" s="299"/>
      <c r="Z159" s="299"/>
      <c r="AA159" s="299"/>
      <c r="AB159" s="299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299"/>
      <c r="AT159" s="299"/>
      <c r="AU159" s="299"/>
      <c r="AV159" s="8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AMJ159" s="504"/>
    </row>
    <row r="160" s="1" customFormat="true" ht="14.15" hidden="false" customHeight="true" outlineLevel="0" collapsed="false">
      <c r="A160" s="483"/>
      <c r="B160" s="669" t="n">
        <v>250</v>
      </c>
      <c r="C160" s="670" t="n">
        <f aca="false">VLOOKUP(B160,$B$215:$E$1316,4,1)</f>
        <v>7.52946860165464</v>
      </c>
      <c r="D160" s="671" t="n">
        <f aca="false">VLOOKUP(B160,$B$215:$E$1316,3,1)</f>
        <v>118.72466091089</v>
      </c>
      <c r="E160" s="672" t="n">
        <f aca="false">VLOOKUP(B160,$B$215:$E$1316,2,1)</f>
        <v>24343.4548254655</v>
      </c>
      <c r="F160" s="674" t="n">
        <f aca="false">(C160-C157)/(B160-B157)*1000</f>
        <v>9.99999999999979</v>
      </c>
      <c r="G160" s="675" t="n">
        <f aca="false">1000*(C160-$C$149)/(B160-$B$149)</f>
        <v>16.3609230063124</v>
      </c>
      <c r="H160" s="502"/>
      <c r="I160" s="683"/>
      <c r="J160" s="684"/>
      <c r="K160" s="684"/>
      <c r="L160" s="683"/>
      <c r="M160" s="684"/>
      <c r="N160" s="481" t="n">
        <f aca="false">R270</f>
        <v>-55</v>
      </c>
      <c r="O160" s="572" t="n">
        <f aca="false">S270</f>
        <v>87.977060910891</v>
      </c>
      <c r="P160" s="572" t="n">
        <f aca="false">T270</f>
        <v>73.3142174257425</v>
      </c>
      <c r="Q160" s="683"/>
      <c r="R160" s="683"/>
      <c r="S160" s="683"/>
      <c r="T160" s="683"/>
      <c r="U160" s="683"/>
      <c r="V160" s="685"/>
      <c r="W160" s="299"/>
      <c r="X160" s="299"/>
      <c r="Y160" s="299"/>
      <c r="Z160" s="299"/>
      <c r="AA160" s="299"/>
      <c r="AB160" s="299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299"/>
      <c r="AT160" s="299"/>
      <c r="AU160" s="299"/>
      <c r="AV160" s="8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AMJ160" s="504"/>
    </row>
    <row r="161" s="1" customFormat="true" ht="14.15" hidden="false" customHeight="true" outlineLevel="0" collapsed="false">
      <c r="A161" s="483"/>
      <c r="B161" s="676" t="n">
        <v>300</v>
      </c>
      <c r="C161" s="677" t="n">
        <f aca="false">VLOOKUP(B161,$B$215:$E$1316,4,1)</f>
        <v>8.02946860165463</v>
      </c>
      <c r="D161" s="678" t="n">
        <f aca="false">VLOOKUP(B161,$B$215:$E$1316,3,1)</f>
        <v>126.60866091089</v>
      </c>
      <c r="E161" s="679" t="n">
        <f aca="false">VLOOKUP(B161,$B$215:$E$1316,2,1)</f>
        <v>30480.72987101</v>
      </c>
      <c r="F161" s="682" t="n">
        <f aca="false">(C161-C158)/(B161-B158)*1000</f>
        <v>9.99999999999979</v>
      </c>
      <c r="G161" s="681" t="n">
        <f aca="false">1000*(C161-$C$149)/(B161-$B$149)</f>
        <v>15.297223506929</v>
      </c>
      <c r="H161" s="502"/>
      <c r="I161" s="683"/>
      <c r="J161" s="684"/>
      <c r="K161" s="684"/>
      <c r="L161" s="683"/>
      <c r="M161" s="684"/>
      <c r="N161" s="481" t="n">
        <f aca="false">R275</f>
        <v>-60</v>
      </c>
      <c r="O161" s="572" t="n">
        <f aca="false">S275</f>
        <v>88.765460910891</v>
      </c>
      <c r="P161" s="572" t="n">
        <f aca="false">T275</f>
        <v>73.9712174257425</v>
      </c>
      <c r="Q161" s="683"/>
      <c r="R161" s="683"/>
      <c r="S161" s="683"/>
      <c r="T161" s="683"/>
      <c r="U161" s="683"/>
      <c r="V161" s="685"/>
      <c r="W161" s="299"/>
      <c r="X161" s="299"/>
      <c r="Y161" s="299"/>
      <c r="Z161" s="299"/>
      <c r="AA161" s="299"/>
      <c r="AB161" s="299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299"/>
      <c r="AT161" s="299"/>
      <c r="AU161" s="299"/>
      <c r="AV161" s="8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AMJ161" s="504"/>
    </row>
    <row r="162" s="1" customFormat="true" ht="14.15" hidden="false" customHeight="true" outlineLevel="0" collapsed="false">
      <c r="A162" s="483"/>
      <c r="B162" s="669" t="n">
        <v>350</v>
      </c>
      <c r="C162" s="670" t="n">
        <f aca="false">VLOOKUP(B162,$B$215:$E$1316,4,1)</f>
        <v>8.52946860165462</v>
      </c>
      <c r="D162" s="671" t="n">
        <f aca="false">VLOOKUP(B162,$B$215:$E$1316,3,1)</f>
        <v>134.49266091089</v>
      </c>
      <c r="E162" s="672" t="n">
        <f aca="false">VLOOKUP(B162,$B$215:$E$1316,2,1)</f>
        <v>37012.2049165545</v>
      </c>
      <c r="F162" s="674" t="n">
        <f aca="false">(C162-C159)/(B162-B159)*1000</f>
        <v>9.99999999999979</v>
      </c>
      <c r="G162" s="675" t="n">
        <f aca="false">1000*(C162-$C$149)/(B162-$B$149)</f>
        <v>14.538308964389</v>
      </c>
      <c r="H162" s="502"/>
      <c r="I162" s="683"/>
      <c r="J162" s="684"/>
      <c r="K162" s="684"/>
      <c r="L162" s="683"/>
      <c r="M162" s="684"/>
      <c r="N162" s="481" t="n">
        <f aca="false">R280</f>
        <v>-65</v>
      </c>
      <c r="O162" s="572" t="n">
        <f aca="false">S280</f>
        <v>89.5538609108909</v>
      </c>
      <c r="P162" s="572" t="n">
        <f aca="false">T280</f>
        <v>74.6282174257425</v>
      </c>
      <c r="Q162" s="683"/>
      <c r="R162" s="683"/>
      <c r="S162" s="683"/>
      <c r="T162" s="683"/>
      <c r="U162" s="683"/>
      <c r="V162" s="685"/>
      <c r="W162" s="299"/>
      <c r="X162" s="299"/>
      <c r="Y162" s="299"/>
      <c r="Z162" s="299"/>
      <c r="AA162" s="299"/>
      <c r="AB162" s="299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299"/>
      <c r="AT162" s="299"/>
      <c r="AU162" s="299"/>
      <c r="AV162" s="8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AMJ162" s="504"/>
    </row>
    <row r="163" s="1" customFormat="true" ht="14.15" hidden="false" customHeight="true" outlineLevel="0" collapsed="false">
      <c r="A163" s="483"/>
      <c r="B163" s="686" t="n">
        <v>400</v>
      </c>
      <c r="C163" s="687" t="n">
        <f aca="false">VLOOKUP(B163,$B$215:$E$1316,4,1)</f>
        <v>9.02946860165461</v>
      </c>
      <c r="D163" s="688" t="n">
        <f aca="false">VLOOKUP(B163,$B$215:$E$1316,3,1)</f>
        <v>142.37666091089</v>
      </c>
      <c r="E163" s="689" t="n">
        <f aca="false">VLOOKUP(B163,$B$215:$E$1316,2,1)</f>
        <v>43937.879962099</v>
      </c>
      <c r="F163" s="690" t="n">
        <f aca="false">(C163-C160)/(B163-B160)*1000</f>
        <v>9.99999999999979</v>
      </c>
      <c r="G163" s="691" t="n">
        <f aca="false">1000*(C163-$C$149)/(B163-$B$149)</f>
        <v>13.969598567849</v>
      </c>
      <c r="H163" s="502"/>
      <c r="I163" s="683"/>
      <c r="J163" s="684"/>
      <c r="K163" s="684"/>
      <c r="L163" s="683"/>
      <c r="M163" s="684"/>
      <c r="N163" s="481" t="n">
        <f aca="false">R285</f>
        <v>-70</v>
      </c>
      <c r="O163" s="572" t="n">
        <f aca="false">S285</f>
        <v>90.3422609108909</v>
      </c>
      <c r="P163" s="572" t="n">
        <f aca="false">T285</f>
        <v>75.2852174257424</v>
      </c>
      <c r="Q163" s="683"/>
      <c r="R163" s="683"/>
      <c r="S163" s="683"/>
      <c r="T163" s="683"/>
      <c r="U163" s="683"/>
      <c r="V163" s="685"/>
      <c r="W163" s="299"/>
      <c r="X163" s="299"/>
      <c r="Y163" s="299"/>
      <c r="Z163" s="299"/>
      <c r="AA163" s="299"/>
      <c r="AB163" s="299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299"/>
      <c r="AT163" s="299"/>
      <c r="AU163" s="299"/>
      <c r="AV163" s="8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AMJ163" s="504"/>
    </row>
    <row r="164" s="1" customFormat="true" ht="14.15" hidden="false" customHeight="true" outlineLevel="0" collapsed="false">
      <c r="A164" s="483"/>
      <c r="B164" s="669" t="n">
        <v>450</v>
      </c>
      <c r="C164" s="670" t="n">
        <f aca="false">VLOOKUP(B164,$B$215:$E$1316,4,1)</f>
        <v>9.52946860165459</v>
      </c>
      <c r="D164" s="671" t="n">
        <f aca="false">VLOOKUP(B164,$B$215:$E$1316,3,1)</f>
        <v>150.26066091089</v>
      </c>
      <c r="E164" s="672" t="n">
        <f aca="false">VLOOKUP(B164,$B$215:$E$1316,2,1)</f>
        <v>51257.7550076435</v>
      </c>
      <c r="F164" s="674" t="n">
        <f aca="false">(C164-C161)/(B164-B161)*1000</f>
        <v>9.99999999999979</v>
      </c>
      <c r="G164" s="675" t="n">
        <f aca="false">1000*(C164-$C$149)/(B164-$B$149)</f>
        <v>13.5275497295585</v>
      </c>
      <c r="H164" s="502"/>
      <c r="I164" s="683"/>
      <c r="J164" s="684"/>
      <c r="K164" s="684"/>
      <c r="L164" s="683"/>
      <c r="M164" s="684"/>
      <c r="N164" s="481" t="n">
        <f aca="false">R290</f>
        <v>-75</v>
      </c>
      <c r="O164" s="572" t="n">
        <f aca="false">S290</f>
        <v>91.1306609108909</v>
      </c>
      <c r="P164" s="572" t="n">
        <f aca="false">T290</f>
        <v>75.9422174257424</v>
      </c>
      <c r="Q164" s="683"/>
      <c r="R164" s="683"/>
      <c r="S164" s="683"/>
      <c r="T164" s="683"/>
      <c r="U164" s="683"/>
      <c r="V164" s="685"/>
      <c r="W164" s="299"/>
      <c r="X164" s="299"/>
      <c r="Y164" s="299"/>
      <c r="Z164" s="299"/>
      <c r="AA164" s="299"/>
      <c r="AB164" s="299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299"/>
      <c r="AT164" s="299"/>
      <c r="AU164" s="299"/>
      <c r="AV164" s="8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AMJ164" s="504"/>
    </row>
    <row r="165" s="1" customFormat="true" ht="14.15" hidden="false" customHeight="true" outlineLevel="0" collapsed="false">
      <c r="A165" s="5"/>
      <c r="B165" s="676" t="n">
        <v>500</v>
      </c>
      <c r="C165" s="677" t="n">
        <f aca="false">VLOOKUP(B165,$B$215:$E$1316,4,1)</f>
        <v>10.0294686016546</v>
      </c>
      <c r="D165" s="678" t="n">
        <f aca="false">VLOOKUP(B165,$B$215:$E$1316,3,1)</f>
        <v>158.144660910889</v>
      </c>
      <c r="E165" s="679" t="n">
        <f aca="false">VLOOKUP(B165,$B$215:$E$1316,2,1)</f>
        <v>58971.830053188</v>
      </c>
      <c r="F165" s="682" t="n">
        <f aca="false">(C165-C162)/(B165-B162)*1000</f>
        <v>9.99999999999979</v>
      </c>
      <c r="G165" s="681" t="n">
        <f aca="false">1000*(C165-$C$149)/(B165-$B$149)</f>
        <v>13.1740878328091</v>
      </c>
      <c r="H165" s="502"/>
      <c r="I165" s="683"/>
      <c r="J165" s="684"/>
      <c r="K165" s="684"/>
      <c r="L165" s="683"/>
      <c r="M165" s="684"/>
      <c r="N165" s="481" t="n">
        <f aca="false">R295</f>
        <v>-80</v>
      </c>
      <c r="O165" s="572" t="n">
        <f aca="false">S295</f>
        <v>91.9190609108909</v>
      </c>
      <c r="P165" s="572" t="n">
        <f aca="false">T295</f>
        <v>76.5992174257424</v>
      </c>
      <c r="Q165" s="683"/>
      <c r="R165" s="683"/>
      <c r="S165" s="683"/>
      <c r="T165" s="683"/>
      <c r="U165" s="683"/>
      <c r="V165" s="685"/>
      <c r="W165" s="299"/>
      <c r="X165" s="299"/>
      <c r="Y165" s="299"/>
      <c r="Z165" s="299"/>
      <c r="AA165" s="299"/>
      <c r="AB165" s="483"/>
      <c r="AC165" s="5"/>
      <c r="AD165" s="5"/>
      <c r="AE165" s="5"/>
      <c r="AF165" s="5"/>
      <c r="AG165" s="5"/>
      <c r="AH165" s="5"/>
      <c r="AI165" s="5"/>
      <c r="AJ165" s="5"/>
      <c r="AK165" s="578"/>
      <c r="AL165" s="299"/>
      <c r="AM165" s="299"/>
      <c r="AN165" s="319"/>
      <c r="AO165" s="299"/>
      <c r="AP165" s="299"/>
      <c r="AQ165" s="299"/>
      <c r="AR165" s="299"/>
      <c r="AS165" s="299"/>
      <c r="AT165" s="299"/>
      <c r="AU165" s="299"/>
      <c r="AV165" s="8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AMJ165" s="504"/>
    </row>
    <row r="166" s="1" customFormat="true" ht="14.15" hidden="false" customHeight="true" outlineLevel="0" collapsed="false">
      <c r="A166" s="5"/>
      <c r="B166" s="669" t="n">
        <v>550</v>
      </c>
      <c r="C166" s="670" t="n">
        <f aca="false">VLOOKUP(B166,$B$215:$E$1316,4,1)</f>
        <v>10.5294686016546</v>
      </c>
      <c r="D166" s="671" t="n">
        <f aca="false">VLOOKUP(B166,$B$215:$E$1316,3,1)</f>
        <v>166.028660910889</v>
      </c>
      <c r="E166" s="672" t="n">
        <f aca="false">VLOOKUP(B166,$B$215:$E$1316,2,1)</f>
        <v>67080.1050987325</v>
      </c>
      <c r="F166" s="674" t="n">
        <f aca="false">(C166-C163)/(B166-B163)*1000</f>
        <v>9.99999999999979</v>
      </c>
      <c r="G166" s="675" t="n">
        <f aca="false">1000*(C166-$C$149)/(B166-$B$149)</f>
        <v>12.8850087952126</v>
      </c>
      <c r="H166" s="502"/>
      <c r="I166" s="5"/>
      <c r="J166" s="8"/>
      <c r="K166" s="8"/>
      <c r="L166" s="5"/>
      <c r="M166" s="8"/>
      <c r="N166" s="481" t="n">
        <f aca="false">R300</f>
        <v>-85</v>
      </c>
      <c r="O166" s="572" t="n">
        <f aca="false">S300</f>
        <v>92.7074609108909</v>
      </c>
      <c r="P166" s="572" t="n">
        <f aca="false">T300</f>
        <v>77.2562174257424</v>
      </c>
      <c r="Q166" s="5"/>
      <c r="R166" s="5"/>
      <c r="S166" s="5"/>
      <c r="T166" s="5"/>
      <c r="U166" s="5"/>
      <c r="V166" s="10"/>
      <c r="W166" s="299"/>
      <c r="X166" s="299"/>
      <c r="Y166" s="299"/>
      <c r="Z166" s="299"/>
      <c r="AA166" s="299"/>
      <c r="AB166" s="483"/>
      <c r="AC166" s="299"/>
      <c r="AD166" s="299"/>
      <c r="AE166" s="299"/>
      <c r="AF166" s="299"/>
      <c r="AG166" s="299"/>
      <c r="AH166" s="299"/>
      <c r="AI166" s="319"/>
      <c r="AJ166" s="319"/>
      <c r="AK166" s="319"/>
      <c r="AL166" s="299"/>
      <c r="AM166" s="299"/>
      <c r="AN166" s="319"/>
      <c r="AO166" s="299"/>
      <c r="AP166" s="299"/>
      <c r="AQ166" s="299"/>
      <c r="AR166" s="299"/>
      <c r="AS166" s="299"/>
      <c r="AT166" s="299"/>
      <c r="AU166" s="299"/>
      <c r="AV166" s="8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AMJ166" s="504"/>
    </row>
    <row r="167" s="1" customFormat="true" ht="14.15" hidden="false" customHeight="true" outlineLevel="0" collapsed="false">
      <c r="A167" s="5"/>
      <c r="B167" s="669" t="n">
        <v>600</v>
      </c>
      <c r="C167" s="670" t="n">
        <f aca="false">VLOOKUP(B167,$B$215:$E$1316,4,1)</f>
        <v>11.0294686016546</v>
      </c>
      <c r="D167" s="671" t="n">
        <f aca="false">VLOOKUP(B167,$B$215:$E$1316,3,1)</f>
        <v>173.912660910889</v>
      </c>
      <c r="E167" s="672" t="n">
        <f aca="false">VLOOKUP(B167,$B$215:$E$1316,2,1)</f>
        <v>75582.5801442769</v>
      </c>
      <c r="F167" s="674" t="n">
        <f aca="false">(C167-C164)/(B167-B164)*1000</f>
        <v>9.99999999999979</v>
      </c>
      <c r="G167" s="675" t="n">
        <f aca="false">1000*(C167-$C$149)/(B167-$B$149)</f>
        <v>12.6441900310045</v>
      </c>
      <c r="H167" s="502"/>
      <c r="I167" s="5"/>
      <c r="J167" s="8"/>
      <c r="K167" s="8"/>
      <c r="L167" s="5"/>
      <c r="M167" s="8"/>
      <c r="N167" s="481" t="n">
        <f aca="false">R305</f>
        <v>-90</v>
      </c>
      <c r="O167" s="572" t="n">
        <f aca="false">S305</f>
        <v>93.4958609108909</v>
      </c>
      <c r="P167" s="572" t="n">
        <f aca="false">T305</f>
        <v>77.9132174257424</v>
      </c>
      <c r="Q167" s="5"/>
      <c r="R167" s="5"/>
      <c r="S167" s="5"/>
      <c r="T167" s="5"/>
      <c r="U167" s="5"/>
      <c r="V167" s="10"/>
      <c r="W167" s="299"/>
      <c r="X167" s="299"/>
      <c r="Y167" s="299"/>
      <c r="Z167" s="299"/>
      <c r="AA167" s="299"/>
      <c r="AB167" s="483"/>
      <c r="AC167" s="299"/>
      <c r="AD167" s="299"/>
      <c r="AE167" s="299"/>
      <c r="AF167" s="299"/>
      <c r="AG167" s="299"/>
      <c r="AH167" s="299"/>
      <c r="AI167" s="299"/>
      <c r="AJ167" s="299"/>
      <c r="AK167" s="299"/>
      <c r="AL167" s="299"/>
      <c r="AM167" s="299"/>
      <c r="AN167" s="299"/>
      <c r="AO167" s="299"/>
      <c r="AP167" s="299"/>
      <c r="AQ167" s="299"/>
      <c r="AR167" s="299"/>
      <c r="AS167" s="299"/>
      <c r="AT167" s="299"/>
      <c r="AU167" s="299"/>
      <c r="AV167" s="8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AMJ167" s="504"/>
    </row>
    <row r="168" s="1" customFormat="true" ht="14.15" hidden="false" customHeight="true" outlineLevel="0" collapsed="false">
      <c r="A168" s="5"/>
      <c r="B168" s="669" t="n">
        <v>650</v>
      </c>
      <c r="C168" s="670" t="n">
        <f aca="false">VLOOKUP(B168,$B$215:$E$1316,4,1)</f>
        <v>11.5294686016546</v>
      </c>
      <c r="D168" s="671" t="n">
        <f aca="false">VLOOKUP(B168,$B$215:$E$1316,3,1)</f>
        <v>181.796660910889</v>
      </c>
      <c r="E168" s="672" t="n">
        <f aca="false">VLOOKUP(B168,$B$215:$E$1316,2,1)</f>
        <v>84479.2551898214</v>
      </c>
      <c r="F168" s="674" t="n">
        <f aca="false">(C168-C165)/(B168-B165)*1000</f>
        <v>9.99999999999979</v>
      </c>
      <c r="G168" s="675" t="n">
        <f aca="false">1000*(C168-$C$149)/(B168-$B$149)</f>
        <v>12.4404773937931</v>
      </c>
      <c r="H168" s="502"/>
      <c r="I168" s="5"/>
      <c r="J168" s="8"/>
      <c r="K168" s="8"/>
      <c r="L168" s="5"/>
      <c r="M168" s="8"/>
      <c r="N168" s="481" t="n">
        <f aca="false">R310</f>
        <v>-95</v>
      </c>
      <c r="O168" s="572" t="n">
        <f aca="false">S310</f>
        <v>94.2842609108908</v>
      </c>
      <c r="P168" s="572" t="n">
        <f aca="false">T310</f>
        <v>78.5702174257424</v>
      </c>
      <c r="Q168" s="5"/>
      <c r="R168" s="5"/>
      <c r="S168" s="5"/>
      <c r="T168" s="5"/>
      <c r="U168" s="5"/>
      <c r="V168" s="10"/>
      <c r="W168" s="299"/>
      <c r="X168" s="299"/>
      <c r="Y168" s="299"/>
      <c r="Z168" s="299"/>
      <c r="AA168" s="299"/>
      <c r="AB168" s="483"/>
      <c r="AC168" s="299"/>
      <c r="AD168" s="299"/>
      <c r="AE168" s="299"/>
      <c r="AF168" s="299"/>
      <c r="AG168" s="299"/>
      <c r="AH168" s="299"/>
      <c r="AI168" s="299"/>
      <c r="AJ168" s="299"/>
      <c r="AK168" s="299"/>
      <c r="AL168" s="299"/>
      <c r="AM168" s="299"/>
      <c r="AN168" s="299"/>
      <c r="AO168" s="299"/>
      <c r="AP168" s="299"/>
      <c r="AQ168" s="299"/>
      <c r="AR168" s="299"/>
      <c r="AS168" s="299"/>
      <c r="AT168" s="299"/>
      <c r="AU168" s="299"/>
      <c r="AV168" s="8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AMJ168" s="504"/>
    </row>
    <row r="169" s="1" customFormat="true" ht="14.15" hidden="false" customHeight="true" outlineLevel="0" collapsed="false">
      <c r="A169" s="5"/>
      <c r="B169" s="669" t="n">
        <v>700</v>
      </c>
      <c r="C169" s="670" t="n">
        <f aca="false">VLOOKUP(B169,$B$215:$E$1316,4,1)</f>
        <v>12.0294686016545</v>
      </c>
      <c r="D169" s="671" t="n">
        <f aca="false">VLOOKUP(B169,$B$215:$E$1316,3,1)</f>
        <v>189.680660910889</v>
      </c>
      <c r="E169" s="672" t="n">
        <f aca="false">VLOOKUP(B169,$B$215:$E$1316,2,1)</f>
        <v>93770.1302353658</v>
      </c>
      <c r="F169" s="674" t="n">
        <f aca="false">(C169-C166)/(B169-B166)*1000</f>
        <v>9.99999999999979</v>
      </c>
      <c r="G169" s="675" t="n">
        <f aca="false">1000*(C169-$C$149)/(B169-$B$149)</f>
        <v>12.2659081953815</v>
      </c>
      <c r="H169" s="502"/>
      <c r="I169" s="5"/>
      <c r="J169" s="8"/>
      <c r="K169" s="8"/>
      <c r="L169" s="5"/>
      <c r="M169" s="8"/>
      <c r="N169" s="481" t="n">
        <f aca="false">R315</f>
        <v>-100</v>
      </c>
      <c r="O169" s="572" t="n">
        <f aca="false">S315</f>
        <v>95.0726609108908</v>
      </c>
      <c r="P169" s="572" t="n">
        <f aca="false">T315</f>
        <v>79.2272174257424</v>
      </c>
      <c r="Q169" s="5"/>
      <c r="R169" s="5"/>
      <c r="S169" s="5"/>
      <c r="T169" s="5"/>
      <c r="U169" s="5"/>
      <c r="V169" s="10"/>
      <c r="W169" s="299"/>
      <c r="X169" s="299"/>
      <c r="Y169" s="299"/>
      <c r="Z169" s="299"/>
      <c r="AA169" s="299"/>
      <c r="AB169" s="483"/>
      <c r="AC169" s="299"/>
      <c r="AD169" s="299"/>
      <c r="AE169" s="299"/>
      <c r="AF169" s="299"/>
      <c r="AG169" s="299"/>
      <c r="AH169" s="299"/>
      <c r="AI169" s="299"/>
      <c r="AJ169" s="299"/>
      <c r="AK169" s="299"/>
      <c r="AL169" s="299"/>
      <c r="AM169" s="299"/>
      <c r="AN169" s="299"/>
      <c r="AO169" s="299"/>
      <c r="AP169" s="299"/>
      <c r="AQ169" s="299"/>
      <c r="AR169" s="299"/>
      <c r="AS169" s="299"/>
      <c r="AT169" s="299"/>
      <c r="AU169" s="299"/>
      <c r="AV169" s="8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AMJ169" s="504"/>
    </row>
    <row r="170" s="1" customFormat="true" ht="14.15" hidden="false" customHeight="true" outlineLevel="0" collapsed="false">
      <c r="A170" s="5"/>
      <c r="B170" s="669" t="n">
        <v>750</v>
      </c>
      <c r="C170" s="670" t="n">
        <f aca="false">VLOOKUP(B170,$B$215:$E$1316,4,1)</f>
        <v>12.5294686016545</v>
      </c>
      <c r="D170" s="671" t="n">
        <f aca="false">VLOOKUP(B170,$B$215:$E$1316,3,1)</f>
        <v>197.564660910889</v>
      </c>
      <c r="E170" s="672" t="n">
        <f aca="false">VLOOKUP(B170,$B$215:$E$1316,2,1)</f>
        <v>103455.20528091</v>
      </c>
      <c r="F170" s="674" t="n">
        <f aca="false">(C170-C167)/(B170-B167)*1000</f>
        <v>9.99999999999979</v>
      </c>
      <c r="G170" s="675" t="n">
        <f aca="false">1000*(C170-$C$149)/(B170-$B$149)</f>
        <v>12.1146459660503</v>
      </c>
      <c r="H170" s="502"/>
      <c r="I170" s="5"/>
      <c r="J170" s="8"/>
      <c r="K170" s="8"/>
      <c r="L170" s="5"/>
      <c r="M170" s="8"/>
      <c r="N170" s="481" t="n">
        <f aca="false">R320</f>
        <v>-105</v>
      </c>
      <c r="O170" s="572" t="n">
        <f aca="false">S320</f>
        <v>95.8610609108908</v>
      </c>
      <c r="P170" s="572" t="n">
        <f aca="false">T320</f>
        <v>79.8842174257423</v>
      </c>
      <c r="Q170" s="5"/>
      <c r="R170" s="5"/>
      <c r="S170" s="5"/>
      <c r="T170" s="5"/>
      <c r="U170" s="5"/>
      <c r="V170" s="10"/>
      <c r="W170" s="299"/>
      <c r="X170" s="299"/>
      <c r="Y170" s="299"/>
      <c r="Z170" s="299"/>
      <c r="AA170" s="299"/>
      <c r="AB170" s="483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8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AMJ170" s="504"/>
    </row>
    <row r="171" s="1" customFormat="true" ht="14.15" hidden="false" customHeight="true" outlineLevel="0" collapsed="false">
      <c r="A171" s="5"/>
      <c r="B171" s="686" t="n">
        <v>800</v>
      </c>
      <c r="C171" s="687" t="n">
        <f aca="false">VLOOKUP(B171,$B$215:$E$1316,4,1)</f>
        <v>13.0294686016545</v>
      </c>
      <c r="D171" s="688" t="n">
        <f aca="false">VLOOKUP(B171,$B$215:$E$1316,3,1)</f>
        <v>205.448660910888</v>
      </c>
      <c r="E171" s="689" t="n">
        <f aca="false">VLOOKUP(B171,$B$215:$E$1316,2,1)</f>
        <v>113534.480326455</v>
      </c>
      <c r="F171" s="690" t="n">
        <f aca="false">(C171-C168)/(B171-B168)*1000</f>
        <v>9.99999999999979</v>
      </c>
      <c r="G171" s="691" t="n">
        <f aca="false">1000*(C171-$C$149)/(B171-$B$149)</f>
        <v>11.9823151796892</v>
      </c>
      <c r="H171" s="502"/>
      <c r="I171" s="5"/>
      <c r="J171" s="8"/>
      <c r="K171" s="8"/>
      <c r="L171" s="5"/>
      <c r="M171" s="8"/>
      <c r="N171" s="481" t="n">
        <f aca="false">R325</f>
        <v>-110</v>
      </c>
      <c r="O171" s="572" t="n">
        <f aca="false">S325</f>
        <v>96.6494609108908</v>
      </c>
      <c r="P171" s="572" t="n">
        <f aca="false">T325</f>
        <v>80.5412174257423</v>
      </c>
      <c r="Q171" s="5"/>
      <c r="R171" s="5"/>
      <c r="S171" s="5"/>
      <c r="T171" s="5"/>
      <c r="U171" s="5"/>
      <c r="V171" s="10"/>
      <c r="W171" s="299"/>
      <c r="X171" s="299"/>
      <c r="Y171" s="299"/>
      <c r="Z171" s="299"/>
      <c r="AA171" s="299"/>
      <c r="AB171" s="483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8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AMJ171" s="504"/>
    </row>
    <row r="172" s="1" customFormat="true" ht="14.15" hidden="false" customHeight="true" outlineLevel="0" collapsed="false">
      <c r="A172" s="5"/>
      <c r="B172" s="669" t="n">
        <v>850</v>
      </c>
      <c r="C172" s="670" t="n">
        <f aca="false">VLOOKUP(B172,$B$215:$E$1316,4,1)</f>
        <v>13.5294686016545</v>
      </c>
      <c r="D172" s="671" t="n">
        <f aca="false">VLOOKUP(B172,$B$215:$E$1316,3,1)</f>
        <v>213.332660910888</v>
      </c>
      <c r="E172" s="672" t="n">
        <f aca="false">VLOOKUP(B172,$B$215:$E$1316,2,1)</f>
        <v>124007.955371999</v>
      </c>
      <c r="F172" s="674" t="n">
        <f aca="false">(C172-C169)/(B172-B169)*1000</f>
        <v>9.99999999999979</v>
      </c>
      <c r="G172" s="675" t="n">
        <f aca="false">1000*(C172-$C$149)/(B172-$B$149)</f>
        <v>11.8655710583883</v>
      </c>
      <c r="H172" s="502"/>
      <c r="I172" s="5"/>
      <c r="J172" s="8"/>
      <c r="K172" s="8"/>
      <c r="L172" s="5"/>
      <c r="M172" s="8"/>
      <c r="N172" s="481" t="n">
        <f aca="false">R330</f>
        <v>-115</v>
      </c>
      <c r="O172" s="572" t="n">
        <f aca="false">S330</f>
        <v>97.4378609108908</v>
      </c>
      <c r="P172" s="572" t="n">
        <f aca="false">T330</f>
        <v>81.1982174257423</v>
      </c>
      <c r="Q172" s="5"/>
      <c r="R172" s="5"/>
      <c r="S172" s="5"/>
      <c r="T172" s="5"/>
      <c r="U172" s="5"/>
      <c r="V172" s="10"/>
      <c r="W172" s="299"/>
      <c r="X172" s="299"/>
      <c r="Y172" s="299"/>
      <c r="Z172" s="299"/>
      <c r="AA172" s="299"/>
      <c r="AB172" s="483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8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AMJ172" s="504"/>
    </row>
    <row r="173" s="1" customFormat="true" ht="14.15" hidden="false" customHeight="true" outlineLevel="0" collapsed="false">
      <c r="A173" s="5"/>
      <c r="B173" s="669" t="n">
        <v>900</v>
      </c>
      <c r="C173" s="670" t="n">
        <f aca="false">VLOOKUP(B173,$B$215:$E$1316,4,1)</f>
        <v>14.0294686016545</v>
      </c>
      <c r="D173" s="671" t="n">
        <f aca="false">VLOOKUP(B173,$B$215:$E$1316,3,1)</f>
        <v>221.216660910888</v>
      </c>
      <c r="E173" s="672" t="n">
        <f aca="false">VLOOKUP(B173,$B$215:$E$1316,2,1)</f>
        <v>134875.630417544</v>
      </c>
      <c r="F173" s="674" t="n">
        <f aca="false">(C173-C170)/(B173-B170)*1000</f>
        <v>9.99999999999979</v>
      </c>
      <c r="G173" s="675" t="n">
        <f aca="false">1000*(C173-$C$149)/(B173-$B$149)</f>
        <v>11.7618129350074</v>
      </c>
      <c r="H173" s="502"/>
      <c r="I173" s="5"/>
      <c r="J173" s="8"/>
      <c r="K173" s="8"/>
      <c r="L173" s="5"/>
      <c r="M173" s="8"/>
      <c r="N173" s="481" t="n">
        <f aca="false">R335</f>
        <v>-120</v>
      </c>
      <c r="O173" s="572" t="n">
        <f aca="false">S335</f>
        <v>98.2262609108907</v>
      </c>
      <c r="P173" s="572" t="n">
        <f aca="false">T335</f>
        <v>81.8552174257423</v>
      </c>
      <c r="Q173" s="5"/>
      <c r="R173" s="5"/>
      <c r="S173" s="5"/>
      <c r="T173" s="5"/>
      <c r="U173" s="5"/>
      <c r="V173" s="10"/>
      <c r="W173" s="299"/>
      <c r="X173" s="299"/>
      <c r="Y173" s="299"/>
      <c r="Z173" s="299"/>
      <c r="AA173" s="299"/>
      <c r="AB173" s="483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8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AMJ173" s="504"/>
    </row>
    <row r="174" s="1" customFormat="true" ht="14.15" hidden="false" customHeight="true" outlineLevel="0" collapsed="false">
      <c r="A174" s="5"/>
      <c r="B174" s="669" t="n">
        <v>950</v>
      </c>
      <c r="C174" s="670" t="n">
        <f aca="false">VLOOKUP(B174,$B$215:$E$1316,4,1)</f>
        <v>14.5294686016545</v>
      </c>
      <c r="D174" s="671" t="n">
        <f aca="false">VLOOKUP(B174,$B$215:$E$1316,3,1)</f>
        <v>229.100660910888</v>
      </c>
      <c r="E174" s="672" t="n">
        <f aca="false">VLOOKUP(B174,$B$215:$E$1316,2,1)</f>
        <v>146137.505463088</v>
      </c>
      <c r="F174" s="674" t="n">
        <f aca="false">(C174-C171)/(B174-B171)*1000</f>
        <v>9.99999999999979</v>
      </c>
      <c r="G174" s="675" t="n">
        <f aca="false">1000*(C174-$C$149)/(B174-$B$149)</f>
        <v>11.6689882282104</v>
      </c>
      <c r="H174" s="502"/>
      <c r="I174" s="5"/>
      <c r="J174" s="8"/>
      <c r="K174" s="8"/>
      <c r="L174" s="5"/>
      <c r="M174" s="8"/>
      <c r="N174" s="481" t="n">
        <f aca="false">R340</f>
        <v>-125</v>
      </c>
      <c r="O174" s="572" t="n">
        <f aca="false">S340</f>
        <v>99.0146609108907</v>
      </c>
      <c r="P174" s="572" t="n">
        <f aca="false">T340</f>
        <v>82.5122174257423</v>
      </c>
      <c r="Q174" s="5"/>
      <c r="R174" s="5"/>
      <c r="S174" s="5"/>
      <c r="T174" s="5"/>
      <c r="U174" s="5"/>
      <c r="V174" s="10"/>
      <c r="W174" s="299"/>
      <c r="X174" s="299"/>
      <c r="Y174" s="299"/>
      <c r="Z174" s="299"/>
      <c r="AA174" s="299"/>
      <c r="AB174" s="483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8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AMJ174" s="504"/>
    </row>
    <row r="175" s="1" customFormat="true" ht="14.15" hidden="false" customHeight="true" outlineLevel="0" collapsed="false">
      <c r="A175" s="5"/>
      <c r="B175" s="669" t="n">
        <v>1000</v>
      </c>
      <c r="C175" s="670" t="n">
        <f aca="false">VLOOKUP(B175,$B$215:$E$1316,4,1)</f>
        <v>15.0294686016545</v>
      </c>
      <c r="D175" s="671" t="n">
        <f aca="false">VLOOKUP(B175,$B$215:$E$1316,3,1)</f>
        <v>236.984660910888</v>
      </c>
      <c r="E175" s="672" t="n">
        <f aca="false">VLOOKUP(B175,$B$215:$E$1316,2,1)</f>
        <v>157793.580508632</v>
      </c>
      <c r="F175" s="674" t="n">
        <f aca="false">(C175-C172)/(B175-B172)*1000</f>
        <v>9.99999999999979</v>
      </c>
      <c r="G175" s="675" t="n">
        <f aca="false">1000*(C175-$C$149)/(B175-$B$149)</f>
        <v>11.5854552838555</v>
      </c>
      <c r="H175" s="502"/>
      <c r="I175" s="5"/>
      <c r="J175" s="8"/>
      <c r="K175" s="8"/>
      <c r="L175" s="5"/>
      <c r="M175" s="8"/>
      <c r="N175" s="481" t="n">
        <f aca="false">R345</f>
        <v>-130</v>
      </c>
      <c r="O175" s="572" t="n">
        <f aca="false">S345</f>
        <v>99.8030609108907</v>
      </c>
      <c r="P175" s="572" t="n">
        <f aca="false">T345</f>
        <v>83.1692174257423</v>
      </c>
      <c r="Q175" s="5"/>
      <c r="R175" s="5"/>
      <c r="S175" s="5"/>
      <c r="T175" s="5"/>
      <c r="U175" s="5"/>
      <c r="V175" s="10"/>
      <c r="W175" s="299"/>
      <c r="X175" s="299"/>
      <c r="Y175" s="299"/>
      <c r="Z175" s="299"/>
      <c r="AA175" s="299"/>
      <c r="AB175" s="483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8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AMJ175" s="504"/>
    </row>
    <row r="176" s="1" customFormat="true" ht="14.15" hidden="false" customHeight="true" outlineLevel="0" collapsed="false">
      <c r="A176" s="5"/>
      <c r="B176" s="669" t="n">
        <v>1050</v>
      </c>
      <c r="C176" s="670" t="n">
        <f aca="false">VLOOKUP(B176,$B$215:$E$1316,4,1)</f>
        <v>15.5294686016545</v>
      </c>
      <c r="D176" s="671" t="n">
        <f aca="false">VLOOKUP(B176,$B$215:$E$1316,3,1)</f>
        <v>244.868660910888</v>
      </c>
      <c r="E176" s="672" t="n">
        <f aca="false">VLOOKUP(B176,$B$215:$E$1316,2,1)</f>
        <v>169843.855554177</v>
      </c>
      <c r="F176" s="674" t="n">
        <f aca="false">(C176-C173)/(B176-B173)*1000</f>
        <v>9.99999999999979</v>
      </c>
      <c r="G176" s="675" t="n">
        <f aca="false">1000*(C176-$C$149)/(B176-$B$149)</f>
        <v>11.5098854419177</v>
      </c>
      <c r="H176" s="502"/>
      <c r="I176" s="5"/>
      <c r="J176" s="8"/>
      <c r="K176" s="8"/>
      <c r="L176" s="5"/>
      <c r="M176" s="8"/>
      <c r="N176" s="481" t="n">
        <f aca="false">R350</f>
        <v>-135</v>
      </c>
      <c r="O176" s="572" t="n">
        <f aca="false">S350</f>
        <v>100.591460910891</v>
      </c>
      <c r="P176" s="572" t="n">
        <f aca="false">T350</f>
        <v>83.8262174257422</v>
      </c>
      <c r="Q176" s="5"/>
      <c r="R176" s="5"/>
      <c r="S176" s="5"/>
      <c r="T176" s="5"/>
      <c r="U176" s="5"/>
      <c r="V176" s="10"/>
      <c r="W176" s="299"/>
      <c r="X176" s="299"/>
      <c r="Y176" s="299"/>
      <c r="Z176" s="299"/>
      <c r="AA176" s="299"/>
      <c r="AB176" s="483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8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AMJ176" s="504"/>
    </row>
    <row r="177" s="1" customFormat="true" ht="14.15" hidden="false" customHeight="true" outlineLevel="0" collapsed="false">
      <c r="A177" s="5"/>
      <c r="B177" s="669" t="n">
        <v>1100</v>
      </c>
      <c r="C177" s="670" t="n">
        <f aca="false">VLOOKUP(B177,$B$215:$E$1316,4,1)</f>
        <v>16.0294686016545</v>
      </c>
      <c r="D177" s="671" t="n">
        <f aca="false">VLOOKUP(B177,$B$215:$E$1316,3,1)</f>
        <v>252.752660910888</v>
      </c>
      <c r="E177" s="672" t="n">
        <f aca="false">VLOOKUP(B177,$B$215:$E$1316,2,1)</f>
        <v>182288.330599721</v>
      </c>
      <c r="F177" s="674" t="n">
        <f aca="false">(C177-C176)/(B177-B176)*1000</f>
        <v>9.99999999999989</v>
      </c>
      <c r="G177" s="675" t="n">
        <f aca="false">1000*(C177-$C$149)/(B177-$B$149)</f>
        <v>11.4411918367349</v>
      </c>
      <c r="H177" s="502"/>
      <c r="I177" s="5"/>
      <c r="J177" s="8"/>
      <c r="K177" s="8"/>
      <c r="L177" s="5"/>
      <c r="M177" s="8"/>
      <c r="N177" s="481" t="n">
        <f aca="false">R355</f>
        <v>-140</v>
      </c>
      <c r="O177" s="572" t="n">
        <f aca="false">S355</f>
        <v>101.379860910891</v>
      </c>
      <c r="P177" s="572" t="n">
        <f aca="false">T355</f>
        <v>84.4832174257422</v>
      </c>
      <c r="Q177" s="5"/>
      <c r="R177" s="5"/>
      <c r="S177" s="5"/>
      <c r="T177" s="5"/>
      <c r="U177" s="5"/>
      <c r="V177" s="10"/>
      <c r="W177" s="299"/>
      <c r="X177" s="299"/>
      <c r="Y177" s="299"/>
      <c r="Z177" s="299"/>
      <c r="AA177" s="299"/>
      <c r="AB177" s="483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8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AMJ177" s="504"/>
    </row>
    <row r="178" s="1" customFormat="true" ht="14.15" hidden="false" customHeight="true" outlineLevel="0" collapsed="false">
      <c r="A178" s="5"/>
      <c r="B178" s="692" t="n">
        <f aca="false">20</f>
        <v>20</v>
      </c>
      <c r="C178" s="693" t="n">
        <f aca="false">VLOOKUP(B178,$B$215:$E$1316,4,1)</f>
        <v>5.22946860165469</v>
      </c>
      <c r="D178" s="694" t="n">
        <f aca="false">VLOOKUP(B178,$B$215:$E$1316,3,1)</f>
        <v>82.4582609108911</v>
      </c>
      <c r="E178" s="695" t="n">
        <f aca="false">VLOOKUP(B178,$B$215:$E$1316,2,1)</f>
        <v>1189.28561596067</v>
      </c>
      <c r="F178" s="696" t="n">
        <f aca="false">(C178-C177)/(B178-B177)*1000</f>
        <v>9.99999999999979</v>
      </c>
      <c r="G178" s="697" t="n">
        <f aca="false">1000*(C178-$C$149)/(B178-$B$149)</f>
        <v>93.3615699248337</v>
      </c>
      <c r="H178" s="502"/>
      <c r="I178" s="5"/>
      <c r="J178" s="8"/>
      <c r="K178" s="8"/>
      <c r="L178" s="5"/>
      <c r="M178" s="8"/>
      <c r="N178" s="481" t="n">
        <f aca="false">R360</f>
        <v>-145</v>
      </c>
      <c r="O178" s="572" t="n">
        <f aca="false">S360</f>
        <v>102.168260910891</v>
      </c>
      <c r="P178" s="572" t="n">
        <f aca="false">T360</f>
        <v>85.1402174257422</v>
      </c>
      <c r="Q178" s="5"/>
      <c r="R178" s="5"/>
      <c r="S178" s="5"/>
      <c r="T178" s="5"/>
      <c r="U178" s="5"/>
      <c r="V178" s="10"/>
      <c r="W178" s="299"/>
      <c r="X178" s="299"/>
      <c r="Y178" s="299"/>
      <c r="Z178" s="299"/>
      <c r="AA178" s="299"/>
      <c r="AB178" s="483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8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AMJ178" s="504"/>
    </row>
    <row r="179" s="1" customFormat="true" ht="14.15" hidden="false" customHeight="true" outlineLevel="0" collapsed="false">
      <c r="A179" s="5"/>
      <c r="B179" s="676" t="n">
        <f aca="false">IF(B180&gt;1100,1100,B180)</f>
        <v>250</v>
      </c>
      <c r="C179" s="677" t="n">
        <f aca="false">VLOOKUP(B179,$B$215:$E$1316,4,1)</f>
        <v>7.52946860165464</v>
      </c>
      <c r="D179" s="678" t="n">
        <f aca="false">VLOOKUP(B179,$B$215:$E$1316,3,1)</f>
        <v>118.72466091089</v>
      </c>
      <c r="E179" s="679" t="n">
        <f aca="false">VLOOKUP(B179,$B$215:$E$1316,2,1)</f>
        <v>24343.4548254655</v>
      </c>
      <c r="F179" s="612" t="n">
        <f aca="false">E179/B179</f>
        <v>97.3738193018621</v>
      </c>
      <c r="G179" s="698" t="n">
        <f aca="false">1000*(C179-$C$149)/(B179-$B$149)</f>
        <v>16.3609230063124</v>
      </c>
      <c r="H179" s="699" t="s">
        <v>404</v>
      </c>
      <c r="I179" s="5"/>
      <c r="J179" s="8"/>
      <c r="K179" s="8"/>
      <c r="L179" s="5"/>
      <c r="M179" s="8"/>
      <c r="N179" s="481" t="n">
        <f aca="false">R361</f>
        <v>-146</v>
      </c>
      <c r="O179" s="572" t="n">
        <f aca="false">S361</f>
        <v>102.325940910891</v>
      </c>
      <c r="P179" s="572" t="n">
        <f aca="false">T361</f>
        <v>85.2716174257422</v>
      </c>
      <c r="Q179" s="5"/>
      <c r="R179" s="5"/>
      <c r="S179" s="5"/>
      <c r="T179" s="5"/>
      <c r="U179" s="5"/>
      <c r="V179" s="10"/>
      <c r="W179" s="299"/>
      <c r="X179" s="299"/>
      <c r="Y179" s="299"/>
      <c r="Z179" s="299"/>
      <c r="AA179" s="299"/>
      <c r="AB179" s="483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8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AMJ179" s="504"/>
    </row>
    <row r="180" s="1" customFormat="true" ht="14.15" hidden="false" customHeight="true" outlineLevel="0" collapsed="false">
      <c r="A180" s="5"/>
      <c r="B180" s="700" t="n">
        <v>250</v>
      </c>
      <c r="C180" s="701" t="str">
        <f aca="false">IF(B180&lt;1101,"  &lt;&lt;&lt;&lt;==== Valitse tähän haluamasi porakaivon syvyys!  Yli 1100 metriä ei kelpaa!","  &lt;&lt;&lt;&lt;===== LIIAN SUURI SYVYYS! Valitse   UUDELLEEN  metrimäärä, joka on korkeintaan 1100 metriä!!")</f>
        <v>  &lt;&lt;&lt;&lt;==== Valitse tähän haluamasi porakaivon syvyys!  Yli 1100 metriä ei kelpaa!</v>
      </c>
      <c r="D180" s="701"/>
      <c r="E180" s="701"/>
      <c r="F180" s="701"/>
      <c r="G180" s="701"/>
      <c r="H180" s="5"/>
      <c r="I180" s="5"/>
      <c r="J180" s="8"/>
      <c r="K180" s="702"/>
      <c r="L180" s="5"/>
      <c r="M180" s="8"/>
      <c r="N180" s="481" t="n">
        <f aca="false">R362</f>
        <v>-147</v>
      </c>
      <c r="O180" s="572" t="n">
        <f aca="false">S362</f>
        <v>102.483620910891</v>
      </c>
      <c r="P180" s="572" t="n">
        <f aca="false">T362</f>
        <v>85.4030174257422</v>
      </c>
      <c r="Q180" s="5"/>
      <c r="R180" s="5"/>
      <c r="S180" s="5"/>
      <c r="T180" s="5"/>
      <c r="U180" s="5"/>
      <c r="V180" s="10"/>
      <c r="W180" s="299"/>
      <c r="X180" s="299"/>
      <c r="Y180" s="299"/>
      <c r="Z180" s="299"/>
      <c r="AA180" s="299"/>
      <c r="AB180" s="483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8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AMJ180" s="504"/>
    </row>
    <row r="181" s="1" customFormat="true" ht="14.15" hidden="false" customHeight="true" outlineLevel="0" collapsed="false">
      <c r="A181" s="5"/>
      <c r="B181" s="63"/>
      <c r="C181" s="63"/>
      <c r="D181" s="63"/>
      <c r="E181" s="63"/>
      <c r="F181" s="63"/>
      <c r="G181" s="63"/>
      <c r="H181" s="63"/>
      <c r="I181" s="5"/>
      <c r="J181" s="8"/>
      <c r="K181" s="8"/>
      <c r="L181" s="5"/>
      <c r="M181" s="8"/>
      <c r="N181" s="481" t="n">
        <f aca="false">R363</f>
        <v>-148</v>
      </c>
      <c r="O181" s="572" t="n">
        <f aca="false">S363</f>
        <v>102.641300910891</v>
      </c>
      <c r="P181" s="572" t="n">
        <f aca="false">T363</f>
        <v>85.5344174257422</v>
      </c>
      <c r="Q181" s="5"/>
      <c r="R181" s="5"/>
      <c r="S181" s="5"/>
      <c r="T181" s="5"/>
      <c r="U181" s="5"/>
      <c r="V181" s="10"/>
      <c r="W181" s="299"/>
      <c r="X181" s="299"/>
      <c r="Y181" s="299"/>
      <c r="Z181" s="299"/>
      <c r="AA181" s="299"/>
      <c r="AB181" s="483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8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AMJ181" s="504"/>
    </row>
    <row r="182" s="1" customFormat="true" ht="14.15" hidden="false" customHeight="true" outlineLevel="0" collapsed="false">
      <c r="A182" s="5"/>
      <c r="B182" s="63"/>
      <c r="C182" s="63"/>
      <c r="D182" s="63"/>
      <c r="E182" s="63"/>
      <c r="F182" s="63"/>
      <c r="G182" s="63"/>
      <c r="H182" s="63"/>
      <c r="I182" s="5"/>
      <c r="J182" s="8"/>
      <c r="K182" s="8"/>
      <c r="L182" s="5"/>
      <c r="M182" s="8"/>
      <c r="N182" s="481" t="n">
        <f aca="false">R364</f>
        <v>-149</v>
      </c>
      <c r="O182" s="572" t="n">
        <f aca="false">S364</f>
        <v>102.798980910891</v>
      </c>
      <c r="P182" s="572" t="n">
        <f aca="false">T364</f>
        <v>85.6658174257422</v>
      </c>
      <c r="Q182" s="5"/>
      <c r="R182" s="5"/>
      <c r="S182" s="5"/>
      <c r="T182" s="5"/>
      <c r="U182" s="5"/>
      <c r="V182" s="10"/>
      <c r="W182" s="299"/>
      <c r="X182" s="299"/>
      <c r="Y182" s="299"/>
      <c r="Z182" s="299"/>
      <c r="AA182" s="299"/>
      <c r="AB182" s="483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8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AMJ182" s="504"/>
    </row>
    <row r="183" s="1" customFormat="true" ht="14.15" hidden="false" customHeight="true" outlineLevel="0" collapsed="false">
      <c r="A183" s="5"/>
      <c r="B183" s="63"/>
      <c r="C183" s="63"/>
      <c r="D183" s="63"/>
      <c r="E183" s="63"/>
      <c r="F183" s="63"/>
      <c r="G183" s="63"/>
      <c r="H183" s="63"/>
      <c r="I183" s="502"/>
      <c r="J183" s="502"/>
      <c r="K183" s="606"/>
      <c r="L183" s="502"/>
      <c r="M183" s="606"/>
      <c r="N183" s="481" t="n">
        <f aca="false">R365</f>
        <v>-150</v>
      </c>
      <c r="O183" s="572" t="n">
        <f aca="false">S365</f>
        <v>102.956660910891</v>
      </c>
      <c r="P183" s="572" t="n">
        <f aca="false">T365</f>
        <v>85.7972174257422</v>
      </c>
      <c r="Q183" s="502"/>
      <c r="R183" s="502"/>
      <c r="S183" s="502"/>
      <c r="T183" s="502"/>
      <c r="U183" s="502"/>
      <c r="V183" s="502"/>
      <c r="W183" s="299"/>
      <c r="X183" s="299"/>
      <c r="Y183" s="299"/>
      <c r="Z183" s="299"/>
      <c r="AA183" s="299"/>
      <c r="AB183" s="483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8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AMJ183" s="504"/>
    </row>
    <row r="184" s="1" customFormat="true" ht="14.15" hidden="false" customHeight="true" outlineLevel="0" collapsed="false">
      <c r="A184" s="5"/>
      <c r="B184" s="63"/>
      <c r="C184" s="63"/>
      <c r="D184" s="63"/>
      <c r="E184" s="63"/>
      <c r="F184" s="63"/>
      <c r="G184" s="63"/>
      <c r="H184" s="63"/>
      <c r="I184" s="502"/>
      <c r="J184" s="502"/>
      <c r="K184" s="606"/>
      <c r="L184" s="502"/>
      <c r="M184" s="606"/>
      <c r="N184" s="319" t="s">
        <v>338</v>
      </c>
      <c r="O184" s="658"/>
      <c r="P184" s="658" t="s">
        <v>338</v>
      </c>
      <c r="Q184" s="502"/>
      <c r="R184" s="502"/>
      <c r="S184" s="502"/>
      <c r="T184" s="502"/>
      <c r="U184" s="502"/>
      <c r="V184" s="502"/>
      <c r="W184" s="299"/>
      <c r="X184" s="299"/>
      <c r="Y184" s="299"/>
      <c r="Z184" s="299"/>
      <c r="AA184" s="299"/>
      <c r="AB184" s="483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8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AMJ184" s="504"/>
    </row>
    <row r="185" s="1" customFormat="true" ht="14.15" hidden="false" customHeight="true" outlineLevel="0" collapsed="false">
      <c r="A185" s="5"/>
      <c r="B185" s="63"/>
      <c r="C185" s="63"/>
      <c r="D185" s="63"/>
      <c r="E185" s="63"/>
      <c r="F185" s="63"/>
      <c r="G185" s="63"/>
      <c r="H185" s="63"/>
      <c r="I185" s="502"/>
      <c r="J185" s="502"/>
      <c r="K185" s="606"/>
      <c r="L185" s="502"/>
      <c r="M185" s="606"/>
      <c r="N185" s="319"/>
      <c r="O185" s="658"/>
      <c r="P185" s="658"/>
      <c r="Q185" s="502"/>
      <c r="R185" s="502"/>
      <c r="S185" s="502"/>
      <c r="T185" s="502"/>
      <c r="U185" s="502"/>
      <c r="V185" s="502"/>
      <c r="W185" s="299"/>
      <c r="X185" s="299"/>
      <c r="Y185" s="299"/>
      <c r="Z185" s="299"/>
      <c r="AA185" s="299"/>
      <c r="AB185" s="483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8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AMJ185" s="504"/>
    </row>
    <row r="186" s="1" customFormat="true" ht="14.15" hidden="false" customHeight="true" outlineLevel="0" collapsed="false">
      <c r="A186" s="5"/>
      <c r="B186" s="63"/>
      <c r="C186" s="63"/>
      <c r="D186" s="63"/>
      <c r="E186" s="63"/>
      <c r="F186" s="63"/>
      <c r="G186" s="63"/>
      <c r="H186" s="63"/>
      <c r="I186" s="502"/>
      <c r="J186" s="502"/>
      <c r="K186" s="606"/>
      <c r="L186" s="502"/>
      <c r="M186" s="606"/>
      <c r="N186" s="319"/>
      <c r="O186" s="658"/>
      <c r="P186" s="658"/>
      <c r="Q186" s="502"/>
      <c r="R186" s="502"/>
      <c r="S186" s="502"/>
      <c r="T186" s="502"/>
      <c r="U186" s="502"/>
      <c r="V186" s="502"/>
      <c r="W186" s="299"/>
      <c r="X186" s="299"/>
      <c r="Y186" s="299"/>
      <c r="Z186" s="299"/>
      <c r="AA186" s="299"/>
      <c r="AB186" s="483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8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AMJ186" s="504"/>
    </row>
    <row r="187" s="1" customFormat="true" ht="14.15" hidden="false" customHeight="true" outlineLevel="0" collapsed="false">
      <c r="A187" s="5"/>
      <c r="B187" s="63"/>
      <c r="C187" s="63"/>
      <c r="D187" s="63"/>
      <c r="E187" s="63"/>
      <c r="F187" s="63"/>
      <c r="G187" s="63"/>
      <c r="H187" s="63"/>
      <c r="I187" s="502"/>
      <c r="J187" s="502"/>
      <c r="K187" s="606"/>
      <c r="L187" s="502"/>
      <c r="M187" s="606"/>
      <c r="N187" s="319"/>
      <c r="O187" s="658"/>
      <c r="P187" s="658"/>
      <c r="Q187" s="502"/>
      <c r="R187" s="502"/>
      <c r="S187" s="502"/>
      <c r="T187" s="502"/>
      <c r="U187" s="502"/>
      <c r="V187" s="502"/>
      <c r="W187" s="299"/>
      <c r="X187" s="299"/>
      <c r="Y187" s="299"/>
      <c r="Z187" s="299"/>
      <c r="AA187" s="299"/>
      <c r="AB187" s="483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8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AMJ187" s="504"/>
    </row>
    <row r="188" s="1" customFormat="true" ht="14.15" hidden="false" customHeight="true" outlineLevel="0" collapsed="false">
      <c r="A188" s="5"/>
      <c r="B188" s="63"/>
      <c r="C188" s="63"/>
      <c r="D188" s="63"/>
      <c r="E188" s="63"/>
      <c r="F188" s="63"/>
      <c r="G188" s="63"/>
      <c r="H188" s="63"/>
      <c r="I188" s="502"/>
      <c r="J188" s="502"/>
      <c r="K188" s="606"/>
      <c r="L188" s="502"/>
      <c r="M188" s="606"/>
      <c r="N188" s="63"/>
      <c r="O188" s="63"/>
      <c r="P188" s="63"/>
      <c r="Q188" s="502"/>
      <c r="R188" s="502"/>
      <c r="S188" s="502"/>
      <c r="T188" s="502"/>
      <c r="U188" s="502"/>
      <c r="V188" s="502"/>
      <c r="W188" s="299"/>
      <c r="X188" s="299"/>
      <c r="Y188" s="299"/>
      <c r="Z188" s="299"/>
      <c r="AA188" s="299"/>
      <c r="AB188" s="483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8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AMJ188" s="504"/>
    </row>
    <row r="189" s="1" customFormat="true" ht="14.15" hidden="false" customHeight="true" outlineLevel="0" collapsed="false">
      <c r="A189" s="5"/>
      <c r="B189" s="63"/>
      <c r="C189" s="63"/>
      <c r="D189" s="63"/>
      <c r="E189" s="63"/>
      <c r="F189" s="63"/>
      <c r="G189" s="63"/>
      <c r="H189" s="63"/>
      <c r="I189" s="502"/>
      <c r="J189" s="502"/>
      <c r="K189" s="606"/>
      <c r="L189" s="502"/>
      <c r="M189" s="606"/>
      <c r="N189" s="63"/>
      <c r="O189" s="63"/>
      <c r="P189" s="63"/>
      <c r="Q189" s="502"/>
      <c r="R189" s="502"/>
      <c r="S189" s="502"/>
      <c r="T189" s="502"/>
      <c r="U189" s="502"/>
      <c r="V189" s="502"/>
      <c r="W189" s="299"/>
      <c r="X189" s="299"/>
      <c r="Y189" s="299"/>
      <c r="Z189" s="299"/>
      <c r="AA189" s="299"/>
      <c r="AB189" s="483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8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AMJ189" s="504"/>
    </row>
    <row r="190" s="1" customFormat="true" ht="14.15" hidden="false" customHeight="true" outlineLevel="0" collapsed="false">
      <c r="A190" s="5"/>
      <c r="B190" s="63"/>
      <c r="C190" s="63"/>
      <c r="D190" s="63"/>
      <c r="E190" s="63"/>
      <c r="F190" s="63"/>
      <c r="G190" s="63"/>
      <c r="H190" s="63"/>
      <c r="I190" s="502"/>
      <c r="J190" s="502"/>
      <c r="K190" s="606"/>
      <c r="L190" s="502"/>
      <c r="M190" s="606"/>
      <c r="N190" s="63"/>
      <c r="O190" s="63"/>
      <c r="P190" s="63"/>
      <c r="Q190" s="502"/>
      <c r="R190" s="502"/>
      <c r="S190" s="502"/>
      <c r="T190" s="502"/>
      <c r="U190" s="502"/>
      <c r="V190" s="502"/>
      <c r="W190" s="299"/>
      <c r="X190" s="299"/>
      <c r="Y190" s="299"/>
      <c r="Z190" s="299"/>
      <c r="AA190" s="299"/>
      <c r="AB190" s="483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8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AMJ190" s="504"/>
    </row>
    <row r="191" s="1" customFormat="true" ht="14.15" hidden="false" customHeight="true" outlineLevel="0" collapsed="false">
      <c r="A191" s="5"/>
      <c r="B191" s="63"/>
      <c r="C191" s="63"/>
      <c r="D191" s="703"/>
      <c r="E191" s="606"/>
      <c r="F191" s="606"/>
      <c r="G191" s="502"/>
      <c r="H191" s="502"/>
      <c r="I191" s="502"/>
      <c r="J191" s="502"/>
      <c r="K191" s="606"/>
      <c r="L191" s="502"/>
      <c r="M191" s="606"/>
      <c r="N191" s="63"/>
      <c r="O191" s="63"/>
      <c r="P191" s="63"/>
      <c r="Q191" s="502"/>
      <c r="R191" s="502"/>
      <c r="S191" s="502"/>
      <c r="T191" s="502"/>
      <c r="U191" s="502"/>
      <c r="V191" s="502"/>
      <c r="W191" s="299"/>
      <c r="X191" s="299"/>
      <c r="Y191" s="299"/>
      <c r="Z191" s="299"/>
      <c r="AA191" s="299"/>
      <c r="AB191" s="483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8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AMJ191" s="504"/>
    </row>
    <row r="192" s="1" customFormat="true" ht="14.15" hidden="false" customHeight="true" outlineLevel="0" collapsed="false">
      <c r="A192" s="5"/>
      <c r="B192" s="63"/>
      <c r="C192" s="63"/>
      <c r="D192" s="63"/>
      <c r="E192" s="606"/>
      <c r="F192" s="606"/>
      <c r="G192" s="502"/>
      <c r="H192" s="502"/>
      <c r="I192" s="502"/>
      <c r="J192" s="502"/>
      <c r="K192" s="606"/>
      <c r="L192" s="502"/>
      <c r="M192" s="606"/>
      <c r="N192" s="63"/>
      <c r="O192" s="63"/>
      <c r="P192" s="63"/>
      <c r="Q192" s="502"/>
      <c r="R192" s="606"/>
      <c r="S192" s="502"/>
      <c r="T192" s="502"/>
      <c r="U192" s="502"/>
      <c r="V192" s="502"/>
      <c r="W192" s="299"/>
      <c r="X192" s="299"/>
      <c r="Y192" s="299"/>
      <c r="Z192" s="299"/>
      <c r="AA192" s="299"/>
      <c r="AB192" s="483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8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AMJ192" s="504"/>
    </row>
    <row r="193" s="1" customFormat="true" ht="14.15" hidden="false" customHeight="true" outlineLevel="0" collapsed="false">
      <c r="A193" s="5"/>
      <c r="B193" s="63"/>
      <c r="C193" s="63"/>
      <c r="D193" s="606"/>
      <c r="E193" s="606"/>
      <c r="F193" s="606"/>
      <c r="G193" s="502"/>
      <c r="H193" s="502"/>
      <c r="I193" s="502"/>
      <c r="J193" s="502"/>
      <c r="K193" s="606"/>
      <c r="L193" s="502"/>
      <c r="M193" s="606"/>
      <c r="N193" s="63"/>
      <c r="O193" s="63"/>
      <c r="P193" s="63"/>
      <c r="Q193" s="502"/>
      <c r="R193" s="502"/>
      <c r="S193" s="502"/>
      <c r="T193" s="502"/>
      <c r="U193" s="502"/>
      <c r="V193" s="502"/>
      <c r="W193" s="299"/>
      <c r="X193" s="299"/>
      <c r="Y193" s="299"/>
      <c r="Z193" s="299"/>
      <c r="AA193" s="299"/>
      <c r="AB193" s="483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8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AMJ193" s="504"/>
    </row>
    <row r="194" s="1" customFormat="true" ht="14.15" hidden="false" customHeight="true" outlineLevel="0" collapsed="false">
      <c r="A194" s="5"/>
      <c r="B194" s="63"/>
      <c r="C194" s="63"/>
      <c r="D194" s="703"/>
      <c r="E194" s="606"/>
      <c r="F194" s="606"/>
      <c r="G194" s="502"/>
      <c r="H194" s="502"/>
      <c r="I194" s="502"/>
      <c r="J194" s="502"/>
      <c r="K194" s="606"/>
      <c r="L194" s="502"/>
      <c r="M194" s="606"/>
      <c r="N194" s="63"/>
      <c r="O194" s="63"/>
      <c r="P194" s="63"/>
      <c r="Q194" s="502"/>
      <c r="R194" s="502"/>
      <c r="S194" s="502"/>
      <c r="T194" s="502"/>
      <c r="U194" s="502"/>
      <c r="V194" s="502"/>
      <c r="W194" s="299"/>
      <c r="X194" s="299"/>
      <c r="Y194" s="299"/>
      <c r="Z194" s="299"/>
      <c r="AA194" s="299"/>
      <c r="AB194" s="483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8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AMJ194" s="504"/>
    </row>
    <row r="195" s="1" customFormat="true" ht="14.15" hidden="true" customHeight="true" outlineLevel="0" collapsed="false">
      <c r="A195" s="11"/>
      <c r="B195" s="704" t="s">
        <v>405</v>
      </c>
      <c r="C195" s="704"/>
      <c r="D195" s="606"/>
      <c r="E195" s="606"/>
      <c r="F195" s="606"/>
      <c r="G195" s="502"/>
      <c r="H195" s="502"/>
      <c r="I195" s="502"/>
      <c r="J195" s="502"/>
      <c r="K195" s="606"/>
      <c r="L195" s="502"/>
      <c r="M195" s="606"/>
      <c r="N195" s="63"/>
      <c r="O195" s="63"/>
      <c r="P195" s="63"/>
      <c r="Q195" s="502"/>
      <c r="R195" s="502"/>
      <c r="S195" s="502"/>
      <c r="T195" s="502"/>
      <c r="U195" s="502"/>
      <c r="V195" s="502"/>
      <c r="W195" s="299"/>
      <c r="X195" s="299"/>
      <c r="Y195" s="299"/>
      <c r="Z195" s="299"/>
      <c r="AA195" s="299"/>
      <c r="AB195" s="483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8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AMJ195" s="504"/>
    </row>
    <row r="196" s="1" customFormat="true" ht="14.15" hidden="true" customHeight="true" outlineLevel="0" collapsed="false">
      <c r="A196" s="11"/>
      <c r="B196" s="705" t="s">
        <v>406</v>
      </c>
      <c r="C196" s="706" t="n">
        <v>0.53</v>
      </c>
      <c r="D196" s="606"/>
      <c r="E196" s="606"/>
      <c r="F196" s="606"/>
      <c r="G196" s="502"/>
      <c r="H196" s="502"/>
      <c r="I196" s="502"/>
      <c r="J196" s="502"/>
      <c r="K196" s="606"/>
      <c r="L196" s="502"/>
      <c r="M196" s="606"/>
      <c r="N196" s="63"/>
      <c r="O196" s="63"/>
      <c r="P196" s="63"/>
      <c r="Q196" s="502"/>
      <c r="R196" s="502"/>
      <c r="S196" s="502"/>
      <c r="T196" s="502"/>
      <c r="U196" s="502"/>
      <c r="V196" s="502"/>
      <c r="W196" s="299"/>
      <c r="X196" s="299"/>
      <c r="Y196" s="299"/>
      <c r="Z196" s="299"/>
      <c r="AA196" s="299"/>
      <c r="AB196" s="483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8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AMJ196" s="504"/>
    </row>
    <row r="197" s="1" customFormat="true" ht="14.15" hidden="true" customHeight="true" outlineLevel="0" collapsed="false">
      <c r="A197" s="11"/>
      <c r="B197" s="707" t="s">
        <v>407</v>
      </c>
      <c r="C197" s="708" t="n">
        <v>4832</v>
      </c>
      <c r="D197" s="606"/>
      <c r="E197" s="606"/>
      <c r="F197" s="606"/>
      <c r="G197" s="502"/>
      <c r="H197" s="502"/>
      <c r="I197" s="502"/>
      <c r="J197" s="502"/>
      <c r="K197" s="606"/>
      <c r="L197" s="502"/>
      <c r="M197" s="606"/>
      <c r="N197" s="63"/>
      <c r="O197" s="63"/>
      <c r="P197" s="63"/>
      <c r="Q197" s="502"/>
      <c r="R197" s="502"/>
      <c r="S197" s="502"/>
      <c r="T197" s="502"/>
      <c r="U197" s="502"/>
      <c r="V197" s="502"/>
      <c r="W197" s="299"/>
      <c r="X197" s="299"/>
      <c r="Y197" s="299"/>
      <c r="Z197" s="299"/>
      <c r="AA197" s="299"/>
      <c r="AB197" s="483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8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AMJ197" s="504"/>
    </row>
    <row r="198" s="1" customFormat="true" ht="14.15" hidden="true" customHeight="true" outlineLevel="0" collapsed="false">
      <c r="A198" s="11"/>
      <c r="B198" s="707" t="s">
        <v>408</v>
      </c>
      <c r="C198" s="709" t="n">
        <v>5.16</v>
      </c>
      <c r="D198" s="606"/>
      <c r="E198" s="606"/>
      <c r="F198" s="606"/>
      <c r="G198" s="502"/>
      <c r="H198" s="502"/>
      <c r="I198" s="502"/>
      <c r="J198" s="502"/>
      <c r="K198" s="606"/>
      <c r="L198" s="502"/>
      <c r="M198" s="606"/>
      <c r="N198" s="63"/>
      <c r="O198" s="63"/>
      <c r="P198" s="63"/>
      <c r="Q198" s="502"/>
      <c r="R198" s="502"/>
      <c r="S198" s="502"/>
      <c r="T198" s="502"/>
      <c r="U198" s="502"/>
      <c r="V198" s="502"/>
      <c r="W198" s="299"/>
      <c r="X198" s="299"/>
      <c r="Y198" s="299"/>
      <c r="Z198" s="299"/>
      <c r="AA198" s="299"/>
      <c r="AB198" s="483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8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AMJ198" s="504"/>
    </row>
    <row r="199" s="1" customFormat="true" ht="14.15" hidden="true" customHeight="true" outlineLevel="0" collapsed="false">
      <c r="A199" s="11"/>
      <c r="B199" s="707" t="s">
        <v>409</v>
      </c>
      <c r="C199" s="33" t="n">
        <f aca="false">C197-(C196*C197)</f>
        <v>2271.04</v>
      </c>
      <c r="D199" s="606"/>
      <c r="E199" s="606"/>
      <c r="F199" s="606"/>
      <c r="G199" s="502"/>
      <c r="H199" s="502"/>
      <c r="I199" s="502"/>
      <c r="J199" s="502"/>
      <c r="K199" s="606"/>
      <c r="L199" s="502"/>
      <c r="M199" s="606"/>
      <c r="N199" s="63"/>
      <c r="O199" s="63"/>
      <c r="P199" s="63"/>
      <c r="Q199" s="502"/>
      <c r="R199" s="502"/>
      <c r="S199" s="502"/>
      <c r="T199" s="502"/>
      <c r="U199" s="502"/>
      <c r="V199" s="502"/>
      <c r="W199" s="299"/>
      <c r="X199" s="299"/>
      <c r="Y199" s="299"/>
      <c r="Z199" s="299"/>
      <c r="AA199" s="299"/>
      <c r="AB199" s="483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8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AMJ199" s="504"/>
    </row>
    <row r="200" s="1" customFormat="true" ht="14.15" hidden="true" customHeight="true" outlineLevel="0" collapsed="false">
      <c r="A200" s="11"/>
      <c r="B200" s="102" t="s">
        <v>410</v>
      </c>
      <c r="C200" s="710" t="n">
        <f aca="false">C198-(-1*(($C$196*C197+$C$199)/365)+17)</f>
        <v>1.39835616438356</v>
      </c>
      <c r="D200" s="606"/>
      <c r="E200" s="606"/>
      <c r="F200" s="606"/>
      <c r="G200" s="502"/>
      <c r="H200" s="711" t="n">
        <v>1.8</v>
      </c>
      <c r="I200" s="502"/>
      <c r="J200" s="502"/>
      <c r="K200" s="606"/>
      <c r="L200" s="502"/>
      <c r="M200" s="606"/>
      <c r="N200" s="606"/>
      <c r="O200" s="606"/>
      <c r="P200" s="606"/>
      <c r="Q200" s="502"/>
      <c r="R200" s="502"/>
      <c r="S200" s="502"/>
      <c r="T200" s="502"/>
      <c r="U200" s="502"/>
      <c r="V200" s="502"/>
      <c r="W200" s="299"/>
      <c r="X200" s="299"/>
      <c r="Y200" s="299"/>
      <c r="Z200" s="299"/>
      <c r="AA200" s="299"/>
      <c r="AB200" s="483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8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AMJ200" s="504"/>
    </row>
    <row r="201" s="1" customFormat="true" ht="14.15" hidden="true" customHeight="true" outlineLevel="0" collapsed="false">
      <c r="A201" s="11"/>
      <c r="B201" s="712"/>
      <c r="C201" s="712"/>
      <c r="D201" s="713"/>
      <c r="E201" s="714" t="n">
        <v>5.1353</v>
      </c>
      <c r="F201" s="715"/>
      <c r="G201" s="716"/>
      <c r="H201" s="717" t="n">
        <f aca="false">H200*8760/(1000*3)</f>
        <v>5.256</v>
      </c>
      <c r="I201" s="712"/>
      <c r="J201" s="712"/>
      <c r="K201" s="718"/>
      <c r="L201" s="502"/>
      <c r="M201" s="719"/>
      <c r="N201" s="248" t="s">
        <v>411</v>
      </c>
      <c r="O201" s="248"/>
      <c r="P201" s="248"/>
      <c r="Q201" s="248"/>
      <c r="R201" s="502"/>
      <c r="S201" s="502"/>
      <c r="T201" s="502"/>
      <c r="U201" s="502"/>
      <c r="V201" s="502"/>
      <c r="W201" s="299"/>
      <c r="X201" s="299"/>
      <c r="Y201" s="299"/>
      <c r="Z201" s="299"/>
      <c r="AA201" s="299"/>
      <c r="AB201" s="483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8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AMJ201" s="504"/>
    </row>
    <row r="202" s="1" customFormat="true" ht="14.15" hidden="true" customHeight="true" outlineLevel="0" collapsed="false">
      <c r="A202" s="11"/>
      <c r="B202" s="712"/>
      <c r="C202" s="712"/>
      <c r="D202" s="720" t="n">
        <f aca="false">(-1*(($C$196*F57+$C$199)/365)+17)+$C$200</f>
        <v>5.22946860165469</v>
      </c>
      <c r="E202" s="355" t="s">
        <v>412</v>
      </c>
      <c r="F202" s="721"/>
      <c r="G202" s="712"/>
      <c r="H202" s="722"/>
      <c r="I202" s="712"/>
      <c r="J202" s="712"/>
      <c r="K202" s="723"/>
      <c r="L202" s="502"/>
      <c r="M202" s="724"/>
      <c r="N202" s="725" t="s">
        <v>413</v>
      </c>
      <c r="O202" s="726" t="n">
        <f aca="false">F204</f>
        <v>19027.6060606061</v>
      </c>
      <c r="P202" s="33" t="s">
        <v>414</v>
      </c>
      <c r="Q202" s="727" t="n">
        <f aca="false">D137</f>
        <v>240</v>
      </c>
      <c r="R202" s="502"/>
      <c r="S202" s="502"/>
      <c r="T202" s="502"/>
      <c r="U202" s="502"/>
      <c r="V202" s="502"/>
      <c r="W202" s="299"/>
      <c r="X202" s="299"/>
      <c r="Y202" s="299"/>
      <c r="Z202" s="299"/>
      <c r="AA202" s="299"/>
      <c r="AB202" s="483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8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AMJ202" s="504"/>
    </row>
    <row r="203" s="1" customFormat="true" ht="14.15" hidden="true" customHeight="true" outlineLevel="0" collapsed="false">
      <c r="A203" s="11"/>
      <c r="B203" s="712"/>
      <c r="C203" s="728" t="n">
        <f aca="false">E110/-1000</f>
        <v>-0.1</v>
      </c>
      <c r="D203" s="693" t="n">
        <f aca="false">(-1*(($C$196*F57+$C$199)/365)+17)+$C$200</f>
        <v>5.22946860165469</v>
      </c>
      <c r="E203" s="729" t="n">
        <f aca="false">1000*VLOOKUP(E206,B216:E1315,2,1)/E206/8760</f>
        <v>11.0175531851011</v>
      </c>
      <c r="F203" s="730" t="s">
        <v>415</v>
      </c>
      <c r="G203" s="712"/>
      <c r="H203" s="11"/>
      <c r="I203" s="712"/>
      <c r="J203" s="712"/>
      <c r="K203" s="731"/>
      <c r="L203" s="502"/>
      <c r="M203" s="732"/>
      <c r="N203" s="733" t="s">
        <v>416</v>
      </c>
      <c r="O203" s="734" t="n">
        <f aca="false">VLOOKUP(Q203,L216:Q1315,5,1)</f>
        <v>19354.4337806734</v>
      </c>
      <c r="P203" s="735" t="n">
        <f aca="false">IF(O203&lt;O204,O204,O203)</f>
        <v>19354.4337806734</v>
      </c>
      <c r="Q203" s="727" t="n">
        <f aca="false">D137</f>
        <v>240</v>
      </c>
      <c r="R203" s="502"/>
      <c r="S203" s="502"/>
      <c r="T203" s="502"/>
      <c r="U203" s="502"/>
      <c r="V203" s="502"/>
      <c r="W203" s="299"/>
      <c r="X203" s="299"/>
      <c r="Y203" s="299"/>
      <c r="Z203" s="299"/>
      <c r="AA203" s="299"/>
      <c r="AB203" s="483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8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AMJ203" s="504"/>
    </row>
    <row r="204" s="1" customFormat="true" ht="14.15" hidden="true" customHeight="true" outlineLevel="0" collapsed="false">
      <c r="A204" s="5"/>
      <c r="B204" s="355" t="s">
        <v>417</v>
      </c>
      <c r="C204" s="736" t="n">
        <f aca="false">E109/1000</f>
        <v>0.01</v>
      </c>
      <c r="D204" s="737" t="n">
        <f aca="false">E108</f>
        <v>5.22946860165469</v>
      </c>
      <c r="E204" s="738" t="n">
        <f aca="false">1000*C415/(B415*K415*8760)</f>
        <v>1.77048456863363</v>
      </c>
      <c r="F204" s="739" t="n">
        <f aca="false">G51</f>
        <v>19027.6060606061</v>
      </c>
      <c r="G204" s="740" t="n">
        <f aca="false">G205/F205</f>
        <v>93.7339901477833</v>
      </c>
      <c r="H204" s="741"/>
      <c r="I204" s="741"/>
      <c r="J204" s="741"/>
      <c r="K204" s="742"/>
      <c r="L204" s="502"/>
      <c r="M204" s="732"/>
      <c r="N204" s="382" t="s">
        <v>418</v>
      </c>
      <c r="O204" s="743" t="n">
        <f aca="false">O202</f>
        <v>19027.6060606061</v>
      </c>
      <c r="P204" s="744" t="s">
        <v>419</v>
      </c>
      <c r="Q204" s="745" t="n">
        <f aca="false">VLOOKUP(O204,P215:Q1315,2,1)</f>
        <v>236</v>
      </c>
      <c r="R204" s="502"/>
      <c r="S204" s="502"/>
      <c r="T204" s="502"/>
      <c r="U204" s="502"/>
      <c r="V204" s="502"/>
      <c r="W204" s="299"/>
      <c r="X204" s="299"/>
      <c r="Y204" s="299"/>
      <c r="Z204" s="299"/>
      <c r="AA204" s="299"/>
      <c r="AB204" s="483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8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AMJ204" s="504"/>
    </row>
    <row r="205" s="1" customFormat="true" ht="14.15" hidden="true" customHeight="true" outlineLevel="0" collapsed="false">
      <c r="A205" s="5"/>
      <c r="B205" s="746" t="n">
        <f aca="false">E111</f>
        <v>2.5</v>
      </c>
      <c r="C205" s="747" t="n">
        <f aca="false">E106</f>
        <v>3</v>
      </c>
      <c r="D205" s="748" t="n">
        <f aca="false">E109/1000</f>
        <v>0.01</v>
      </c>
      <c r="E205" s="714" t="n">
        <f aca="false">H201</f>
        <v>5.256</v>
      </c>
      <c r="F205" s="749" t="n">
        <f aca="false">VLOOKUP(G205,C215:F1315,4,1)</f>
        <v>203</v>
      </c>
      <c r="G205" s="750" t="n">
        <f aca="false">ROUND(G51)</f>
        <v>19028</v>
      </c>
      <c r="H205" s="502"/>
      <c r="I205" s="502"/>
      <c r="J205" s="502"/>
      <c r="K205" s="606"/>
      <c r="L205" s="502"/>
      <c r="M205" s="751"/>
      <c r="N205" s="752" t="s">
        <v>129</v>
      </c>
      <c r="O205" s="593" t="n">
        <f aca="false">IF(O202&lt;O203,O202,O203)</f>
        <v>19027.6060606061</v>
      </c>
      <c r="P205" s="593" t="n">
        <f aca="false">$O$204-$O$205</f>
        <v>0</v>
      </c>
      <c r="Q205" s="753" t="n">
        <f aca="false">VLOOKUP(O205,$P$215:$Q$1315,2,1)</f>
        <v>236</v>
      </c>
      <c r="R205" s="590"/>
      <c r="S205" s="502"/>
      <c r="T205" s="502"/>
      <c r="U205" s="502"/>
      <c r="V205" s="502"/>
      <c r="W205" s="299"/>
      <c r="X205" s="299"/>
      <c r="Y205" s="299"/>
      <c r="Z205" s="299"/>
      <c r="AA205" s="299"/>
      <c r="AB205" s="483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8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AMJ205" s="504"/>
    </row>
    <row r="206" s="1" customFormat="true" ht="14.15" hidden="true" customHeight="true" outlineLevel="0" collapsed="false">
      <c r="A206" s="5"/>
      <c r="B206" s="754" t="n">
        <f aca="false">G205/C206</f>
        <v>93.7339901477833</v>
      </c>
      <c r="C206" s="755" t="n">
        <f aca="false">ROUND(SUM(C207:C210))</f>
        <v>203</v>
      </c>
      <c r="D206" s="756" t="n">
        <f aca="false">ROUND(SUM(D207:D210))</f>
        <v>1</v>
      </c>
      <c r="E206" s="757" t="n">
        <f aca="false">D120</f>
        <v>240</v>
      </c>
      <c r="F206" s="758" t="n">
        <f aca="false">VLOOKUP(E206,B216:E1315,2,1)</f>
        <v>23163.3038163566</v>
      </c>
      <c r="G206" s="759" t="n">
        <f aca="false">F206</f>
        <v>23163.3038163566</v>
      </c>
      <c r="H206" s="502"/>
      <c r="I206" s="502"/>
      <c r="J206" s="502"/>
      <c r="K206" s="606"/>
      <c r="L206" s="502"/>
      <c r="M206" s="606"/>
      <c r="N206" s="760" t="str">
        <f aca="false">IF(Q206&gt;1,"Kaivo # 2","")</f>
        <v/>
      </c>
      <c r="O206" s="593" t="n">
        <f aca="false">IF(P205&lt;O205,P205,O205)</f>
        <v>0</v>
      </c>
      <c r="P206" s="593" t="n">
        <f aca="false">$O$204-$O$205-$O$206</f>
        <v>0</v>
      </c>
      <c r="Q206" s="753" t="n">
        <f aca="false">VLOOKUP(O206,$P$215:$Q$1315,2,1)</f>
        <v>0</v>
      </c>
      <c r="R206" s="590"/>
      <c r="S206" s="502"/>
      <c r="T206" s="502"/>
      <c r="U206" s="502"/>
      <c r="V206" s="502"/>
      <c r="W206" s="299"/>
      <c r="X206" s="299"/>
      <c r="Y206" s="299"/>
      <c r="Z206" s="299"/>
      <c r="AA206" s="299"/>
      <c r="AB206" s="483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8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AMJ206" s="504"/>
    </row>
    <row r="207" s="1" customFormat="true" ht="14.15" hidden="true" customHeight="true" outlineLevel="0" collapsed="false">
      <c r="A207" s="5"/>
      <c r="B207" s="761" t="str">
        <f aca="false">IF(C207&lt;1,"","Kaivo # 1")</f>
        <v>Kaivo # 1</v>
      </c>
      <c r="C207" s="762" t="n">
        <f aca="false">ROUND(E207)</f>
        <v>203</v>
      </c>
      <c r="D207" s="763" t="n">
        <f aca="false">IF(C207&gt;0,1,0)</f>
        <v>1</v>
      </c>
      <c r="E207" s="762" t="n">
        <f aca="false">VLOOKUP(F207,C215:G1316,4,1)</f>
        <v>203</v>
      </c>
      <c r="F207" s="764" t="n">
        <f aca="false">IF(G205&lt;F206,G205,F206)</f>
        <v>19028</v>
      </c>
      <c r="G207" s="765" t="n">
        <f aca="false">G205-F207</f>
        <v>0</v>
      </c>
      <c r="H207" s="502"/>
      <c r="I207" s="502"/>
      <c r="J207" s="502"/>
      <c r="K207" s="606"/>
      <c r="L207" s="502"/>
      <c r="M207" s="606"/>
      <c r="N207" s="760" t="str">
        <f aca="false">IF(Q207&gt;1,"Kaivo # 3","")</f>
        <v/>
      </c>
      <c r="O207" s="593" t="n">
        <f aca="false">IF(P206&lt;O206,P206,O206)</f>
        <v>0</v>
      </c>
      <c r="P207" s="593" t="n">
        <f aca="false">$O$204-$O$205-$O$206-$O$207</f>
        <v>0</v>
      </c>
      <c r="Q207" s="753" t="n">
        <f aca="false">VLOOKUP(O207,$P$215:$Q$1315,2,1)</f>
        <v>0</v>
      </c>
      <c r="R207" s="766"/>
      <c r="S207" s="502"/>
      <c r="T207" s="502"/>
      <c r="U207" s="502"/>
      <c r="V207" s="502"/>
      <c r="W207" s="299"/>
      <c r="X207" s="299"/>
      <c r="Y207" s="299"/>
      <c r="Z207" s="299"/>
      <c r="AA207" s="299"/>
      <c r="AB207" s="483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8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AMJ207" s="504"/>
    </row>
    <row r="208" s="1" customFormat="true" ht="14.15" hidden="true" customHeight="true" outlineLevel="0" collapsed="false">
      <c r="A208" s="5"/>
      <c r="B208" s="761" t="str">
        <f aca="false">IF(C208&lt;1,"","Kaivo # 2")</f>
        <v/>
      </c>
      <c r="C208" s="762" t="n">
        <f aca="false">IF(E208&lt;1,0,ROUND(E208))</f>
        <v>0</v>
      </c>
      <c r="D208" s="763" t="n">
        <f aca="false">IF(C208&gt;0,1,0)</f>
        <v>0</v>
      </c>
      <c r="E208" s="767" t="n">
        <f aca="false">VLOOKUP(F208,C215:G1316,4,1)</f>
        <v>0</v>
      </c>
      <c r="F208" s="768" t="n">
        <f aca="false">IF(G207&gt;F206,F206,G207)</f>
        <v>0</v>
      </c>
      <c r="G208" s="765" t="n">
        <f aca="false">G205-F207-F208</f>
        <v>0</v>
      </c>
      <c r="H208" s="502"/>
      <c r="I208" s="502"/>
      <c r="J208" s="502"/>
      <c r="K208" s="606"/>
      <c r="L208" s="502"/>
      <c r="M208" s="606"/>
      <c r="N208" s="760" t="str">
        <f aca="false">IF(Q208&lt;1," ","Kaivo # 4")</f>
        <v> </v>
      </c>
      <c r="O208" s="593" t="n">
        <f aca="false">IF(P207&lt;O207,P207,O207)</f>
        <v>0</v>
      </c>
      <c r="P208" s="593" t="n">
        <f aca="false">$O$204-$O$205-$O$206-$O$207-O208</f>
        <v>0</v>
      </c>
      <c r="Q208" s="753" t="n">
        <f aca="false">VLOOKUP(O208,$P$215:$Q$1315,2,1)</f>
        <v>0</v>
      </c>
      <c r="R208" s="766"/>
      <c r="S208" s="502"/>
      <c r="T208" s="502"/>
      <c r="U208" s="502"/>
      <c r="V208" s="502"/>
      <c r="W208" s="299"/>
      <c r="X208" s="299"/>
      <c r="Y208" s="299"/>
      <c r="Z208" s="299"/>
      <c r="AA208" s="299"/>
      <c r="AB208" s="483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8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AMJ208" s="504"/>
    </row>
    <row r="209" s="1" customFormat="true" ht="14.15" hidden="true" customHeight="true" outlineLevel="0" collapsed="false">
      <c r="A209" s="5"/>
      <c r="B209" s="761" t="str">
        <f aca="false">IF(C209&lt;1,"","Kaivo # 3")</f>
        <v/>
      </c>
      <c r="C209" s="762" t="n">
        <f aca="false">IF(E209&lt;1,0,ROUND(E209))</f>
        <v>0</v>
      </c>
      <c r="D209" s="763" t="n">
        <f aca="false">IF(C209&gt;0,1,0)</f>
        <v>0</v>
      </c>
      <c r="E209" s="767" t="n">
        <f aca="false">VLOOKUP(F209,C215:G1316,4,1)</f>
        <v>0</v>
      </c>
      <c r="F209" s="768" t="n">
        <f aca="false">IF(G208&gt;F207,F207,G208)</f>
        <v>0</v>
      </c>
      <c r="G209" s="765" t="n">
        <f aca="false">G205-F207-F208-F209</f>
        <v>0</v>
      </c>
      <c r="H209" s="502"/>
      <c r="I209" s="502"/>
      <c r="J209" s="502"/>
      <c r="K209" s="606"/>
      <c r="L209" s="502"/>
      <c r="M209" s="606"/>
      <c r="N209" s="769"/>
      <c r="O209" s="649" t="n">
        <f aca="false">SUM(O205:O208)</f>
        <v>19027.6060606061</v>
      </c>
      <c r="P209" s="649"/>
      <c r="Q209" s="770" t="n">
        <f aca="false">SUM(Q205:Q208)</f>
        <v>236</v>
      </c>
      <c r="R209" s="606"/>
      <c r="S209" s="502"/>
      <c r="T209" s="502"/>
      <c r="U209" s="502"/>
      <c r="V209" s="502"/>
      <c r="W209" s="299"/>
      <c r="X209" s="299"/>
      <c r="Y209" s="299"/>
      <c r="Z209" s="299"/>
      <c r="AA209" s="299"/>
      <c r="AB209" s="483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8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AMJ209" s="504"/>
    </row>
    <row r="210" s="1" customFormat="true" ht="14.15" hidden="true" customHeight="true" outlineLevel="0" collapsed="false">
      <c r="A210" s="5"/>
      <c r="B210" s="761" t="str">
        <f aca="false">IF(C210&lt;1,"","Kaivo # 4")</f>
        <v/>
      </c>
      <c r="C210" s="762" t="n">
        <f aca="false">IF(E210&lt;1,0,ROUND(E210))</f>
        <v>0</v>
      </c>
      <c r="D210" s="763" t="n">
        <f aca="false">IF(C210&gt;0,1,0)</f>
        <v>0</v>
      </c>
      <c r="E210" s="767" t="n">
        <f aca="false">VLOOKUP(F210,C215:G1316,4,1)</f>
        <v>0</v>
      </c>
      <c r="F210" s="768" t="n">
        <f aca="false">IF(G209&gt;F208,F208,G209)</f>
        <v>0</v>
      </c>
      <c r="G210" s="765" t="n">
        <f aca="false">G205-F207-F208-F209-F210</f>
        <v>0</v>
      </c>
      <c r="H210" s="502"/>
      <c r="I210" s="502"/>
      <c r="J210" s="502"/>
      <c r="K210" s="606"/>
      <c r="L210" s="502"/>
      <c r="M210" s="606"/>
      <c r="N210" s="769"/>
      <c r="O210" s="606"/>
      <c r="P210" s="606"/>
      <c r="Q210" s="771"/>
      <c r="R210" s="502"/>
      <c r="S210" s="502"/>
      <c r="T210" s="502"/>
      <c r="U210" s="502"/>
      <c r="V210" s="502"/>
      <c r="W210" s="299"/>
      <c r="X210" s="299"/>
      <c r="Y210" s="299"/>
      <c r="Z210" s="299"/>
      <c r="AA210" s="299"/>
      <c r="AB210" s="483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8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AMJ210" s="504"/>
    </row>
    <row r="211" s="1" customFormat="true" ht="14.15" hidden="true" customHeight="true" outlineLevel="0" collapsed="false">
      <c r="A211" s="5"/>
      <c r="B211" s="7"/>
      <c r="C211" s="772" t="n">
        <f aca="false">SUM(C207:C210)</f>
        <v>203</v>
      </c>
      <c r="D211" s="7" t="n">
        <f aca="false">SUM(D207:D210)</f>
        <v>1</v>
      </c>
      <c r="E211" s="772" t="n">
        <f aca="false">SUM(E207:E210)</f>
        <v>203</v>
      </c>
      <c r="F211" s="773" t="n">
        <f aca="false">SUM(F207:F210)</f>
        <v>19028</v>
      </c>
      <c r="G211" s="774"/>
      <c r="H211" s="502"/>
      <c r="I211" s="502"/>
      <c r="J211" s="502"/>
      <c r="K211" s="606"/>
      <c r="L211" s="502"/>
      <c r="M211" s="33" t="s">
        <v>420</v>
      </c>
      <c r="N211" s="248" t="s">
        <v>411</v>
      </c>
      <c r="O211" s="248"/>
      <c r="P211" s="248"/>
      <c r="Q211" s="248"/>
      <c r="R211" s="502"/>
      <c r="S211" s="502"/>
      <c r="T211" s="502"/>
      <c r="U211" s="502"/>
      <c r="V211" s="502"/>
      <c r="W211" s="299"/>
      <c r="X211" s="299"/>
      <c r="Y211" s="299"/>
      <c r="Z211" s="299"/>
      <c r="AA211" s="299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8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AMJ211" s="504"/>
    </row>
    <row r="212" s="1" customFormat="true" ht="14.15" hidden="true" customHeight="true" outlineLevel="0" collapsed="false">
      <c r="A212" s="5"/>
      <c r="B212" s="502"/>
      <c r="C212" s="775"/>
      <c r="D212" s="606"/>
      <c r="E212" s="606"/>
      <c r="F212" s="606"/>
      <c r="G212" s="502"/>
      <c r="H212" s="7" t="s">
        <v>421</v>
      </c>
      <c r="I212" s="502"/>
      <c r="J212" s="7" t="s">
        <v>422</v>
      </c>
      <c r="K212" s="606"/>
      <c r="L212" s="502"/>
      <c r="M212" s="776" t="s">
        <v>423</v>
      </c>
      <c r="N212" s="777" t="s">
        <v>423</v>
      </c>
      <c r="O212" s="777" t="s">
        <v>423</v>
      </c>
      <c r="P212" s="777" t="s">
        <v>423</v>
      </c>
      <c r="Q212" s="777" t="s">
        <v>370</v>
      </c>
      <c r="R212" s="502"/>
      <c r="S212" s="502"/>
      <c r="T212" s="502"/>
      <c r="U212" s="502"/>
      <c r="V212" s="502"/>
      <c r="W212" s="5"/>
      <c r="X212" s="5"/>
      <c r="Y212" s="5"/>
      <c r="Z212" s="5"/>
      <c r="AA212" s="5"/>
      <c r="AB212" s="10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8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AMJ212" s="504"/>
    </row>
    <row r="213" s="1" customFormat="true" ht="14.15" hidden="true" customHeight="true" outlineLevel="0" collapsed="false">
      <c r="A213" s="5"/>
      <c r="B213" s="778" t="s">
        <v>282</v>
      </c>
      <c r="C213" s="778" t="s">
        <v>424</v>
      </c>
      <c r="D213" s="778" t="s">
        <v>425</v>
      </c>
      <c r="E213" s="779" t="s">
        <v>426</v>
      </c>
      <c r="F213" s="778" t="s">
        <v>282</v>
      </c>
      <c r="G213" s="778" t="s">
        <v>394</v>
      </c>
      <c r="H213" s="7" t="s">
        <v>427</v>
      </c>
      <c r="I213" s="780"/>
      <c r="J213" s="7" t="s">
        <v>428</v>
      </c>
      <c r="K213" s="33" t="s">
        <v>429</v>
      </c>
      <c r="L213" s="502"/>
      <c r="M213" s="781" t="s">
        <v>430</v>
      </c>
      <c r="N213" s="782" t="s">
        <v>430</v>
      </c>
      <c r="O213" s="783" t="s">
        <v>431</v>
      </c>
      <c r="P213" s="783" t="s">
        <v>431</v>
      </c>
      <c r="Q213" s="783" t="s">
        <v>432</v>
      </c>
      <c r="R213" s="784" t="s">
        <v>433</v>
      </c>
      <c r="S213" s="784"/>
      <c r="T213" s="784"/>
      <c r="U213" s="502"/>
      <c r="V213" s="502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8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AMJ213" s="504"/>
    </row>
    <row r="214" s="1" customFormat="true" ht="14.15" hidden="true" customHeight="true" outlineLevel="0" collapsed="false">
      <c r="A214" s="785"/>
      <c r="B214" s="786" t="s">
        <v>282</v>
      </c>
      <c r="C214" s="741" t="s">
        <v>394</v>
      </c>
      <c r="D214" s="742" t="s">
        <v>434</v>
      </c>
      <c r="E214" s="787" t="s">
        <v>284</v>
      </c>
      <c r="F214" s="742" t="s">
        <v>282</v>
      </c>
      <c r="G214" s="521" t="s">
        <v>394</v>
      </c>
      <c r="H214" s="521" t="s">
        <v>435</v>
      </c>
      <c r="I214" s="741"/>
      <c r="J214" s="7" t="s">
        <v>427</v>
      </c>
      <c r="K214" s="788" t="n">
        <f aca="false">D204</f>
        <v>5.22946860165469</v>
      </c>
      <c r="L214" s="606" t="s">
        <v>436</v>
      </c>
      <c r="M214" s="789" t="s">
        <v>437</v>
      </c>
      <c r="N214" s="790" t="s">
        <v>437</v>
      </c>
      <c r="O214" s="791" t="s">
        <v>438</v>
      </c>
      <c r="P214" s="790" t="s">
        <v>439</v>
      </c>
      <c r="Q214" s="790" t="s">
        <v>440</v>
      </c>
      <c r="R214" s="33" t="s">
        <v>282</v>
      </c>
      <c r="S214" s="33" t="s">
        <v>353</v>
      </c>
      <c r="T214" s="792" t="s">
        <v>389</v>
      </c>
      <c r="U214" s="502"/>
      <c r="V214" s="502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8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AMJ214" s="504"/>
    </row>
    <row r="215" s="1" customFormat="true" ht="14.15" hidden="true" customHeight="true" outlineLevel="0" collapsed="false">
      <c r="A215" s="793"/>
      <c r="B215" s="794" t="n">
        <v>0</v>
      </c>
      <c r="C215" s="741" t="n">
        <v>0</v>
      </c>
      <c r="D215" s="742" t="n">
        <v>0</v>
      </c>
      <c r="E215" s="787" t="n">
        <f aca="false">E216</f>
        <v>3.45559877308285</v>
      </c>
      <c r="F215" s="742" t="n">
        <v>0</v>
      </c>
      <c r="G215" s="741" t="n">
        <v>0</v>
      </c>
      <c r="H215" s="741" t="n">
        <v>0</v>
      </c>
      <c r="I215" s="741"/>
      <c r="J215" s="741" t="n">
        <v>0</v>
      </c>
      <c r="K215" s="788" t="n">
        <f aca="false">D204</f>
        <v>5.22946860165469</v>
      </c>
      <c r="L215" s="742" t="n">
        <v>0</v>
      </c>
      <c r="M215" s="33" t="n">
        <v>0</v>
      </c>
      <c r="N215" s="33" t="n">
        <v>0</v>
      </c>
      <c r="O215" s="33" t="n">
        <v>0</v>
      </c>
      <c r="P215" s="33" t="n">
        <v>0</v>
      </c>
      <c r="Q215" s="33" t="n">
        <v>0</v>
      </c>
      <c r="R215" s="33" t="n">
        <v>0</v>
      </c>
      <c r="S215" s="792" t="n">
        <v>1</v>
      </c>
      <c r="T215" s="792" t="n">
        <v>1</v>
      </c>
      <c r="U215" s="502"/>
      <c r="V215" s="502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8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AMJ215" s="504"/>
    </row>
    <row r="216" s="1" customFormat="true" ht="14.15" hidden="true" customHeight="true" outlineLevel="0" collapsed="false">
      <c r="A216" s="795"/>
      <c r="B216" s="796" t="n">
        <f aca="false">B215+1</f>
        <v>1</v>
      </c>
      <c r="C216" s="797" t="n">
        <f aca="false">D216</f>
        <v>27.2439407269852</v>
      </c>
      <c r="D216" s="798" t="n">
        <f aca="false">E216*$E$205*M216</f>
        <v>27.2439407269852</v>
      </c>
      <c r="E216" s="799" t="n">
        <f aca="false">E217+(5*$C$203/B216)</f>
        <v>3.45559877308285</v>
      </c>
      <c r="F216" s="800" t="n">
        <v>1</v>
      </c>
      <c r="G216" s="801" t="n">
        <f aca="false">C216</f>
        <v>27.2439407269852</v>
      </c>
      <c r="H216" s="780" t="n">
        <v>0</v>
      </c>
      <c r="I216" s="802"/>
      <c r="J216" s="803" t="n">
        <f aca="false">1000*(E216-$E$215)/(B216-$B$215)</f>
        <v>0</v>
      </c>
      <c r="K216" s="804" t="n">
        <f aca="false">AVERAGE($E$216:E216)</f>
        <v>3.45559877308285</v>
      </c>
      <c r="L216" s="805" t="n">
        <f aca="false">L215+1</f>
        <v>1</v>
      </c>
      <c r="M216" s="806" t="n">
        <f aca="false">IF(B216&lt;$E$104,$E$105,$E$106)</f>
        <v>1.5</v>
      </c>
      <c r="N216" s="807" t="n">
        <f aca="false">IF(B216&lt;$E$104,$E$105,$E$111)</f>
        <v>1.5</v>
      </c>
      <c r="O216" s="808" t="n">
        <f aca="false">E216*$E$205*N216</f>
        <v>27.2439407269852</v>
      </c>
      <c r="P216" s="809" t="n">
        <f aca="false">O216</f>
        <v>27.2439407269852</v>
      </c>
      <c r="Q216" s="810" t="n">
        <v>1</v>
      </c>
      <c r="R216" s="811" t="n">
        <f aca="false">R215-1</f>
        <v>-1</v>
      </c>
      <c r="S216" s="812" t="n">
        <f aca="false">D216</f>
        <v>27.2439407269852</v>
      </c>
      <c r="T216" s="812" t="n">
        <f aca="false">O216</f>
        <v>27.2439407269852</v>
      </c>
      <c r="U216" s="502"/>
      <c r="V216" s="502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8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AMJ216" s="504"/>
    </row>
    <row r="217" s="1" customFormat="true" ht="14.15" hidden="true" customHeight="true" outlineLevel="0" collapsed="false">
      <c r="A217" s="795"/>
      <c r="B217" s="813" t="n">
        <f aca="false">B216+1</f>
        <v>2</v>
      </c>
      <c r="C217" s="814" t="n">
        <f aca="false">C216+D217</f>
        <v>58.4298814539703</v>
      </c>
      <c r="D217" s="815" t="n">
        <f aca="false">E217*$E$205*M217</f>
        <v>31.1859407269852</v>
      </c>
      <c r="E217" s="601" t="n">
        <f aca="false">E218+(5*$C$203/B217)</f>
        <v>3.95559877308285</v>
      </c>
      <c r="F217" s="816" t="n">
        <f aca="false">F216+1</f>
        <v>2</v>
      </c>
      <c r="G217" s="775" t="n">
        <f aca="false">C217</f>
        <v>58.4298814539703</v>
      </c>
      <c r="H217" s="817" t="n">
        <f aca="false">1000*(E217-E216)</f>
        <v>500</v>
      </c>
      <c r="I217" s="502"/>
      <c r="J217" s="818" t="n">
        <f aca="false">1000*(E217-$E$215)/(B217-$B$215)</f>
        <v>250</v>
      </c>
      <c r="K217" s="732" t="n">
        <f aca="false">AVERAGE($E$216:E217)</f>
        <v>3.70559877308285</v>
      </c>
      <c r="L217" s="819" t="n">
        <f aca="false">L216+1</f>
        <v>2</v>
      </c>
      <c r="M217" s="820" t="n">
        <f aca="false">IF(B217&lt;$E$104,$E$105,$E$106)</f>
        <v>1.5</v>
      </c>
      <c r="N217" s="821" t="n">
        <f aca="false">IF(B217&lt;$E$104,$E$105,$E$111)</f>
        <v>1.5</v>
      </c>
      <c r="O217" s="822" t="n">
        <f aca="false">E217*$E$205*N217</f>
        <v>31.1859407269852</v>
      </c>
      <c r="P217" s="823" t="n">
        <f aca="false">P216+O217</f>
        <v>58.4298814539703</v>
      </c>
      <c r="Q217" s="606" t="n">
        <f aca="false">Q216+1</f>
        <v>2</v>
      </c>
      <c r="R217" s="824" t="n">
        <f aca="false">R216-1</f>
        <v>-2</v>
      </c>
      <c r="S217" s="825" t="n">
        <f aca="false">D217</f>
        <v>31.1859407269852</v>
      </c>
      <c r="T217" s="825" t="n">
        <f aca="false">O217</f>
        <v>31.1859407269852</v>
      </c>
      <c r="U217" s="502"/>
      <c r="V217" s="502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8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AMJ217" s="504"/>
    </row>
    <row r="218" s="1" customFormat="true" ht="14.15" hidden="true" customHeight="true" outlineLevel="0" collapsed="false">
      <c r="A218" s="795"/>
      <c r="B218" s="813" t="n">
        <f aca="false">B217+1</f>
        <v>3</v>
      </c>
      <c r="C218" s="814" t="n">
        <f aca="false">C217+D218</f>
        <v>91.5868221809555</v>
      </c>
      <c r="D218" s="815" t="n">
        <f aca="false">E218*$E$205*M218</f>
        <v>33.1569407269852</v>
      </c>
      <c r="E218" s="601" t="n">
        <f aca="false">E219+(5*$C$203/B218)</f>
        <v>4.20559877308285</v>
      </c>
      <c r="F218" s="816" t="n">
        <f aca="false">F217+1</f>
        <v>3</v>
      </c>
      <c r="G218" s="775" t="n">
        <f aca="false">C218</f>
        <v>91.5868221809555</v>
      </c>
      <c r="H218" s="817" t="n">
        <f aca="false">1000*(E218-E217)</f>
        <v>250</v>
      </c>
      <c r="I218" s="502"/>
      <c r="J218" s="818" t="n">
        <f aca="false">1000*(E218-$E$215)/(B218-$B$215)</f>
        <v>250</v>
      </c>
      <c r="K218" s="732" t="n">
        <f aca="false">AVERAGE($E$216:E218)</f>
        <v>3.87226543974951</v>
      </c>
      <c r="L218" s="819" t="n">
        <f aca="false">L217+1</f>
        <v>3</v>
      </c>
      <c r="M218" s="820" t="n">
        <f aca="false">IF(B218&lt;$E$104,$E$105,$E$106)</f>
        <v>1.5</v>
      </c>
      <c r="N218" s="821" t="n">
        <f aca="false">IF(B218&lt;$E$104,$E$105,$E$111)</f>
        <v>1.5</v>
      </c>
      <c r="O218" s="822" t="n">
        <f aca="false">E218*$E$205*N218</f>
        <v>33.1569407269852</v>
      </c>
      <c r="P218" s="823" t="n">
        <f aca="false">P217+O218</f>
        <v>91.5868221809555</v>
      </c>
      <c r="Q218" s="606" t="n">
        <f aca="false">Q217+1</f>
        <v>3</v>
      </c>
      <c r="R218" s="824" t="n">
        <f aca="false">R217-1</f>
        <v>-3</v>
      </c>
      <c r="S218" s="825" t="n">
        <f aca="false">D218</f>
        <v>33.1569407269852</v>
      </c>
      <c r="T218" s="825" t="n">
        <f aca="false">O218</f>
        <v>33.1569407269852</v>
      </c>
      <c r="U218" s="502"/>
      <c r="V218" s="502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8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AMJ218" s="504"/>
    </row>
    <row r="219" s="1" customFormat="true" ht="14.15" hidden="true" customHeight="true" outlineLevel="0" collapsed="false">
      <c r="A219" s="795"/>
      <c r="B219" s="813" t="n">
        <f aca="false">B218+1</f>
        <v>4</v>
      </c>
      <c r="C219" s="814" t="n">
        <f aca="false">C218+D219</f>
        <v>126.057762907941</v>
      </c>
      <c r="D219" s="815" t="n">
        <f aca="false">E219*$E$205*M219</f>
        <v>34.4709407269852</v>
      </c>
      <c r="E219" s="601" t="n">
        <f aca="false">E220+(5*$C$203/B219)</f>
        <v>4.37226543974951</v>
      </c>
      <c r="F219" s="816" t="n">
        <f aca="false">F218+1</f>
        <v>4</v>
      </c>
      <c r="G219" s="775" t="n">
        <f aca="false">C219</f>
        <v>126.057762907941</v>
      </c>
      <c r="H219" s="817" t="n">
        <f aca="false">1000*(E219-E218)</f>
        <v>166.666666666667</v>
      </c>
      <c r="I219" s="502"/>
      <c r="J219" s="818" t="n">
        <f aca="false">1000*(E219-$E$215)/(B219-$B$215)</f>
        <v>229.166666666667</v>
      </c>
      <c r="K219" s="732" t="n">
        <f aca="false">AVERAGE($E$216:E219)</f>
        <v>3.99726543974951</v>
      </c>
      <c r="L219" s="819" t="n">
        <f aca="false">L218+1</f>
        <v>4</v>
      </c>
      <c r="M219" s="820" t="n">
        <f aca="false">IF(B219&lt;$E$104,$E$105,$E$106)</f>
        <v>1.5</v>
      </c>
      <c r="N219" s="821" t="n">
        <f aca="false">IF(B219&lt;$E$104,$E$105,$E$111)</f>
        <v>1.5</v>
      </c>
      <c r="O219" s="822" t="n">
        <f aca="false">E219*$E$205*N219</f>
        <v>34.4709407269852</v>
      </c>
      <c r="P219" s="823" t="n">
        <f aca="false">P218+O219</f>
        <v>126.057762907941</v>
      </c>
      <c r="Q219" s="606" t="n">
        <f aca="false">Q218+1</f>
        <v>4</v>
      </c>
      <c r="R219" s="824" t="n">
        <f aca="false">R218-1</f>
        <v>-4</v>
      </c>
      <c r="S219" s="825" t="n">
        <f aca="false">D219</f>
        <v>34.4709407269852</v>
      </c>
      <c r="T219" s="825" t="n">
        <f aca="false">O219</f>
        <v>34.4709407269852</v>
      </c>
      <c r="U219" s="502"/>
      <c r="V219" s="502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8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AMJ219" s="504"/>
    </row>
    <row r="220" s="1" customFormat="true" ht="14.15" hidden="true" customHeight="true" outlineLevel="0" collapsed="false">
      <c r="A220" s="795"/>
      <c r="B220" s="813" t="n">
        <f aca="false">B219+1</f>
        <v>5</v>
      </c>
      <c r="C220" s="814" t="n">
        <f aca="false">C219+D220</f>
        <v>161.514203634926</v>
      </c>
      <c r="D220" s="815" t="n">
        <f aca="false">E220*$E$205*M220</f>
        <v>35.4564407269852</v>
      </c>
      <c r="E220" s="601" t="n">
        <f aca="false">E221+(5*$C$203/B220)</f>
        <v>4.49726543974951</v>
      </c>
      <c r="F220" s="816" t="n">
        <f aca="false">F219+1</f>
        <v>5</v>
      </c>
      <c r="G220" s="775" t="n">
        <f aca="false">C220</f>
        <v>161.514203634926</v>
      </c>
      <c r="H220" s="817" t="n">
        <f aca="false">1000*(E220-E219)</f>
        <v>125</v>
      </c>
      <c r="I220" s="502"/>
      <c r="J220" s="818" t="n">
        <f aca="false">1000*(E220-$E$215)/(B220-$B$215)</f>
        <v>208.333333333333</v>
      </c>
      <c r="K220" s="732" t="n">
        <f aca="false">AVERAGE($E$216:E220)</f>
        <v>4.09726543974951</v>
      </c>
      <c r="L220" s="819" t="n">
        <f aca="false">L219+1</f>
        <v>5</v>
      </c>
      <c r="M220" s="820" t="n">
        <f aca="false">IF(B220&lt;$E$104,$E$105,$E$106)</f>
        <v>1.5</v>
      </c>
      <c r="N220" s="821" t="n">
        <f aca="false">IF(B220&lt;$E$104,$E$105,$E$111)</f>
        <v>1.5</v>
      </c>
      <c r="O220" s="822" t="n">
        <f aca="false">E220*$E$205*N220</f>
        <v>35.4564407269852</v>
      </c>
      <c r="P220" s="823" t="n">
        <f aca="false">P219+O220</f>
        <v>161.514203634926</v>
      </c>
      <c r="Q220" s="606" t="n">
        <f aca="false">Q219+1</f>
        <v>5</v>
      </c>
      <c r="R220" s="824" t="n">
        <f aca="false">R219-1</f>
        <v>-5</v>
      </c>
      <c r="S220" s="825" t="n">
        <f aca="false">D220</f>
        <v>35.4564407269852</v>
      </c>
      <c r="T220" s="825" t="n">
        <f aca="false">O220</f>
        <v>35.4564407269852</v>
      </c>
      <c r="U220" s="502"/>
      <c r="V220" s="502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8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AMJ220" s="504"/>
    </row>
    <row r="221" s="1" customFormat="true" ht="14.15" hidden="true" customHeight="true" outlineLevel="0" collapsed="false">
      <c r="A221" s="795"/>
      <c r="B221" s="813" t="n">
        <f aca="false">B220+1</f>
        <v>6</v>
      </c>
      <c r="C221" s="814" t="n">
        <f aca="false">C220+D221</f>
        <v>197.759044361911</v>
      </c>
      <c r="D221" s="815" t="n">
        <f aca="false">E221*$E$205*M221</f>
        <v>36.2448407269852</v>
      </c>
      <c r="E221" s="601" t="n">
        <f aca="false">E222+(5*$C$203/B221)</f>
        <v>4.59726543974951</v>
      </c>
      <c r="F221" s="816" t="n">
        <f aca="false">F220+1</f>
        <v>6</v>
      </c>
      <c r="G221" s="775" t="n">
        <f aca="false">C221</f>
        <v>197.759044361911</v>
      </c>
      <c r="H221" s="817" t="n">
        <f aca="false">1000*(E221-E220)</f>
        <v>99.9999999999996</v>
      </c>
      <c r="I221" s="502"/>
      <c r="J221" s="818" t="n">
        <f aca="false">1000*(E221-$E$215)/(B221-$B$215)</f>
        <v>190.277777777778</v>
      </c>
      <c r="K221" s="732" t="n">
        <f aca="false">AVERAGE($E$216:E221)</f>
        <v>4.18059877308285</v>
      </c>
      <c r="L221" s="819" t="n">
        <f aca="false">L220+1</f>
        <v>6</v>
      </c>
      <c r="M221" s="820" t="n">
        <f aca="false">IF(B221&lt;$E$104,$E$105,$E$106)</f>
        <v>1.5</v>
      </c>
      <c r="N221" s="821" t="n">
        <f aca="false">IF(B221&lt;$E$104,$E$105,$E$111)</f>
        <v>1.5</v>
      </c>
      <c r="O221" s="822" t="n">
        <f aca="false">E221*$E$205*N221</f>
        <v>36.2448407269852</v>
      </c>
      <c r="P221" s="823" t="n">
        <f aca="false">P220+O221</f>
        <v>197.759044361911</v>
      </c>
      <c r="Q221" s="606" t="n">
        <f aca="false">Q220+1</f>
        <v>6</v>
      </c>
      <c r="R221" s="824" t="n">
        <f aca="false">R220-1</f>
        <v>-6</v>
      </c>
      <c r="S221" s="825" t="n">
        <f aca="false">D221</f>
        <v>36.2448407269852</v>
      </c>
      <c r="T221" s="825" t="n">
        <f aca="false">O221</f>
        <v>36.2448407269852</v>
      </c>
      <c r="U221" s="502"/>
      <c r="V221" s="502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8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AMJ221" s="504"/>
    </row>
    <row r="222" s="1" customFormat="true" ht="14.15" hidden="true" customHeight="true" outlineLevel="0" collapsed="false">
      <c r="A222" s="795"/>
      <c r="B222" s="813" t="n">
        <f aca="false">B221+1</f>
        <v>7</v>
      </c>
      <c r="C222" s="814" t="n">
        <f aca="false">C221+D222</f>
        <v>234.660885088896</v>
      </c>
      <c r="D222" s="815" t="n">
        <f aca="false">E222*$E$205*M222</f>
        <v>36.9018407269852</v>
      </c>
      <c r="E222" s="601" t="n">
        <f aca="false">E223+(5*$C$203/B222)</f>
        <v>4.68059877308285</v>
      </c>
      <c r="F222" s="816" t="n">
        <f aca="false">F221+1</f>
        <v>7</v>
      </c>
      <c r="G222" s="775" t="n">
        <f aca="false">C222</f>
        <v>234.660885088896</v>
      </c>
      <c r="H222" s="817" t="n">
        <f aca="false">1000*(E222-E221)</f>
        <v>83.333333333333</v>
      </c>
      <c r="I222" s="502"/>
      <c r="J222" s="818" t="n">
        <f aca="false">1000*(E222-$E$215)/(B222-$B$215)</f>
        <v>175</v>
      </c>
      <c r="K222" s="732" t="n">
        <f aca="false">AVERAGE($E$216:E222)</f>
        <v>4.25202734451142</v>
      </c>
      <c r="L222" s="819" t="n">
        <f aca="false">L221+1</f>
        <v>7</v>
      </c>
      <c r="M222" s="820" t="n">
        <f aca="false">IF(B222&lt;$E$104,$E$105,$E$106)</f>
        <v>1.5</v>
      </c>
      <c r="N222" s="821" t="n">
        <f aca="false">IF(B222&lt;$E$104,$E$105,$E$111)</f>
        <v>1.5</v>
      </c>
      <c r="O222" s="822" t="n">
        <f aca="false">E222*$E$205*N222</f>
        <v>36.9018407269852</v>
      </c>
      <c r="P222" s="823" t="n">
        <f aca="false">P221+O222</f>
        <v>234.660885088896</v>
      </c>
      <c r="Q222" s="606" t="n">
        <f aca="false">Q221+1</f>
        <v>7</v>
      </c>
      <c r="R222" s="824" t="n">
        <f aca="false">R221-1</f>
        <v>-7</v>
      </c>
      <c r="S222" s="825" t="n">
        <f aca="false">D222</f>
        <v>36.9018407269852</v>
      </c>
      <c r="T222" s="825" t="n">
        <f aca="false">O222</f>
        <v>36.9018407269852</v>
      </c>
      <c r="U222" s="502"/>
      <c r="V222" s="502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8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AMJ222" s="504"/>
    </row>
    <row r="223" s="1" customFormat="true" ht="14.15" hidden="true" customHeight="true" outlineLevel="0" collapsed="false">
      <c r="A223" s="795"/>
      <c r="B223" s="813" t="n">
        <f aca="false">B222+1</f>
        <v>8</v>
      </c>
      <c r="C223" s="814" t="n">
        <f aca="false">C222+D223</f>
        <v>272.125868673024</v>
      </c>
      <c r="D223" s="815" t="n">
        <f aca="false">E223*$E$205*M223</f>
        <v>37.464983584128</v>
      </c>
      <c r="E223" s="601" t="n">
        <f aca="false">E224+(5*$C$203/B223)</f>
        <v>4.75202734451142</v>
      </c>
      <c r="F223" s="816" t="n">
        <f aca="false">F222+1</f>
        <v>8</v>
      </c>
      <c r="G223" s="775" t="n">
        <f aca="false">C223</f>
        <v>272.125868673024</v>
      </c>
      <c r="H223" s="817" t="n">
        <f aca="false">1000*(E223-E222)</f>
        <v>71.4285714285712</v>
      </c>
      <c r="I223" s="502"/>
      <c r="J223" s="818" t="n">
        <f aca="false">1000*(E223-$E$215)/(B223-$B$215)</f>
        <v>162.053571428571</v>
      </c>
      <c r="K223" s="732" t="n">
        <f aca="false">AVERAGE($E$216:E223)</f>
        <v>4.31452734451142</v>
      </c>
      <c r="L223" s="819" t="n">
        <f aca="false">L222+1</f>
        <v>8</v>
      </c>
      <c r="M223" s="820" t="n">
        <f aca="false">IF(B223&lt;$E$104,$E$105,$E$106)</f>
        <v>1.5</v>
      </c>
      <c r="N223" s="821" t="n">
        <f aca="false">IF(B223&lt;$E$104,$E$105,$E$111)</f>
        <v>1.5</v>
      </c>
      <c r="O223" s="822" t="n">
        <f aca="false">E223*$E$205*N223</f>
        <v>37.464983584128</v>
      </c>
      <c r="P223" s="823" t="n">
        <f aca="false">P222+O223</f>
        <v>272.125868673024</v>
      </c>
      <c r="Q223" s="606" t="n">
        <f aca="false">Q222+1</f>
        <v>8</v>
      </c>
      <c r="R223" s="824" t="n">
        <f aca="false">R222-1</f>
        <v>-8</v>
      </c>
      <c r="S223" s="825" t="n">
        <f aca="false">D223</f>
        <v>37.464983584128</v>
      </c>
      <c r="T223" s="825" t="n">
        <f aca="false">O223</f>
        <v>37.464983584128</v>
      </c>
      <c r="U223" s="502"/>
      <c r="V223" s="502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8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AMJ223" s="504"/>
    </row>
    <row r="224" s="1" customFormat="true" ht="14.15" hidden="true" customHeight="true" outlineLevel="0" collapsed="false">
      <c r="A224" s="795"/>
      <c r="B224" s="813" t="n">
        <f aca="false">B223+1</f>
        <v>9</v>
      </c>
      <c r="C224" s="814" t="n">
        <f aca="false">C223+D224</f>
        <v>310.083602257152</v>
      </c>
      <c r="D224" s="815" t="n">
        <f aca="false">E224*$E$205*M224</f>
        <v>37.957733584128</v>
      </c>
      <c r="E224" s="601" t="n">
        <f aca="false">E225+(5*$C$203/B224)</f>
        <v>4.81452734451142</v>
      </c>
      <c r="F224" s="816" t="n">
        <f aca="false">F223+1</f>
        <v>9</v>
      </c>
      <c r="G224" s="775" t="n">
        <f aca="false">C224</f>
        <v>310.083602257152</v>
      </c>
      <c r="H224" s="817" t="n">
        <f aca="false">1000*(E224-E223)</f>
        <v>62.5</v>
      </c>
      <c r="I224" s="502"/>
      <c r="J224" s="818" t="n">
        <f aca="false">1000*(E224-$E$215)/(B224-$B$215)</f>
        <v>150.992063492063</v>
      </c>
      <c r="K224" s="732" t="n">
        <f aca="false">AVERAGE($E$216:E224)</f>
        <v>4.37008290006697</v>
      </c>
      <c r="L224" s="819" t="n">
        <f aca="false">L223+1</f>
        <v>9</v>
      </c>
      <c r="M224" s="820" t="n">
        <f aca="false">IF(B224&lt;$E$104,$E$105,$E$106)</f>
        <v>1.5</v>
      </c>
      <c r="N224" s="821" t="n">
        <f aca="false">IF(B224&lt;$E$104,$E$105,$E$111)</f>
        <v>1.5</v>
      </c>
      <c r="O224" s="822" t="n">
        <f aca="false">E224*$E$205*N224</f>
        <v>37.957733584128</v>
      </c>
      <c r="P224" s="823" t="n">
        <f aca="false">P223+O224</f>
        <v>310.083602257152</v>
      </c>
      <c r="Q224" s="606" t="n">
        <f aca="false">Q223+1</f>
        <v>9</v>
      </c>
      <c r="R224" s="824" t="n">
        <f aca="false">R223-1</f>
        <v>-9</v>
      </c>
      <c r="S224" s="825" t="n">
        <f aca="false">D224</f>
        <v>37.957733584128</v>
      </c>
      <c r="T224" s="825" t="n">
        <f aca="false">O224</f>
        <v>37.957733584128</v>
      </c>
      <c r="U224" s="502"/>
      <c r="V224" s="502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8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AMJ224" s="504"/>
    </row>
    <row r="225" s="826" customFormat="true" ht="14.15" hidden="true" customHeight="true" outlineLevel="0" collapsed="false">
      <c r="A225" s="795"/>
      <c r="B225" s="813" t="n">
        <f aca="false">B224+1</f>
        <v>10</v>
      </c>
      <c r="C225" s="814" t="n">
        <f aca="false">C224+D225</f>
        <v>386.875069425408</v>
      </c>
      <c r="D225" s="815" t="n">
        <f aca="false">E225*$E$205*M225</f>
        <v>76.791467168256</v>
      </c>
      <c r="E225" s="601" t="n">
        <f aca="false">E226+(5*$C$203/B225)</f>
        <v>4.87008290006697</v>
      </c>
      <c r="F225" s="816" t="n">
        <f aca="false">F224+1</f>
        <v>10</v>
      </c>
      <c r="G225" s="775" t="n">
        <f aca="false">C225</f>
        <v>386.875069425408</v>
      </c>
      <c r="H225" s="817" t="n">
        <f aca="false">1000*(E225-E224)</f>
        <v>55.5555555555554</v>
      </c>
      <c r="I225" s="502"/>
      <c r="J225" s="818" t="n">
        <f aca="false">1000*(E225-$E$215)/(B225-$B$215)</f>
        <v>141.448412698413</v>
      </c>
      <c r="K225" s="732" t="n">
        <f aca="false">AVERAGE($E$216:E225)</f>
        <v>4.42008290006697</v>
      </c>
      <c r="L225" s="819" t="n">
        <f aca="false">L224+1</f>
        <v>10</v>
      </c>
      <c r="M225" s="820" t="n">
        <f aca="false">IF(B225&lt;$E$104,$E$105,$E$106)</f>
        <v>3</v>
      </c>
      <c r="N225" s="821" t="n">
        <f aca="false">IF(B225&lt;$E$104,$E$105,$E$111)</f>
        <v>2.5</v>
      </c>
      <c r="O225" s="822" t="n">
        <f aca="false">E225*$E$205*N225</f>
        <v>63.99288930688</v>
      </c>
      <c r="P225" s="823" t="n">
        <f aca="false">P224+O225</f>
        <v>374.076491564032</v>
      </c>
      <c r="Q225" s="606" t="n">
        <f aca="false">Q224+1</f>
        <v>10</v>
      </c>
      <c r="R225" s="824" t="n">
        <f aca="false">R224-1</f>
        <v>-10</v>
      </c>
      <c r="S225" s="825" t="n">
        <f aca="false">D225</f>
        <v>76.791467168256</v>
      </c>
      <c r="T225" s="825" t="n">
        <f aca="false">O225</f>
        <v>63.99288930688</v>
      </c>
      <c r="U225" s="502"/>
      <c r="V225" s="502"/>
      <c r="W225" s="683"/>
      <c r="X225" s="683"/>
      <c r="Y225" s="683"/>
      <c r="Z225" s="683"/>
      <c r="AA225" s="683"/>
      <c r="AB225" s="683"/>
      <c r="AC225" s="683"/>
      <c r="AD225" s="683"/>
      <c r="AE225" s="683"/>
      <c r="AF225" s="683"/>
      <c r="AG225" s="683"/>
      <c r="AH225" s="683"/>
      <c r="AI225" s="683"/>
      <c r="AJ225" s="683"/>
      <c r="AK225" s="683"/>
      <c r="AL225" s="683"/>
      <c r="AM225" s="683"/>
      <c r="AN225" s="683"/>
      <c r="AO225" s="683"/>
      <c r="AP225" s="683"/>
      <c r="AQ225" s="683"/>
      <c r="AR225" s="683"/>
      <c r="AS225" s="683"/>
      <c r="AT225" s="683"/>
      <c r="AU225" s="683"/>
      <c r="AV225" s="684"/>
      <c r="AW225" s="683"/>
      <c r="AX225" s="683"/>
      <c r="AY225" s="683"/>
      <c r="AZ225" s="683"/>
      <c r="BA225" s="683"/>
      <c r="BB225" s="683"/>
      <c r="BC225" s="683"/>
      <c r="BD225" s="683"/>
      <c r="BE225" s="683"/>
      <c r="BF225" s="683"/>
      <c r="BG225" s="683"/>
      <c r="BH225" s="683"/>
      <c r="BI225" s="683"/>
      <c r="BJ225" s="683"/>
      <c r="BK225" s="683"/>
      <c r="BL225" s="683"/>
      <c r="BM225" s="683"/>
      <c r="BN225" s="683"/>
      <c r="BO225" s="683"/>
      <c r="BP225" s="683"/>
      <c r="BQ225" s="683"/>
      <c r="BR225" s="683"/>
      <c r="BS225" s="683"/>
      <c r="BT225" s="683"/>
      <c r="BU225" s="683"/>
      <c r="BV225" s="683"/>
      <c r="BW225" s="683"/>
      <c r="BX225" s="683"/>
      <c r="BY225" s="683"/>
      <c r="BZ225" s="683"/>
      <c r="CA225" s="683"/>
      <c r="CB225" s="683"/>
      <c r="CC225" s="683"/>
      <c r="CD225" s="683"/>
      <c r="CE225" s="683"/>
      <c r="CF225" s="683"/>
      <c r="CG225" s="683"/>
      <c r="CH225" s="683"/>
      <c r="CI225" s="683"/>
      <c r="CJ225" s="683"/>
      <c r="CK225" s="683"/>
      <c r="CL225" s="683"/>
      <c r="CM225" s="683"/>
      <c r="CN225" s="683"/>
      <c r="CO225" s="683"/>
      <c r="CP225" s="683"/>
      <c r="CQ225" s="683"/>
      <c r="CR225" s="683"/>
      <c r="CS225" s="683"/>
      <c r="CT225" s="683"/>
      <c r="CU225" s="683"/>
      <c r="CV225" s="683"/>
      <c r="CW225" s="683"/>
      <c r="CX225" s="683"/>
      <c r="CY225" s="683"/>
      <c r="CZ225" s="683"/>
      <c r="DA225" s="683"/>
      <c r="DB225" s="683"/>
      <c r="DC225" s="683"/>
      <c r="DD225" s="683"/>
      <c r="DE225" s="683"/>
      <c r="DF225" s="683"/>
      <c r="DG225" s="683"/>
      <c r="DH225" s="683"/>
      <c r="DI225" s="683"/>
      <c r="DJ225" s="683"/>
      <c r="DK225" s="683"/>
      <c r="DL225" s="683"/>
      <c r="DM225" s="683"/>
      <c r="DN225" s="683"/>
      <c r="DO225" s="683"/>
      <c r="DP225" s="683"/>
      <c r="AMJ225" s="504"/>
    </row>
    <row r="226" s="826" customFormat="true" ht="14.15" hidden="true" customHeight="true" outlineLevel="0" collapsed="false">
      <c r="A226" s="795"/>
      <c r="B226" s="813" t="n">
        <f aca="false">B225+1</f>
        <v>11</v>
      </c>
      <c r="C226" s="814" t="n">
        <f aca="false">C225+D226</f>
        <v>464.454936593664</v>
      </c>
      <c r="D226" s="815" t="n">
        <f aca="false">E226*$E$205*M226</f>
        <v>77.579867168256</v>
      </c>
      <c r="E226" s="601" t="n">
        <f aca="false">E227+(5*$C$203/B226)</f>
        <v>4.92008290006697</v>
      </c>
      <c r="F226" s="816" t="n">
        <f aca="false">F225+1</f>
        <v>11</v>
      </c>
      <c r="G226" s="775" t="n">
        <f aca="false">C226</f>
        <v>464.454936593664</v>
      </c>
      <c r="H226" s="817" t="n">
        <f aca="false">1000*(E226-E225)</f>
        <v>49.9999999999998</v>
      </c>
      <c r="I226" s="502"/>
      <c r="J226" s="818" t="n">
        <f aca="false">1000*(E226-$E$215)/(B226-$B$215)</f>
        <v>133.134920634921</v>
      </c>
      <c r="K226" s="732" t="n">
        <f aca="false">AVERAGE($E$216:E226)</f>
        <v>4.46553744552152</v>
      </c>
      <c r="L226" s="819" t="n">
        <f aca="false">L225+1</f>
        <v>11</v>
      </c>
      <c r="M226" s="820" t="n">
        <f aca="false">IF(B226&lt;$E$104,$E$105,$E$106)</f>
        <v>3</v>
      </c>
      <c r="N226" s="821" t="n">
        <f aca="false">IF(B226&lt;$E$104,$E$105,$E$111)</f>
        <v>2.5</v>
      </c>
      <c r="O226" s="822" t="n">
        <f aca="false">E226*$E$205*N226</f>
        <v>64.64988930688</v>
      </c>
      <c r="P226" s="823" t="n">
        <f aca="false">P225+O226</f>
        <v>438.726380870912</v>
      </c>
      <c r="Q226" s="606" t="n">
        <f aca="false">Q225+1</f>
        <v>11</v>
      </c>
      <c r="R226" s="824" t="n">
        <f aca="false">R225-1</f>
        <v>-11</v>
      </c>
      <c r="S226" s="825" t="n">
        <f aca="false">D226</f>
        <v>77.579867168256</v>
      </c>
      <c r="T226" s="825" t="n">
        <f aca="false">O226</f>
        <v>64.64988930688</v>
      </c>
      <c r="U226" s="502"/>
      <c r="V226" s="502"/>
      <c r="W226" s="683"/>
      <c r="X226" s="683"/>
      <c r="Y226" s="683"/>
      <c r="Z226" s="683"/>
      <c r="AA226" s="683"/>
      <c r="AB226" s="683"/>
      <c r="AC226" s="683"/>
      <c r="AD226" s="683"/>
      <c r="AE226" s="683"/>
      <c r="AF226" s="683"/>
      <c r="AG226" s="683"/>
      <c r="AH226" s="683"/>
      <c r="AI226" s="683"/>
      <c r="AJ226" s="683"/>
      <c r="AK226" s="683"/>
      <c r="AL226" s="683"/>
      <c r="AM226" s="683"/>
      <c r="AN226" s="683"/>
      <c r="AO226" s="683"/>
      <c r="AP226" s="683"/>
      <c r="AQ226" s="683"/>
      <c r="AR226" s="683"/>
      <c r="AS226" s="683"/>
      <c r="AT226" s="683"/>
      <c r="AU226" s="683"/>
      <c r="AV226" s="684"/>
      <c r="AW226" s="683"/>
      <c r="AX226" s="683"/>
      <c r="AY226" s="683"/>
      <c r="AZ226" s="683"/>
      <c r="BA226" s="683"/>
      <c r="BB226" s="683"/>
      <c r="BC226" s="683"/>
      <c r="BD226" s="683"/>
      <c r="BE226" s="683"/>
      <c r="BF226" s="683"/>
      <c r="BG226" s="683"/>
      <c r="BH226" s="683"/>
      <c r="BI226" s="683"/>
      <c r="BJ226" s="683"/>
      <c r="BK226" s="683"/>
      <c r="BL226" s="683"/>
      <c r="BM226" s="683"/>
      <c r="BN226" s="683"/>
      <c r="BO226" s="683"/>
      <c r="BP226" s="683"/>
      <c r="BQ226" s="683"/>
      <c r="BR226" s="683"/>
      <c r="BS226" s="683"/>
      <c r="BT226" s="683"/>
      <c r="BU226" s="683"/>
      <c r="BV226" s="683"/>
      <c r="BW226" s="683"/>
      <c r="BX226" s="683"/>
      <c r="BY226" s="683"/>
      <c r="BZ226" s="683"/>
      <c r="CA226" s="683"/>
      <c r="CB226" s="683"/>
      <c r="CC226" s="683"/>
      <c r="CD226" s="683"/>
      <c r="CE226" s="683"/>
      <c r="CF226" s="683"/>
      <c r="CG226" s="683"/>
      <c r="CH226" s="683"/>
      <c r="CI226" s="683"/>
      <c r="CJ226" s="683"/>
      <c r="CK226" s="683"/>
      <c r="CL226" s="683"/>
      <c r="CM226" s="683"/>
      <c r="CN226" s="683"/>
      <c r="CO226" s="683"/>
      <c r="CP226" s="683"/>
      <c r="CQ226" s="683"/>
      <c r="CR226" s="683"/>
      <c r="CS226" s="683"/>
      <c r="CT226" s="683"/>
      <c r="CU226" s="683"/>
      <c r="CV226" s="683"/>
      <c r="CW226" s="683"/>
      <c r="CX226" s="683"/>
      <c r="CY226" s="683"/>
      <c r="CZ226" s="683"/>
      <c r="DA226" s="683"/>
      <c r="DB226" s="683"/>
      <c r="DC226" s="683"/>
      <c r="DD226" s="683"/>
      <c r="DE226" s="683"/>
      <c r="DF226" s="683"/>
      <c r="DG226" s="683"/>
      <c r="DH226" s="683"/>
      <c r="DI226" s="683"/>
      <c r="DJ226" s="683"/>
      <c r="DK226" s="683"/>
      <c r="DL226" s="683"/>
      <c r="DM226" s="683"/>
      <c r="DN226" s="683"/>
      <c r="DO226" s="683"/>
      <c r="DP226" s="683"/>
      <c r="AMJ226" s="504"/>
    </row>
    <row r="227" s="826" customFormat="true" ht="14.15" hidden="true" customHeight="true" outlineLevel="0" collapsed="false">
      <c r="A227" s="795"/>
      <c r="B227" s="813" t="n">
        <f aca="false">B226+1</f>
        <v>12</v>
      </c>
      <c r="C227" s="814" t="n">
        <f aca="false">C226+D227</f>
        <v>542.751531034647</v>
      </c>
      <c r="D227" s="815" t="n">
        <f aca="false">E227*$E$205*M227</f>
        <v>78.2965944409833</v>
      </c>
      <c r="E227" s="601" t="n">
        <f aca="false">E228+(5*$C$203/B227)</f>
        <v>4.96553744552152</v>
      </c>
      <c r="F227" s="816" t="n">
        <f aca="false">F226+1</f>
        <v>12</v>
      </c>
      <c r="G227" s="775" t="n">
        <f aca="false">C227</f>
        <v>542.751531034647</v>
      </c>
      <c r="H227" s="817" t="n">
        <f aca="false">1000*(E227-E226)</f>
        <v>45.4545454545459</v>
      </c>
      <c r="I227" s="502"/>
      <c r="J227" s="818" t="n">
        <f aca="false">1000*(E227-$E$215)/(B227-$B$215)</f>
        <v>125.828222703223</v>
      </c>
      <c r="K227" s="732" t="n">
        <f aca="false">AVERAGE($E$216:E227)</f>
        <v>4.50720411218819</v>
      </c>
      <c r="L227" s="819" t="n">
        <f aca="false">L226+1</f>
        <v>12</v>
      </c>
      <c r="M227" s="820" t="n">
        <f aca="false">IF(B227&lt;$E$104,$E$105,$E$106)</f>
        <v>3</v>
      </c>
      <c r="N227" s="821" t="n">
        <f aca="false">IF(B227&lt;$E$104,$E$105,$E$111)</f>
        <v>2.5</v>
      </c>
      <c r="O227" s="822" t="n">
        <f aca="false">E227*$E$205*N227</f>
        <v>65.2471620341528</v>
      </c>
      <c r="P227" s="823" t="n">
        <f aca="false">P226+O227</f>
        <v>503.973542905065</v>
      </c>
      <c r="Q227" s="606" t="n">
        <f aca="false">Q226+1</f>
        <v>12</v>
      </c>
      <c r="R227" s="824" t="n">
        <f aca="false">R226-1</f>
        <v>-12</v>
      </c>
      <c r="S227" s="825" t="n">
        <f aca="false">D227</f>
        <v>78.2965944409833</v>
      </c>
      <c r="T227" s="825" t="n">
        <f aca="false">O227</f>
        <v>65.2471620341528</v>
      </c>
      <c r="U227" s="502"/>
      <c r="V227" s="502"/>
      <c r="W227" s="683"/>
      <c r="X227" s="683"/>
      <c r="Y227" s="683"/>
      <c r="Z227" s="683"/>
      <c r="AA227" s="683"/>
      <c r="AB227" s="683"/>
      <c r="AC227" s="683"/>
      <c r="AD227" s="683"/>
      <c r="AE227" s="683"/>
      <c r="AF227" s="683"/>
      <c r="AG227" s="683"/>
      <c r="AH227" s="683"/>
      <c r="AI227" s="683"/>
      <c r="AJ227" s="683"/>
      <c r="AK227" s="683"/>
      <c r="AL227" s="683"/>
      <c r="AM227" s="683"/>
      <c r="AN227" s="683"/>
      <c r="AO227" s="683"/>
      <c r="AP227" s="683"/>
      <c r="AQ227" s="683"/>
      <c r="AR227" s="683"/>
      <c r="AS227" s="683"/>
      <c r="AT227" s="683"/>
      <c r="AU227" s="683"/>
      <c r="AV227" s="684"/>
      <c r="AW227" s="683"/>
      <c r="AX227" s="683"/>
      <c r="AY227" s="683"/>
      <c r="AZ227" s="683"/>
      <c r="BA227" s="683"/>
      <c r="BB227" s="683"/>
      <c r="BC227" s="683"/>
      <c r="BD227" s="683"/>
      <c r="BE227" s="683"/>
      <c r="BF227" s="683"/>
      <c r="BG227" s="683"/>
      <c r="BH227" s="683"/>
      <c r="BI227" s="683"/>
      <c r="BJ227" s="683"/>
      <c r="BK227" s="683"/>
      <c r="BL227" s="683"/>
      <c r="BM227" s="683"/>
      <c r="BN227" s="683"/>
      <c r="BO227" s="683"/>
      <c r="BP227" s="683"/>
      <c r="BQ227" s="683"/>
      <c r="BR227" s="683"/>
      <c r="BS227" s="683"/>
      <c r="BT227" s="683"/>
      <c r="BU227" s="683"/>
      <c r="BV227" s="683"/>
      <c r="BW227" s="683"/>
      <c r="BX227" s="683"/>
      <c r="BY227" s="683"/>
      <c r="BZ227" s="683"/>
      <c r="CA227" s="683"/>
      <c r="CB227" s="683"/>
      <c r="CC227" s="683"/>
      <c r="CD227" s="683"/>
      <c r="CE227" s="683"/>
      <c r="CF227" s="683"/>
      <c r="CG227" s="683"/>
      <c r="CH227" s="683"/>
      <c r="CI227" s="683"/>
      <c r="CJ227" s="683"/>
      <c r="CK227" s="683"/>
      <c r="CL227" s="683"/>
      <c r="CM227" s="683"/>
      <c r="CN227" s="683"/>
      <c r="CO227" s="683"/>
      <c r="CP227" s="683"/>
      <c r="CQ227" s="683"/>
      <c r="CR227" s="683"/>
      <c r="CS227" s="683"/>
      <c r="CT227" s="683"/>
      <c r="CU227" s="683"/>
      <c r="CV227" s="683"/>
      <c r="CW227" s="683"/>
      <c r="CX227" s="683"/>
      <c r="CY227" s="683"/>
      <c r="CZ227" s="683"/>
      <c r="DA227" s="683"/>
      <c r="DB227" s="683"/>
      <c r="DC227" s="683"/>
      <c r="DD227" s="683"/>
      <c r="DE227" s="683"/>
      <c r="DF227" s="683"/>
      <c r="DG227" s="683"/>
      <c r="DH227" s="683"/>
      <c r="DI227" s="683"/>
      <c r="DJ227" s="683"/>
      <c r="DK227" s="683"/>
      <c r="DL227" s="683"/>
      <c r="DM227" s="683"/>
      <c r="DN227" s="683"/>
      <c r="DO227" s="683"/>
      <c r="DP227" s="683"/>
      <c r="AMJ227" s="504"/>
    </row>
    <row r="228" s="826" customFormat="true" ht="14.15" hidden="true" customHeight="true" outlineLevel="0" collapsed="false">
      <c r="A228" s="795"/>
      <c r="B228" s="813" t="n">
        <f aca="false">B227+1</f>
        <v>13</v>
      </c>
      <c r="C228" s="814" t="n">
        <f aca="false">C227+D228</f>
        <v>621.705125475631</v>
      </c>
      <c r="D228" s="815" t="n">
        <f aca="false">E228*$E$205*M228</f>
        <v>78.9535944409833</v>
      </c>
      <c r="E228" s="601" t="n">
        <f aca="false">E229+(5*$C$203/B228)</f>
        <v>5.00720411218819</v>
      </c>
      <c r="F228" s="816" t="n">
        <f aca="false">F227+1</f>
        <v>13</v>
      </c>
      <c r="G228" s="775" t="n">
        <f aca="false">C228</f>
        <v>621.705125475631</v>
      </c>
      <c r="H228" s="817" t="n">
        <f aca="false">1000*(E228-E227)</f>
        <v>41.666666666667</v>
      </c>
      <c r="I228" s="502"/>
      <c r="J228" s="818" t="n">
        <f aca="false">1000*(E228-$E$215)/(B228-$B$215)</f>
        <v>119.354256854257</v>
      </c>
      <c r="K228" s="732" t="n">
        <f aca="false">AVERAGE($E$216:E228)</f>
        <v>4.54566565064972</v>
      </c>
      <c r="L228" s="819" t="n">
        <f aca="false">L227+1</f>
        <v>13</v>
      </c>
      <c r="M228" s="820" t="n">
        <f aca="false">IF(B228&lt;$E$104,$E$105,$E$106)</f>
        <v>3</v>
      </c>
      <c r="N228" s="821" t="n">
        <f aca="false">IF(B228&lt;$E$104,$E$105,$E$111)</f>
        <v>2.5</v>
      </c>
      <c r="O228" s="822" t="n">
        <f aca="false">E228*$E$205*N228</f>
        <v>65.7946620341528</v>
      </c>
      <c r="P228" s="823" t="n">
        <f aca="false">P227+O228</f>
        <v>569.768204939218</v>
      </c>
      <c r="Q228" s="606" t="n">
        <f aca="false">Q227+1</f>
        <v>13</v>
      </c>
      <c r="R228" s="824" t="n">
        <f aca="false">R227-1</f>
        <v>-13</v>
      </c>
      <c r="S228" s="825" t="n">
        <f aca="false">D228</f>
        <v>78.9535944409833</v>
      </c>
      <c r="T228" s="825" t="n">
        <f aca="false">O228</f>
        <v>65.7946620341528</v>
      </c>
      <c r="U228" s="502"/>
      <c r="V228" s="502"/>
      <c r="W228" s="683"/>
      <c r="X228" s="683"/>
      <c r="Y228" s="683"/>
      <c r="Z228" s="683"/>
      <c r="AA228" s="683"/>
      <c r="AB228" s="683"/>
      <c r="AC228" s="683"/>
      <c r="AD228" s="683"/>
      <c r="AE228" s="683"/>
      <c r="AF228" s="683"/>
      <c r="AG228" s="683"/>
      <c r="AH228" s="683"/>
      <c r="AI228" s="683"/>
      <c r="AJ228" s="683"/>
      <c r="AK228" s="683"/>
      <c r="AL228" s="683"/>
      <c r="AM228" s="683"/>
      <c r="AN228" s="683"/>
      <c r="AO228" s="683"/>
      <c r="AP228" s="683"/>
      <c r="AQ228" s="683"/>
      <c r="AR228" s="683"/>
      <c r="AS228" s="683"/>
      <c r="AT228" s="683"/>
      <c r="AU228" s="683"/>
      <c r="AV228" s="684"/>
      <c r="AW228" s="683"/>
      <c r="AX228" s="683"/>
      <c r="AY228" s="683"/>
      <c r="AZ228" s="683"/>
      <c r="BA228" s="683"/>
      <c r="BB228" s="683"/>
      <c r="BC228" s="683"/>
      <c r="BD228" s="683"/>
      <c r="BE228" s="683"/>
      <c r="BF228" s="683"/>
      <c r="BG228" s="683"/>
      <c r="BH228" s="683"/>
      <c r="BI228" s="683"/>
      <c r="BJ228" s="683"/>
      <c r="BK228" s="683"/>
      <c r="BL228" s="683"/>
      <c r="BM228" s="683"/>
      <c r="BN228" s="683"/>
      <c r="BO228" s="683"/>
      <c r="BP228" s="683"/>
      <c r="BQ228" s="683"/>
      <c r="BR228" s="683"/>
      <c r="BS228" s="683"/>
      <c r="BT228" s="683"/>
      <c r="BU228" s="683"/>
      <c r="BV228" s="683"/>
      <c r="BW228" s="683"/>
      <c r="BX228" s="683"/>
      <c r="BY228" s="683"/>
      <c r="BZ228" s="683"/>
      <c r="CA228" s="683"/>
      <c r="CB228" s="683"/>
      <c r="CC228" s="683"/>
      <c r="CD228" s="683"/>
      <c r="CE228" s="683"/>
      <c r="CF228" s="683"/>
      <c r="CG228" s="683"/>
      <c r="CH228" s="683"/>
      <c r="CI228" s="683"/>
      <c r="CJ228" s="683"/>
      <c r="CK228" s="683"/>
      <c r="CL228" s="683"/>
      <c r="CM228" s="683"/>
      <c r="CN228" s="683"/>
      <c r="CO228" s="683"/>
      <c r="CP228" s="683"/>
      <c r="CQ228" s="683"/>
      <c r="CR228" s="683"/>
      <c r="CS228" s="683"/>
      <c r="CT228" s="683"/>
      <c r="CU228" s="683"/>
      <c r="CV228" s="683"/>
      <c r="CW228" s="683"/>
      <c r="CX228" s="683"/>
      <c r="CY228" s="683"/>
      <c r="CZ228" s="683"/>
      <c r="DA228" s="683"/>
      <c r="DB228" s="683"/>
      <c r="DC228" s="683"/>
      <c r="DD228" s="683"/>
      <c r="DE228" s="683"/>
      <c r="DF228" s="683"/>
      <c r="DG228" s="683"/>
      <c r="DH228" s="683"/>
      <c r="DI228" s="683"/>
      <c r="DJ228" s="683"/>
      <c r="DK228" s="683"/>
      <c r="DL228" s="683"/>
      <c r="DM228" s="683"/>
      <c r="DN228" s="683"/>
      <c r="DO228" s="683"/>
      <c r="DP228" s="683"/>
      <c r="AMJ228" s="504"/>
    </row>
    <row r="229" s="826" customFormat="true" ht="14.15" hidden="true" customHeight="true" outlineLevel="0" collapsed="false">
      <c r="A229" s="795"/>
      <c r="B229" s="813" t="n">
        <f aca="false">B228+1</f>
        <v>14</v>
      </c>
      <c r="C229" s="814" t="n">
        <f aca="false">C228+D229</f>
        <v>701.265181455075</v>
      </c>
      <c r="D229" s="815" t="n">
        <f aca="false">E229*$E$205*M229</f>
        <v>79.5600559794448</v>
      </c>
      <c r="E229" s="601" t="n">
        <f aca="false">E230+(5*$C$203/B229)</f>
        <v>5.04566565064972</v>
      </c>
      <c r="F229" s="816" t="n">
        <f aca="false">F228+1</f>
        <v>14</v>
      </c>
      <c r="G229" s="775" t="n">
        <f aca="false">C229</f>
        <v>701.265181455075</v>
      </c>
      <c r="H229" s="817" t="n">
        <f aca="false">1000*(E229-E228)</f>
        <v>38.4615384615383</v>
      </c>
      <c r="I229" s="502"/>
      <c r="J229" s="818" t="n">
        <f aca="false">1000*(E229-$E$215)/(B229-$B$215)</f>
        <v>113.576205540491</v>
      </c>
      <c r="K229" s="732" t="n">
        <f aca="false">AVERAGE($E$216:E229)</f>
        <v>4.58137993636401</v>
      </c>
      <c r="L229" s="819" t="n">
        <f aca="false">L228+1</f>
        <v>14</v>
      </c>
      <c r="M229" s="820" t="n">
        <f aca="false">IF(B229&lt;$E$104,$E$105,$E$106)</f>
        <v>3</v>
      </c>
      <c r="N229" s="821" t="n">
        <f aca="false">IF(B229&lt;$E$104,$E$105,$E$111)</f>
        <v>2.5</v>
      </c>
      <c r="O229" s="822" t="n">
        <f aca="false">E229*$E$205*N229</f>
        <v>66.3000466495374</v>
      </c>
      <c r="P229" s="823" t="n">
        <f aca="false">P228+O229</f>
        <v>636.068251588755</v>
      </c>
      <c r="Q229" s="606" t="n">
        <f aca="false">Q228+1</f>
        <v>14</v>
      </c>
      <c r="R229" s="824" t="n">
        <f aca="false">R228-1</f>
        <v>-14</v>
      </c>
      <c r="S229" s="825" t="n">
        <f aca="false">D229</f>
        <v>79.5600559794448</v>
      </c>
      <c r="T229" s="825" t="n">
        <f aca="false">O229</f>
        <v>66.3000466495374</v>
      </c>
      <c r="U229" s="502"/>
      <c r="V229" s="502"/>
      <c r="W229" s="683"/>
      <c r="X229" s="683"/>
      <c r="Y229" s="683"/>
      <c r="Z229" s="683"/>
      <c r="AA229" s="683"/>
      <c r="AB229" s="683"/>
      <c r="AC229" s="683"/>
      <c r="AD229" s="683"/>
      <c r="AE229" s="683"/>
      <c r="AF229" s="683"/>
      <c r="AG229" s="683"/>
      <c r="AH229" s="683"/>
      <c r="AI229" s="683"/>
      <c r="AJ229" s="683"/>
      <c r="AK229" s="683"/>
      <c r="AL229" s="683"/>
      <c r="AM229" s="683"/>
      <c r="AN229" s="683"/>
      <c r="AO229" s="683"/>
      <c r="AP229" s="683"/>
      <c r="AQ229" s="683"/>
      <c r="AR229" s="683"/>
      <c r="AS229" s="683"/>
      <c r="AT229" s="683"/>
      <c r="AU229" s="683"/>
      <c r="AV229" s="684"/>
      <c r="AW229" s="683"/>
      <c r="AX229" s="683"/>
      <c r="AY229" s="683"/>
      <c r="AZ229" s="683"/>
      <c r="BA229" s="683"/>
      <c r="BB229" s="683"/>
      <c r="BC229" s="683"/>
      <c r="BD229" s="683"/>
      <c r="BE229" s="683"/>
      <c r="BF229" s="683"/>
      <c r="BG229" s="683"/>
      <c r="BH229" s="683"/>
      <c r="BI229" s="683"/>
      <c r="BJ229" s="683"/>
      <c r="BK229" s="683"/>
      <c r="BL229" s="683"/>
      <c r="BM229" s="683"/>
      <c r="BN229" s="683"/>
      <c r="BO229" s="683"/>
      <c r="BP229" s="683"/>
      <c r="BQ229" s="683"/>
      <c r="BR229" s="683"/>
      <c r="BS229" s="683"/>
      <c r="BT229" s="683"/>
      <c r="BU229" s="683"/>
      <c r="BV229" s="683"/>
      <c r="BW229" s="683"/>
      <c r="BX229" s="683"/>
      <c r="BY229" s="683"/>
      <c r="BZ229" s="683"/>
      <c r="CA229" s="683"/>
      <c r="CB229" s="683"/>
      <c r="CC229" s="683"/>
      <c r="CD229" s="683"/>
      <c r="CE229" s="683"/>
      <c r="CF229" s="683"/>
      <c r="CG229" s="683"/>
      <c r="CH229" s="683"/>
      <c r="CI229" s="683"/>
      <c r="CJ229" s="683"/>
      <c r="CK229" s="683"/>
      <c r="CL229" s="683"/>
      <c r="CM229" s="683"/>
      <c r="CN229" s="683"/>
      <c r="CO229" s="683"/>
      <c r="CP229" s="683"/>
      <c r="CQ229" s="683"/>
      <c r="CR229" s="683"/>
      <c r="CS229" s="683"/>
      <c r="CT229" s="683"/>
      <c r="CU229" s="683"/>
      <c r="CV229" s="683"/>
      <c r="CW229" s="683"/>
      <c r="CX229" s="683"/>
      <c r="CY229" s="683"/>
      <c r="CZ229" s="683"/>
      <c r="DA229" s="683"/>
      <c r="DB229" s="683"/>
      <c r="DC229" s="683"/>
      <c r="DD229" s="683"/>
      <c r="DE229" s="683"/>
      <c r="DF229" s="683"/>
      <c r="DG229" s="683"/>
      <c r="DH229" s="683"/>
      <c r="DI229" s="683"/>
      <c r="DJ229" s="683"/>
      <c r="DK229" s="683"/>
      <c r="DL229" s="683"/>
      <c r="DM229" s="683"/>
      <c r="DN229" s="683"/>
      <c r="DO229" s="683"/>
      <c r="DP229" s="683"/>
      <c r="AMJ229" s="504"/>
    </row>
    <row r="230" s="826" customFormat="true" ht="14.15" hidden="true" customHeight="true" outlineLevel="0" collapsed="false">
      <c r="A230" s="795"/>
      <c r="B230" s="813" t="n">
        <f aca="false">B229+1</f>
        <v>15</v>
      </c>
      <c r="C230" s="814" t="n">
        <f aca="false">C229+D230</f>
        <v>781.388380291663</v>
      </c>
      <c r="D230" s="815" t="n">
        <f aca="false">E230*$E$205*M230</f>
        <v>80.1231988365877</v>
      </c>
      <c r="E230" s="601" t="n">
        <f aca="false">E231+(5*$C$203/B230)</f>
        <v>5.08137993636401</v>
      </c>
      <c r="F230" s="816" t="n">
        <f aca="false">F229+1</f>
        <v>15</v>
      </c>
      <c r="G230" s="775" t="n">
        <f aca="false">C230</f>
        <v>781.388380291663</v>
      </c>
      <c r="H230" s="817" t="n">
        <f aca="false">1000*(E230-E229)</f>
        <v>35.7142857142856</v>
      </c>
      <c r="I230" s="502"/>
      <c r="J230" s="818" t="n">
        <f aca="false">1000*(E230-$E$215)/(B230-$B$215)</f>
        <v>108.385410885411</v>
      </c>
      <c r="K230" s="732" t="n">
        <f aca="false">AVERAGE($E$216:E230)</f>
        <v>4.61471326969734</v>
      </c>
      <c r="L230" s="819" t="n">
        <f aca="false">L229+1</f>
        <v>15</v>
      </c>
      <c r="M230" s="820" t="n">
        <f aca="false">IF(B230&lt;$E$104,$E$105,$E$106)</f>
        <v>3</v>
      </c>
      <c r="N230" s="821" t="n">
        <f aca="false">IF(B230&lt;$E$104,$E$105,$E$111)</f>
        <v>2.5</v>
      </c>
      <c r="O230" s="822" t="n">
        <f aca="false">E230*$E$205*N230</f>
        <v>66.7693323638231</v>
      </c>
      <c r="P230" s="823" t="n">
        <f aca="false">P229+O230</f>
        <v>702.837583952578</v>
      </c>
      <c r="Q230" s="606" t="n">
        <f aca="false">Q229+1</f>
        <v>15</v>
      </c>
      <c r="R230" s="824" t="n">
        <f aca="false">R229-1</f>
        <v>-15</v>
      </c>
      <c r="S230" s="825" t="n">
        <f aca="false">D230</f>
        <v>80.1231988365877</v>
      </c>
      <c r="T230" s="825" t="n">
        <f aca="false">O230</f>
        <v>66.7693323638231</v>
      </c>
      <c r="U230" s="502"/>
      <c r="V230" s="502"/>
      <c r="W230" s="683"/>
      <c r="X230" s="683"/>
      <c r="Y230" s="683"/>
      <c r="Z230" s="683"/>
      <c r="AA230" s="683"/>
      <c r="AB230" s="683"/>
      <c r="AC230" s="683"/>
      <c r="AD230" s="683"/>
      <c r="AE230" s="683"/>
      <c r="AF230" s="683"/>
      <c r="AG230" s="683"/>
      <c r="AH230" s="683"/>
      <c r="AI230" s="683"/>
      <c r="AJ230" s="683"/>
      <c r="AK230" s="683"/>
      <c r="AL230" s="683"/>
      <c r="AM230" s="683"/>
      <c r="AN230" s="683"/>
      <c r="AO230" s="683"/>
      <c r="AP230" s="683"/>
      <c r="AQ230" s="683"/>
      <c r="AR230" s="683"/>
      <c r="AS230" s="683"/>
      <c r="AT230" s="683"/>
      <c r="AU230" s="683"/>
      <c r="AV230" s="684"/>
      <c r="AW230" s="683"/>
      <c r="AX230" s="683"/>
      <c r="AY230" s="683"/>
      <c r="AZ230" s="683"/>
      <c r="BA230" s="683"/>
      <c r="BB230" s="683"/>
      <c r="BC230" s="683"/>
      <c r="BD230" s="683"/>
      <c r="BE230" s="683"/>
      <c r="BF230" s="683"/>
      <c r="BG230" s="683"/>
      <c r="BH230" s="683"/>
      <c r="BI230" s="683"/>
      <c r="BJ230" s="683"/>
      <c r="BK230" s="683"/>
      <c r="BL230" s="683"/>
      <c r="BM230" s="683"/>
      <c r="BN230" s="683"/>
      <c r="BO230" s="683"/>
      <c r="BP230" s="683"/>
      <c r="BQ230" s="683"/>
      <c r="BR230" s="683"/>
      <c r="BS230" s="683"/>
      <c r="BT230" s="683"/>
      <c r="BU230" s="683"/>
      <c r="BV230" s="683"/>
      <c r="BW230" s="683"/>
      <c r="BX230" s="683"/>
      <c r="BY230" s="683"/>
      <c r="BZ230" s="683"/>
      <c r="CA230" s="683"/>
      <c r="CB230" s="683"/>
      <c r="CC230" s="683"/>
      <c r="CD230" s="683"/>
      <c r="CE230" s="683"/>
      <c r="CF230" s="683"/>
      <c r="CG230" s="683"/>
      <c r="CH230" s="683"/>
      <c r="CI230" s="683"/>
      <c r="CJ230" s="683"/>
      <c r="CK230" s="683"/>
      <c r="CL230" s="683"/>
      <c r="CM230" s="683"/>
      <c r="CN230" s="683"/>
      <c r="CO230" s="683"/>
      <c r="CP230" s="683"/>
      <c r="CQ230" s="683"/>
      <c r="CR230" s="683"/>
      <c r="CS230" s="683"/>
      <c r="CT230" s="683"/>
      <c r="CU230" s="683"/>
      <c r="CV230" s="683"/>
      <c r="CW230" s="683"/>
      <c r="CX230" s="683"/>
      <c r="CY230" s="683"/>
      <c r="CZ230" s="683"/>
      <c r="DA230" s="683"/>
      <c r="DB230" s="683"/>
      <c r="DC230" s="683"/>
      <c r="DD230" s="683"/>
      <c r="DE230" s="683"/>
      <c r="DF230" s="683"/>
      <c r="DG230" s="683"/>
      <c r="DH230" s="683"/>
      <c r="DI230" s="683"/>
      <c r="DJ230" s="683"/>
      <c r="DK230" s="683"/>
      <c r="DL230" s="683"/>
      <c r="DM230" s="683"/>
      <c r="DN230" s="683"/>
      <c r="DO230" s="683"/>
      <c r="DP230" s="683"/>
      <c r="AMJ230" s="504"/>
    </row>
    <row r="231" s="504" customFormat="true" ht="14.15" hidden="true" customHeight="true" outlineLevel="0" collapsed="false">
      <c r="A231" s="795"/>
      <c r="B231" s="813" t="n">
        <f aca="false">B230+1</f>
        <v>16</v>
      </c>
      <c r="C231" s="814" t="n">
        <f aca="false">C230+D231</f>
        <v>862.037179128251</v>
      </c>
      <c r="D231" s="815" t="n">
        <f aca="false">E231*$E$205*M231</f>
        <v>80.6487988365877</v>
      </c>
      <c r="E231" s="601" t="n">
        <f aca="false">E232+(5*$C$203/B231)</f>
        <v>5.11471326969734</v>
      </c>
      <c r="F231" s="816" t="n">
        <f aca="false">F230+1</f>
        <v>16</v>
      </c>
      <c r="G231" s="775" t="n">
        <f aca="false">C231</f>
        <v>862.037179128251</v>
      </c>
      <c r="H231" s="817" t="n">
        <f aca="false">1000*(E231-E230)</f>
        <v>33.3333333333332</v>
      </c>
      <c r="I231" s="502"/>
      <c r="J231" s="818" t="n">
        <f aca="false">1000*(E231-$E$215)/(B231-$B$215)</f>
        <v>103.694656038406</v>
      </c>
      <c r="K231" s="732" t="n">
        <f aca="false">AVERAGE($E$216:E231)</f>
        <v>4.64596326969734</v>
      </c>
      <c r="L231" s="819" t="n">
        <f aca="false">L230+1</f>
        <v>16</v>
      </c>
      <c r="M231" s="820" t="n">
        <f aca="false">IF(B231&lt;$E$104,$E$105,$E$106)</f>
        <v>3</v>
      </c>
      <c r="N231" s="821" t="n">
        <f aca="false">IF(B231&lt;$E$104,$E$105,$E$111)</f>
        <v>2.5</v>
      </c>
      <c r="O231" s="822" t="n">
        <f aca="false">E231*$E$205*N231</f>
        <v>67.2073323638231</v>
      </c>
      <c r="P231" s="823" t="n">
        <f aca="false">P230+O231</f>
        <v>770.044916316401</v>
      </c>
      <c r="Q231" s="606" t="n">
        <f aca="false">Q230+1</f>
        <v>16</v>
      </c>
      <c r="R231" s="824" t="n">
        <f aca="false">R230-1</f>
        <v>-16</v>
      </c>
      <c r="S231" s="825" t="n">
        <f aca="false">D231</f>
        <v>80.6487988365877</v>
      </c>
      <c r="T231" s="825" t="n">
        <f aca="false">O231</f>
        <v>67.2073323638231</v>
      </c>
      <c r="U231" s="502"/>
      <c r="V231" s="502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8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</row>
    <row r="232" s="504" customFormat="true" ht="14.15" hidden="true" customHeight="true" outlineLevel="0" collapsed="false">
      <c r="A232" s="795"/>
      <c r="B232" s="813" t="n">
        <f aca="false">B231+1</f>
        <v>17</v>
      </c>
      <c r="C232" s="814" t="n">
        <f aca="false">C231+D232</f>
        <v>943.178727964839</v>
      </c>
      <c r="D232" s="815" t="n">
        <f aca="false">E232*$E$205*M232</f>
        <v>81.1415488365877</v>
      </c>
      <c r="E232" s="601" t="n">
        <f aca="false">E233+(5*$C$203/B232)</f>
        <v>5.14596326969734</v>
      </c>
      <c r="F232" s="816" t="n">
        <f aca="false">F231+1</f>
        <v>17</v>
      </c>
      <c r="G232" s="775" t="n">
        <f aca="false">C232</f>
        <v>943.178727964839</v>
      </c>
      <c r="H232" s="817" t="n">
        <f aca="false">1000*(E232-E231)</f>
        <v>31.25</v>
      </c>
      <c r="I232" s="502"/>
      <c r="J232" s="818" t="n">
        <f aca="false">1000*(E232-$E$215)/(B232-$B$215)</f>
        <v>99.4332056832056</v>
      </c>
      <c r="K232" s="732" t="n">
        <f aca="false">AVERAGE($E$216:E232)</f>
        <v>4.67537503440323</v>
      </c>
      <c r="L232" s="819" t="n">
        <f aca="false">L231+1</f>
        <v>17</v>
      </c>
      <c r="M232" s="820" t="n">
        <f aca="false">IF(B232&lt;$E$104,$E$105,$E$106)</f>
        <v>3</v>
      </c>
      <c r="N232" s="821" t="n">
        <f aca="false">IF(B232&lt;$E$104,$E$105,$E$111)</f>
        <v>2.5</v>
      </c>
      <c r="O232" s="822" t="n">
        <f aca="false">E232*$E$205*N232</f>
        <v>67.6179573638231</v>
      </c>
      <c r="P232" s="823" t="n">
        <f aca="false">P231+O232</f>
        <v>837.662873680224</v>
      </c>
      <c r="Q232" s="606" t="n">
        <f aca="false">Q231+1</f>
        <v>17</v>
      </c>
      <c r="R232" s="824" t="n">
        <f aca="false">R231-1</f>
        <v>-17</v>
      </c>
      <c r="S232" s="825" t="n">
        <f aca="false">D232</f>
        <v>81.1415488365877</v>
      </c>
      <c r="T232" s="825" t="n">
        <f aca="false">O232</f>
        <v>67.6179573638231</v>
      </c>
      <c r="U232" s="502"/>
      <c r="V232" s="502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8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</row>
    <row r="233" s="504" customFormat="true" ht="14.15" hidden="true" customHeight="true" outlineLevel="0" collapsed="false">
      <c r="A233" s="795"/>
      <c r="B233" s="813" t="n">
        <f aca="false">B232+1</f>
        <v>18</v>
      </c>
      <c r="C233" s="814" t="n">
        <f aca="false">C232+D233</f>
        <v>1024.78404150731</v>
      </c>
      <c r="D233" s="815" t="n">
        <f aca="false">E233*$E$205*M233</f>
        <v>81.60531354247</v>
      </c>
      <c r="E233" s="601" t="n">
        <f aca="false">E234+(5*$C$203/B233)</f>
        <v>5.17537503440322</v>
      </c>
      <c r="F233" s="816" t="n">
        <f aca="false">F232+1</f>
        <v>18</v>
      </c>
      <c r="G233" s="775" t="n">
        <f aca="false">C233</f>
        <v>1024.78404150731</v>
      </c>
      <c r="H233" s="817" t="n">
        <f aca="false">1000*(E233-E232)</f>
        <v>29.4117647058822</v>
      </c>
      <c r="I233" s="502"/>
      <c r="J233" s="818" t="n">
        <f aca="false">1000*(E233-$E$215)/(B233-$B$215)</f>
        <v>95.5431256289099</v>
      </c>
      <c r="K233" s="732" t="n">
        <f aca="false">AVERAGE($E$216:E233)</f>
        <v>4.703152812181</v>
      </c>
      <c r="L233" s="819" t="n">
        <f aca="false">L232+1</f>
        <v>18</v>
      </c>
      <c r="M233" s="820" t="n">
        <f aca="false">IF(B233&lt;$E$104,$E$105,$E$106)</f>
        <v>3</v>
      </c>
      <c r="N233" s="821" t="n">
        <f aca="false">IF(B233&lt;$E$104,$E$105,$E$111)</f>
        <v>2.5</v>
      </c>
      <c r="O233" s="822" t="n">
        <f aca="false">E233*$E$205*N233</f>
        <v>68.0044279520584</v>
      </c>
      <c r="P233" s="823" t="n">
        <f aca="false">P232+O233</f>
        <v>905.667301632283</v>
      </c>
      <c r="Q233" s="606" t="n">
        <f aca="false">Q232+1</f>
        <v>18</v>
      </c>
      <c r="R233" s="824" t="n">
        <f aca="false">R232-1</f>
        <v>-18</v>
      </c>
      <c r="S233" s="825" t="n">
        <f aca="false">D233</f>
        <v>81.60531354247</v>
      </c>
      <c r="T233" s="825" t="n">
        <f aca="false">O233</f>
        <v>68.0044279520584</v>
      </c>
      <c r="U233" s="502"/>
      <c r="V233" s="502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8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</row>
    <row r="234" s="504" customFormat="true" ht="14.15" hidden="true" customHeight="true" outlineLevel="0" collapsed="false">
      <c r="A234" s="795"/>
      <c r="B234" s="813" t="n">
        <f aca="false">B233+1</f>
        <v>19</v>
      </c>
      <c r="C234" s="814" t="n">
        <f aca="false">C233+D234</f>
        <v>1106.82735504978</v>
      </c>
      <c r="D234" s="815" t="n">
        <f aca="false">E234*$E$205*M234</f>
        <v>82.0433135424701</v>
      </c>
      <c r="E234" s="601" t="n">
        <f aca="false">E235+(5*$C$203/B234)</f>
        <v>5.203152812181</v>
      </c>
      <c r="F234" s="816" t="n">
        <f aca="false">F233+1</f>
        <v>19</v>
      </c>
      <c r="G234" s="775" t="n">
        <f aca="false">C234</f>
        <v>1106.82735504978</v>
      </c>
      <c r="H234" s="817" t="n">
        <f aca="false">1000*(E234-E233)</f>
        <v>27.7777777777777</v>
      </c>
      <c r="I234" s="502"/>
      <c r="J234" s="818" t="n">
        <f aca="false">1000*(E234-$E$215)/(B234-$B$215)</f>
        <v>91.9765283735872</v>
      </c>
      <c r="K234" s="732" t="n">
        <f aca="false">AVERAGE($E$216:E234)</f>
        <v>4.72946860165469</v>
      </c>
      <c r="L234" s="819" t="n">
        <f aca="false">L233+1</f>
        <v>19</v>
      </c>
      <c r="M234" s="820" t="n">
        <f aca="false">IF(B234&lt;$E$104,$E$105,$E$106)</f>
        <v>3</v>
      </c>
      <c r="N234" s="821" t="n">
        <f aca="false">IF(B234&lt;$E$104,$E$105,$E$111)</f>
        <v>2.5</v>
      </c>
      <c r="O234" s="822" t="n">
        <f aca="false">E234*$E$205*N234</f>
        <v>68.3694279520584</v>
      </c>
      <c r="P234" s="823" t="n">
        <f aca="false">P233+O234</f>
        <v>974.036729584341</v>
      </c>
      <c r="Q234" s="606" t="n">
        <f aca="false">Q233+1</f>
        <v>19</v>
      </c>
      <c r="R234" s="824" t="n">
        <f aca="false">R233-1</f>
        <v>-19</v>
      </c>
      <c r="S234" s="825" t="n">
        <f aca="false">D234</f>
        <v>82.0433135424701</v>
      </c>
      <c r="T234" s="825" t="n">
        <f aca="false">O234</f>
        <v>68.3694279520584</v>
      </c>
      <c r="U234" s="502"/>
      <c r="V234" s="502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8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</row>
    <row r="235" s="504" customFormat="true" ht="14.15" hidden="true" customHeight="true" outlineLevel="0" collapsed="false">
      <c r="A235" s="795"/>
      <c r="B235" s="827" t="n">
        <f aca="false">B234+1</f>
        <v>20</v>
      </c>
      <c r="C235" s="768" t="n">
        <f aca="false">C234+D235</f>
        <v>1189.28561596067</v>
      </c>
      <c r="D235" s="828" t="n">
        <f aca="false">E235*$E$205*M235</f>
        <v>82.4582609108911</v>
      </c>
      <c r="E235" s="787" t="n">
        <f aca="false">D204</f>
        <v>5.22946860165469</v>
      </c>
      <c r="F235" s="829" t="n">
        <f aca="false">F234+1</f>
        <v>20</v>
      </c>
      <c r="G235" s="830" t="n">
        <f aca="false">C235</f>
        <v>1189.28561596067</v>
      </c>
      <c r="H235" s="831" t="n">
        <f aca="false">1000*(E235-E234)</f>
        <v>26.3157894736841</v>
      </c>
      <c r="I235" s="741"/>
      <c r="J235" s="832" t="n">
        <f aca="false">1000*(E235-$E$215)/(B235-$B$215)</f>
        <v>88.693491428592</v>
      </c>
      <c r="K235" s="787" t="n">
        <f aca="false">AVERAGE($E$216:E235)</f>
        <v>4.75446860165469</v>
      </c>
      <c r="L235" s="833" t="n">
        <f aca="false">L234+1</f>
        <v>20</v>
      </c>
      <c r="M235" s="834" t="n">
        <f aca="false">IF(B235&lt;$E$104,$E$105,$E$106)</f>
        <v>3</v>
      </c>
      <c r="N235" s="835" t="n">
        <f aca="false">IF(B235&lt;$E$104,$E$105,$E$111)</f>
        <v>2.5</v>
      </c>
      <c r="O235" s="836" t="n">
        <f aca="false">E235*$E$205*N235</f>
        <v>68.7152174257426</v>
      </c>
      <c r="P235" s="837" t="n">
        <f aca="false">P234+O235</f>
        <v>1042.75194701008</v>
      </c>
      <c r="Q235" s="742" t="n">
        <f aca="false">Q234+1</f>
        <v>20</v>
      </c>
      <c r="R235" s="838" t="n">
        <f aca="false">R234-1</f>
        <v>-20</v>
      </c>
      <c r="S235" s="839" t="n">
        <f aca="false">D235</f>
        <v>82.4582609108911</v>
      </c>
      <c r="T235" s="839" t="n">
        <f aca="false">O235</f>
        <v>68.7152174257426</v>
      </c>
      <c r="U235" s="502"/>
      <c r="V235" s="502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8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</row>
    <row r="236" s="504" customFormat="true" ht="14.15" hidden="true" customHeight="true" outlineLevel="0" collapsed="false">
      <c r="A236" s="795"/>
      <c r="B236" s="813" t="n">
        <f aca="false">B235+1</f>
        <v>21</v>
      </c>
      <c r="C236" s="814" t="n">
        <f aca="false">C235+D236</f>
        <v>1271.90155687156</v>
      </c>
      <c r="D236" s="815" t="n">
        <f aca="false">E236*$E$205*M236</f>
        <v>82.6159409108911</v>
      </c>
      <c r="E236" s="601" t="n">
        <f aca="false">E235+$C$204</f>
        <v>5.23946860165469</v>
      </c>
      <c r="F236" s="816" t="n">
        <f aca="false">F235+1</f>
        <v>21</v>
      </c>
      <c r="G236" s="775" t="n">
        <f aca="false">C236</f>
        <v>1271.90155687156</v>
      </c>
      <c r="H236" s="817" t="n">
        <f aca="false">1000*(E236-E235)</f>
        <v>9.99999999999979</v>
      </c>
      <c r="I236" s="502"/>
      <c r="J236" s="818" t="n">
        <f aca="false">1000*(E236-$E$215)/(B236-$B$215)</f>
        <v>84.9461823129447</v>
      </c>
      <c r="K236" s="732" t="n">
        <f aca="false">AVERAGE($E$216:E236)</f>
        <v>4.77756383974992</v>
      </c>
      <c r="L236" s="819" t="n">
        <f aca="false">L235+1</f>
        <v>21</v>
      </c>
      <c r="M236" s="820" t="n">
        <f aca="false">IF(B236&lt;$E$104,$E$105,$E$106)</f>
        <v>3</v>
      </c>
      <c r="N236" s="821" t="n">
        <f aca="false">IF(B236&lt;$E$104,$E$105,$E$111)</f>
        <v>2.5</v>
      </c>
      <c r="O236" s="822" t="n">
        <f aca="false">E236*$E$205*N236</f>
        <v>68.8466174257426</v>
      </c>
      <c r="P236" s="823" t="n">
        <f aca="false">P235+O236</f>
        <v>1111.59856443583</v>
      </c>
      <c r="Q236" s="606" t="n">
        <f aca="false">Q235+1</f>
        <v>21</v>
      </c>
      <c r="R236" s="824" t="n">
        <f aca="false">R235-1</f>
        <v>-21</v>
      </c>
      <c r="S236" s="825" t="n">
        <f aca="false">D236</f>
        <v>82.6159409108911</v>
      </c>
      <c r="T236" s="825" t="n">
        <f aca="false">O236</f>
        <v>68.8466174257426</v>
      </c>
      <c r="U236" s="502"/>
      <c r="V236" s="502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8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</row>
    <row r="237" s="504" customFormat="true" ht="14.1" hidden="true" customHeight="true" outlineLevel="0" collapsed="false">
      <c r="A237" s="795"/>
      <c r="B237" s="813" t="n">
        <f aca="false">B236+1</f>
        <v>22</v>
      </c>
      <c r="C237" s="814" t="n">
        <f aca="false">C236+D237</f>
        <v>1354.67517778245</v>
      </c>
      <c r="D237" s="815" t="n">
        <f aca="false">E237*$E$205*M237</f>
        <v>82.7736209108911</v>
      </c>
      <c r="E237" s="601" t="n">
        <f aca="false">E236+$C$204</f>
        <v>5.24946860165469</v>
      </c>
      <c r="F237" s="816" t="n">
        <f aca="false">F236+1</f>
        <v>22</v>
      </c>
      <c r="G237" s="775" t="n">
        <f aca="false">C237</f>
        <v>1354.67517778245</v>
      </c>
      <c r="H237" s="817" t="n">
        <f aca="false">1000*(E237-E236)</f>
        <v>9.99999999999979</v>
      </c>
      <c r="I237" s="502"/>
      <c r="J237" s="818" t="n">
        <f aca="false">1000*(E237-$E$215)/(B237-$B$215)</f>
        <v>81.5395376623563</v>
      </c>
      <c r="K237" s="732" t="n">
        <f aca="false">AVERAGE($E$216:E237)</f>
        <v>4.79901405620014</v>
      </c>
      <c r="L237" s="819" t="n">
        <f aca="false">L236+1</f>
        <v>22</v>
      </c>
      <c r="M237" s="820" t="n">
        <f aca="false">IF(B237&lt;$E$104,$E$105,$E$106)</f>
        <v>3</v>
      </c>
      <c r="N237" s="821" t="n">
        <f aca="false">IF(B237&lt;$E$104,$E$105,$E$111)</f>
        <v>2.5</v>
      </c>
      <c r="O237" s="822" t="n">
        <f aca="false">E237*$E$205*N237</f>
        <v>68.9780174257426</v>
      </c>
      <c r="P237" s="823" t="n">
        <f aca="false">P236+O237</f>
        <v>1180.57658186157</v>
      </c>
      <c r="Q237" s="606" t="n">
        <f aca="false">Q236+1</f>
        <v>22</v>
      </c>
      <c r="R237" s="824" t="n">
        <f aca="false">R236-1</f>
        <v>-22</v>
      </c>
      <c r="S237" s="825" t="n">
        <f aca="false">D237</f>
        <v>82.7736209108911</v>
      </c>
      <c r="T237" s="825" t="n">
        <f aca="false">O237</f>
        <v>68.9780174257426</v>
      </c>
      <c r="U237" s="502"/>
      <c r="V237" s="502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8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</row>
    <row r="238" s="504" customFormat="true" ht="14.1" hidden="true" customHeight="true" outlineLevel="0" collapsed="false">
      <c r="A238" s="795"/>
      <c r="B238" s="813" t="n">
        <f aca="false">B237+1</f>
        <v>23</v>
      </c>
      <c r="C238" s="814" t="n">
        <f aca="false">C237+D238</f>
        <v>1437.60647869334</v>
      </c>
      <c r="D238" s="815" t="n">
        <f aca="false">E238*$E$205*M238</f>
        <v>82.9313009108911</v>
      </c>
      <c r="E238" s="601" t="n">
        <f aca="false">E237+$C$204</f>
        <v>5.25946860165469</v>
      </c>
      <c r="F238" s="816" t="n">
        <f aca="false">F237+1</f>
        <v>23</v>
      </c>
      <c r="G238" s="775" t="n">
        <f aca="false">C238</f>
        <v>1437.60647869334</v>
      </c>
      <c r="H238" s="817" t="n">
        <f aca="false">1000*(E238-E237)</f>
        <v>9.99999999999979</v>
      </c>
      <c r="I238" s="502"/>
      <c r="J238" s="818" t="n">
        <f aca="false">1000*(E238-$E$215)/(B238-$B$215)</f>
        <v>78.4291229813843</v>
      </c>
      <c r="K238" s="732" t="n">
        <f aca="false">AVERAGE($E$216:E238)</f>
        <v>4.81903381904599</v>
      </c>
      <c r="L238" s="819" t="n">
        <f aca="false">L237+1</f>
        <v>23</v>
      </c>
      <c r="M238" s="820" t="n">
        <f aca="false">IF(B238&lt;$E$104,$E$105,$E$106)</f>
        <v>3</v>
      </c>
      <c r="N238" s="821" t="n">
        <f aca="false">IF(B238&lt;$E$104,$E$105,$E$111)</f>
        <v>2.5</v>
      </c>
      <c r="O238" s="822" t="n">
        <f aca="false">E238*$E$205*N238</f>
        <v>69.1094174257426</v>
      </c>
      <c r="P238" s="823" t="n">
        <f aca="false">P237+O238</f>
        <v>1249.68599928731</v>
      </c>
      <c r="Q238" s="606" t="n">
        <f aca="false">Q237+1</f>
        <v>23</v>
      </c>
      <c r="R238" s="824" t="n">
        <f aca="false">R237-1</f>
        <v>-23</v>
      </c>
      <c r="S238" s="825" t="n">
        <f aca="false">D238</f>
        <v>82.9313009108911</v>
      </c>
      <c r="T238" s="825" t="n">
        <f aca="false">O238</f>
        <v>69.1094174257426</v>
      </c>
      <c r="U238" s="502"/>
      <c r="V238" s="502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8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</row>
    <row r="239" s="504" customFormat="true" ht="14.1" hidden="true" customHeight="true" outlineLevel="0" collapsed="false">
      <c r="A239" s="795"/>
      <c r="B239" s="813" t="n">
        <f aca="false">B238+1</f>
        <v>24</v>
      </c>
      <c r="C239" s="814" t="n">
        <f aca="false">C238+D239</f>
        <v>1520.69545960423</v>
      </c>
      <c r="D239" s="815" t="n">
        <f aca="false">E239*$E$205*M239</f>
        <v>83.0889809108911</v>
      </c>
      <c r="E239" s="601" t="n">
        <f aca="false">E238+$C$204</f>
        <v>5.26946860165469</v>
      </c>
      <c r="F239" s="816" t="n">
        <f aca="false">F238+1</f>
        <v>24</v>
      </c>
      <c r="G239" s="775" t="n">
        <f aca="false">C239</f>
        <v>1520.69545960423</v>
      </c>
      <c r="H239" s="817" t="n">
        <f aca="false">1000*(E239-E238)</f>
        <v>9.99999999999979</v>
      </c>
      <c r="I239" s="502"/>
      <c r="J239" s="818" t="n">
        <f aca="false">1000*(E239-$E$215)/(B239-$B$215)</f>
        <v>75.5779095238266</v>
      </c>
      <c r="K239" s="732" t="n">
        <f aca="false">AVERAGE($E$216:E239)</f>
        <v>4.83780193498802</v>
      </c>
      <c r="L239" s="819" t="n">
        <f aca="false">L238+1</f>
        <v>24</v>
      </c>
      <c r="M239" s="820" t="n">
        <f aca="false">IF(B239&lt;$E$104,$E$105,$E$106)</f>
        <v>3</v>
      </c>
      <c r="N239" s="821" t="n">
        <f aca="false">IF(B239&lt;$E$104,$E$105,$E$111)</f>
        <v>2.5</v>
      </c>
      <c r="O239" s="822" t="n">
        <f aca="false">E239*$E$205*N239</f>
        <v>69.2408174257426</v>
      </c>
      <c r="P239" s="823" t="n">
        <f aca="false">P238+O239</f>
        <v>1318.92681671305</v>
      </c>
      <c r="Q239" s="606" t="n">
        <f aca="false">Q238+1</f>
        <v>24</v>
      </c>
      <c r="R239" s="824" t="n">
        <f aca="false">R238-1</f>
        <v>-24</v>
      </c>
      <c r="S239" s="825" t="n">
        <f aca="false">D239</f>
        <v>83.0889809108911</v>
      </c>
      <c r="T239" s="825" t="n">
        <f aca="false">O239</f>
        <v>69.2408174257426</v>
      </c>
      <c r="U239" s="502"/>
      <c r="V239" s="502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8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</row>
    <row r="240" s="504" customFormat="true" ht="14.1" hidden="true" customHeight="true" outlineLevel="0" collapsed="false">
      <c r="A240" s="795"/>
      <c r="B240" s="813" t="n">
        <f aca="false">B239+1</f>
        <v>25</v>
      </c>
      <c r="C240" s="814" t="n">
        <f aca="false">C239+D240</f>
        <v>1603.94212051513</v>
      </c>
      <c r="D240" s="815" t="n">
        <f aca="false">E240*$E$205*M240</f>
        <v>83.2466609108911</v>
      </c>
      <c r="E240" s="601" t="n">
        <f aca="false">E239+$C$204</f>
        <v>5.27946860165469</v>
      </c>
      <c r="F240" s="816" t="n">
        <f aca="false">F239+1</f>
        <v>25</v>
      </c>
      <c r="G240" s="775" t="n">
        <f aca="false">C240</f>
        <v>1603.94212051513</v>
      </c>
      <c r="H240" s="817" t="n">
        <f aca="false">1000*(E240-E239)</f>
        <v>9.99999999999979</v>
      </c>
      <c r="I240" s="502"/>
      <c r="J240" s="818" t="n">
        <f aca="false">1000*(E240-$E$215)/(B240-$B$215)</f>
        <v>72.9547931428736</v>
      </c>
      <c r="K240" s="732" t="n">
        <f aca="false">AVERAGE($E$216:E240)</f>
        <v>4.85546860165469</v>
      </c>
      <c r="L240" s="819" t="n">
        <f aca="false">L239+1</f>
        <v>25</v>
      </c>
      <c r="M240" s="820" t="n">
        <f aca="false">IF(B240&lt;$E$104,$E$105,$E$106)</f>
        <v>3</v>
      </c>
      <c r="N240" s="821" t="n">
        <f aca="false">IF(B240&lt;$E$104,$E$105,$E$111)</f>
        <v>2.5</v>
      </c>
      <c r="O240" s="822" t="n">
        <f aca="false">E240*$E$205*N240</f>
        <v>69.3722174257426</v>
      </c>
      <c r="P240" s="823" t="n">
        <f aca="false">P239+O240</f>
        <v>1388.2990341388</v>
      </c>
      <c r="Q240" s="606" t="n">
        <f aca="false">Q239+1</f>
        <v>25</v>
      </c>
      <c r="R240" s="824" t="n">
        <f aca="false">R239-1</f>
        <v>-25</v>
      </c>
      <c r="S240" s="825" t="n">
        <f aca="false">D240</f>
        <v>83.2466609108911</v>
      </c>
      <c r="T240" s="825" t="n">
        <f aca="false">O240</f>
        <v>69.3722174257426</v>
      </c>
      <c r="U240" s="502"/>
      <c r="V240" s="502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8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</row>
    <row r="241" s="504" customFormat="true" ht="14.1" hidden="true" customHeight="true" outlineLevel="0" collapsed="false">
      <c r="A241" s="795"/>
      <c r="B241" s="813" t="n">
        <f aca="false">B240+1</f>
        <v>26</v>
      </c>
      <c r="C241" s="814" t="n">
        <f aca="false">C240+D241</f>
        <v>1687.34646142602</v>
      </c>
      <c r="D241" s="815" t="n">
        <f aca="false">E241*$E$205*M241</f>
        <v>83.4043409108911</v>
      </c>
      <c r="E241" s="601" t="n">
        <f aca="false">E240+$C$204</f>
        <v>5.28946860165468</v>
      </c>
      <c r="F241" s="816" t="n">
        <f aca="false">F240+1</f>
        <v>26</v>
      </c>
      <c r="G241" s="775" t="n">
        <f aca="false">C241</f>
        <v>1687.34646142602</v>
      </c>
      <c r="H241" s="817" t="n">
        <f aca="false">1000*(E241-E240)</f>
        <v>9.99999999999979</v>
      </c>
      <c r="I241" s="502"/>
      <c r="J241" s="818" t="n">
        <f aca="false">1000*(E241-$E$215)/(B241-$B$215)</f>
        <v>70.5334549450707</v>
      </c>
      <c r="K241" s="732" t="n">
        <f aca="false">AVERAGE($E$216:E241)</f>
        <v>4.87216090934699</v>
      </c>
      <c r="L241" s="819" t="n">
        <f aca="false">L240+1</f>
        <v>26</v>
      </c>
      <c r="M241" s="820" t="n">
        <f aca="false">IF(B241&lt;$E$104,$E$105,$E$106)</f>
        <v>3</v>
      </c>
      <c r="N241" s="821" t="n">
        <f aca="false">IF(B241&lt;$E$104,$E$105,$E$111)</f>
        <v>2.5</v>
      </c>
      <c r="O241" s="822" t="n">
        <f aca="false">E241*$E$205*N241</f>
        <v>69.5036174257426</v>
      </c>
      <c r="P241" s="823" t="n">
        <f aca="false">P240+O241</f>
        <v>1457.80265156454</v>
      </c>
      <c r="Q241" s="606" t="n">
        <f aca="false">Q240+1</f>
        <v>26</v>
      </c>
      <c r="R241" s="824" t="n">
        <f aca="false">R240-1</f>
        <v>-26</v>
      </c>
      <c r="S241" s="825" t="n">
        <f aca="false">D241</f>
        <v>83.4043409108911</v>
      </c>
      <c r="T241" s="825" t="n">
        <f aca="false">O241</f>
        <v>69.5036174257426</v>
      </c>
      <c r="U241" s="502"/>
      <c r="V241" s="502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8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</row>
    <row r="242" s="504" customFormat="true" ht="14.1" hidden="true" customHeight="true" outlineLevel="0" collapsed="false">
      <c r="A242" s="795"/>
      <c r="B242" s="813" t="n">
        <f aca="false">B241+1</f>
        <v>27</v>
      </c>
      <c r="C242" s="814" t="n">
        <f aca="false">C241+D242</f>
        <v>1770.90848233691</v>
      </c>
      <c r="D242" s="815" t="n">
        <f aca="false">E242*$E$205*M242</f>
        <v>83.5620209108911</v>
      </c>
      <c r="E242" s="601" t="n">
        <f aca="false">E241+$C$204</f>
        <v>5.29946860165468</v>
      </c>
      <c r="F242" s="816" t="n">
        <f aca="false">F241+1</f>
        <v>27</v>
      </c>
      <c r="G242" s="775" t="n">
        <f aca="false">C242</f>
        <v>1770.90848233691</v>
      </c>
      <c r="H242" s="817" t="n">
        <f aca="false">1000*(E242-E241)</f>
        <v>9.99999999999979</v>
      </c>
      <c r="I242" s="502"/>
      <c r="J242" s="818" t="n">
        <f aca="false">1000*(E242-$E$215)/(B242-$B$215)</f>
        <v>68.2914751322903</v>
      </c>
      <c r="K242" s="732" t="n">
        <f aca="false">AVERAGE($E$216:E242)</f>
        <v>4.8879871201732</v>
      </c>
      <c r="L242" s="819" t="n">
        <f aca="false">L241+1</f>
        <v>27</v>
      </c>
      <c r="M242" s="820" t="n">
        <f aca="false">IF(B242&lt;$E$104,$E$105,$E$106)</f>
        <v>3</v>
      </c>
      <c r="N242" s="821" t="n">
        <f aca="false">IF(B242&lt;$E$104,$E$105,$E$111)</f>
        <v>2.5</v>
      </c>
      <c r="O242" s="822" t="n">
        <f aca="false">E242*$E$205*N242</f>
        <v>69.6350174257425</v>
      </c>
      <c r="P242" s="823" t="n">
        <f aca="false">P241+O242</f>
        <v>1527.43766899028</v>
      </c>
      <c r="Q242" s="606" t="n">
        <f aca="false">Q241+1</f>
        <v>27</v>
      </c>
      <c r="R242" s="824" t="n">
        <f aca="false">R241-1</f>
        <v>-27</v>
      </c>
      <c r="S242" s="825" t="n">
        <f aca="false">D242</f>
        <v>83.5620209108911</v>
      </c>
      <c r="T242" s="825" t="n">
        <f aca="false">O242</f>
        <v>69.6350174257425</v>
      </c>
      <c r="U242" s="502"/>
      <c r="V242" s="502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8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</row>
    <row r="243" s="504" customFormat="true" ht="14.1" hidden="true" customHeight="true" outlineLevel="0" collapsed="false">
      <c r="A243" s="795"/>
      <c r="B243" s="813" t="n">
        <f aca="false">B242+1</f>
        <v>28</v>
      </c>
      <c r="C243" s="814" t="n">
        <f aca="false">C242+D243</f>
        <v>1854.6281832478</v>
      </c>
      <c r="D243" s="815" t="n">
        <f aca="false">E243*$E$205*M243</f>
        <v>83.7197009108911</v>
      </c>
      <c r="E243" s="601" t="n">
        <f aca="false">E242+$C$204</f>
        <v>5.30946860165468</v>
      </c>
      <c r="F243" s="816" t="n">
        <f aca="false">F242+1</f>
        <v>28</v>
      </c>
      <c r="G243" s="775" t="n">
        <f aca="false">C243</f>
        <v>1854.6281832478</v>
      </c>
      <c r="H243" s="817" t="n">
        <f aca="false">1000*(E243-E242)</f>
        <v>9.99999999999979</v>
      </c>
      <c r="I243" s="502"/>
      <c r="J243" s="818" t="n">
        <f aca="false">1000*(E243-$E$215)/(B243-$B$215)</f>
        <v>66.2096367347085</v>
      </c>
      <c r="K243" s="732" t="n">
        <f aca="false">AVERAGE($E$216:E243)</f>
        <v>4.90304003022612</v>
      </c>
      <c r="L243" s="819" t="n">
        <f aca="false">L242+1</f>
        <v>28</v>
      </c>
      <c r="M243" s="820" t="n">
        <f aca="false">IF(B243&lt;$E$104,$E$105,$E$106)</f>
        <v>3</v>
      </c>
      <c r="N243" s="821" t="n">
        <f aca="false">IF(B243&lt;$E$104,$E$105,$E$111)</f>
        <v>2.5</v>
      </c>
      <c r="O243" s="822" t="n">
        <f aca="false">E243*$E$205*N243</f>
        <v>69.7664174257426</v>
      </c>
      <c r="P243" s="823" t="n">
        <f aca="false">P242+O243</f>
        <v>1597.20408641602</v>
      </c>
      <c r="Q243" s="606" t="n">
        <f aca="false">Q242+1</f>
        <v>28</v>
      </c>
      <c r="R243" s="824" t="n">
        <f aca="false">R242-1</f>
        <v>-28</v>
      </c>
      <c r="S243" s="825" t="n">
        <f aca="false">D243</f>
        <v>83.7197009108911</v>
      </c>
      <c r="T243" s="825" t="n">
        <f aca="false">O243</f>
        <v>69.7664174257426</v>
      </c>
      <c r="U243" s="502"/>
      <c r="V243" s="502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8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</row>
    <row r="244" s="504" customFormat="true" ht="14.1" hidden="true" customHeight="true" outlineLevel="0" collapsed="false">
      <c r="A244" s="795"/>
      <c r="B244" s="813" t="n">
        <f aca="false">B243+1</f>
        <v>29</v>
      </c>
      <c r="C244" s="814" t="n">
        <f aca="false">C243+D244</f>
        <v>1938.50556415869</v>
      </c>
      <c r="D244" s="815" t="n">
        <f aca="false">E244*$E$205*M244</f>
        <v>83.8773809108911</v>
      </c>
      <c r="E244" s="601" t="n">
        <f aca="false">E243+$C$204</f>
        <v>5.31946860165468</v>
      </c>
      <c r="F244" s="816" t="n">
        <f aca="false">F243+1</f>
        <v>29</v>
      </c>
      <c r="G244" s="775" t="n">
        <f aca="false">C244</f>
        <v>1938.50556415869</v>
      </c>
      <c r="H244" s="817" t="n">
        <f aca="false">1000*(E244-E243)</f>
        <v>9.99999999999979</v>
      </c>
      <c r="I244" s="502"/>
      <c r="J244" s="818" t="n">
        <f aca="false">1000*(E244-$E$215)/(B244-$B$215)</f>
        <v>64.2713733990289</v>
      </c>
      <c r="K244" s="732" t="n">
        <f aca="false">AVERAGE($E$216:E244)</f>
        <v>4.91739963613744</v>
      </c>
      <c r="L244" s="819" t="n">
        <f aca="false">L243+1</f>
        <v>29</v>
      </c>
      <c r="M244" s="820" t="n">
        <f aca="false">IF(B244&lt;$E$104,$E$105,$E$106)</f>
        <v>3</v>
      </c>
      <c r="N244" s="821" t="n">
        <f aca="false">IF(B244&lt;$E$104,$E$105,$E$111)</f>
        <v>2.5</v>
      </c>
      <c r="O244" s="822" t="n">
        <f aca="false">E244*$E$205*N244</f>
        <v>69.8978174257425</v>
      </c>
      <c r="P244" s="823" t="n">
        <f aca="false">P243+O244</f>
        <v>1667.10190384177</v>
      </c>
      <c r="Q244" s="606" t="n">
        <f aca="false">Q243+1</f>
        <v>29</v>
      </c>
      <c r="R244" s="824" t="n">
        <f aca="false">R243-1</f>
        <v>-29</v>
      </c>
      <c r="S244" s="825" t="n">
        <f aca="false">D244</f>
        <v>83.8773809108911</v>
      </c>
      <c r="T244" s="825" t="n">
        <f aca="false">O244</f>
        <v>69.8978174257425</v>
      </c>
      <c r="U244" s="502"/>
      <c r="V244" s="502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8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</row>
    <row r="245" s="504" customFormat="true" ht="14.1" hidden="true" customHeight="true" outlineLevel="0" collapsed="false">
      <c r="A245" s="795"/>
      <c r="B245" s="813" t="n">
        <f aca="false">B244+1</f>
        <v>30</v>
      </c>
      <c r="C245" s="814" t="n">
        <f aca="false">C244+D245</f>
        <v>2022.54062506958</v>
      </c>
      <c r="D245" s="815" t="n">
        <f aca="false">E245*$E$205*M245</f>
        <v>84.0350609108911</v>
      </c>
      <c r="E245" s="601" t="n">
        <f aca="false">E244+$C$204</f>
        <v>5.32946860165468</v>
      </c>
      <c r="F245" s="816" t="n">
        <f aca="false">F244+1</f>
        <v>30</v>
      </c>
      <c r="G245" s="775" t="n">
        <f aca="false">C245</f>
        <v>2022.54062506958</v>
      </c>
      <c r="H245" s="817" t="n">
        <f aca="false">1000*(E245-E244)</f>
        <v>9.99999999999979</v>
      </c>
      <c r="I245" s="502"/>
      <c r="J245" s="818" t="n">
        <f aca="false">1000*(E245-$E$215)/(B245-$B$215)</f>
        <v>62.4623276190613</v>
      </c>
      <c r="K245" s="732" t="n">
        <f aca="false">AVERAGE($E$216:E245)</f>
        <v>4.93113526832135</v>
      </c>
      <c r="L245" s="819" t="n">
        <f aca="false">L244+1</f>
        <v>30</v>
      </c>
      <c r="M245" s="820" t="n">
        <f aca="false">IF(B245&lt;$E$104,$E$105,$E$106)</f>
        <v>3</v>
      </c>
      <c r="N245" s="821" t="n">
        <f aca="false">IF(B245&lt;$E$104,$E$105,$E$111)</f>
        <v>2.5</v>
      </c>
      <c r="O245" s="822" t="n">
        <f aca="false">E245*$E$205*N245</f>
        <v>70.0292174257426</v>
      </c>
      <c r="P245" s="823" t="n">
        <f aca="false">P244+O245</f>
        <v>1737.13112126751</v>
      </c>
      <c r="Q245" s="606" t="n">
        <f aca="false">Q244+1</f>
        <v>30</v>
      </c>
      <c r="R245" s="824" t="n">
        <f aca="false">R244-1</f>
        <v>-30</v>
      </c>
      <c r="S245" s="825" t="n">
        <f aca="false">D245</f>
        <v>84.0350609108911</v>
      </c>
      <c r="T245" s="825" t="n">
        <f aca="false">O245</f>
        <v>70.0292174257426</v>
      </c>
      <c r="U245" s="502"/>
      <c r="V245" s="502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8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</row>
    <row r="246" s="504" customFormat="true" ht="14.1" hidden="true" customHeight="true" outlineLevel="0" collapsed="false">
      <c r="A246" s="795"/>
      <c r="B246" s="813" t="n">
        <f aca="false">B245+1</f>
        <v>31</v>
      </c>
      <c r="C246" s="814" t="n">
        <f aca="false">C245+D246</f>
        <v>2106.73336598047</v>
      </c>
      <c r="D246" s="815" t="n">
        <f aca="false">E246*$E$205*M246</f>
        <v>84.192740910891</v>
      </c>
      <c r="E246" s="601" t="n">
        <f aca="false">E245+$C$204</f>
        <v>5.33946860165468</v>
      </c>
      <c r="F246" s="816" t="n">
        <f aca="false">F245+1</f>
        <v>31</v>
      </c>
      <c r="G246" s="775" t="n">
        <f aca="false">C246</f>
        <v>2106.73336598047</v>
      </c>
      <c r="H246" s="817" t="n">
        <f aca="false">1000*(E246-E245)</f>
        <v>9.99999999999979</v>
      </c>
      <c r="I246" s="502"/>
      <c r="J246" s="818" t="n">
        <f aca="false">1000*(E246-$E$215)/(B246-$B$215)</f>
        <v>60.7699944700593</v>
      </c>
      <c r="K246" s="732" t="n">
        <f aca="false">AVERAGE($E$216:E246)</f>
        <v>4.94430731133211</v>
      </c>
      <c r="L246" s="819" t="n">
        <f aca="false">L245+1</f>
        <v>31</v>
      </c>
      <c r="M246" s="820" t="n">
        <f aca="false">IF(B246&lt;$E$104,$E$105,$E$106)</f>
        <v>3</v>
      </c>
      <c r="N246" s="821" t="n">
        <f aca="false">IF(B246&lt;$E$104,$E$105,$E$111)</f>
        <v>2.5</v>
      </c>
      <c r="O246" s="822" t="n">
        <f aca="false">E246*$E$205*N246</f>
        <v>70.1606174257425</v>
      </c>
      <c r="P246" s="823" t="n">
        <f aca="false">P245+O246</f>
        <v>1807.29173869325</v>
      </c>
      <c r="Q246" s="606" t="n">
        <f aca="false">Q245+1</f>
        <v>31</v>
      </c>
      <c r="R246" s="824" t="n">
        <f aca="false">R245-1</f>
        <v>-31</v>
      </c>
      <c r="S246" s="825" t="n">
        <f aca="false">D246</f>
        <v>84.192740910891</v>
      </c>
      <c r="T246" s="825" t="n">
        <f aca="false">O246</f>
        <v>70.1606174257425</v>
      </c>
      <c r="U246" s="502"/>
      <c r="V246" s="502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8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</row>
    <row r="247" s="504" customFormat="true" ht="14.1" hidden="true" customHeight="true" outlineLevel="0" collapsed="false">
      <c r="A247" s="5"/>
      <c r="B247" s="813" t="n">
        <f aca="false">B246+1</f>
        <v>32</v>
      </c>
      <c r="C247" s="814" t="n">
        <f aca="false">C246+D247</f>
        <v>2191.08378689136</v>
      </c>
      <c r="D247" s="815" t="n">
        <f aca="false">E247*$E$205*M247</f>
        <v>84.3504209108911</v>
      </c>
      <c r="E247" s="601" t="n">
        <f aca="false">E246+$C$204</f>
        <v>5.34946860165468</v>
      </c>
      <c r="F247" s="816" t="n">
        <f aca="false">F246+1</f>
        <v>32</v>
      </c>
      <c r="G247" s="775" t="n">
        <f aca="false">C247</f>
        <v>2191.08378689136</v>
      </c>
      <c r="H247" s="817" t="n">
        <f aca="false">1000*(E247-E246)</f>
        <v>9.99999999999979</v>
      </c>
      <c r="I247" s="502"/>
      <c r="J247" s="818" t="n">
        <f aca="false">1000*(E247-$E$215)/(B247-$B$215)</f>
        <v>59.1834321428699</v>
      </c>
      <c r="K247" s="732" t="n">
        <f aca="false">AVERAGE($E$216:E247)</f>
        <v>4.95696860165469</v>
      </c>
      <c r="L247" s="819" t="n">
        <f aca="false">L246+1</f>
        <v>32</v>
      </c>
      <c r="M247" s="820" t="n">
        <f aca="false">IF(B247&lt;$E$104,$E$105,$E$106)</f>
        <v>3</v>
      </c>
      <c r="N247" s="821" t="n">
        <f aca="false">IF(B247&lt;$E$104,$E$105,$E$111)</f>
        <v>2.5</v>
      </c>
      <c r="O247" s="822" t="n">
        <f aca="false">E247*$E$205*N247</f>
        <v>70.2920174257425</v>
      </c>
      <c r="P247" s="823" t="n">
        <f aca="false">P246+O247</f>
        <v>1877.58375611899</v>
      </c>
      <c r="Q247" s="606" t="n">
        <f aca="false">Q246+1</f>
        <v>32</v>
      </c>
      <c r="R247" s="824" t="n">
        <f aca="false">R246-1</f>
        <v>-32</v>
      </c>
      <c r="S247" s="825" t="n">
        <f aca="false">D247</f>
        <v>84.3504209108911</v>
      </c>
      <c r="T247" s="825" t="n">
        <f aca="false">O247</f>
        <v>70.2920174257425</v>
      </c>
      <c r="U247" s="502"/>
      <c r="V247" s="502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8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</row>
    <row r="248" s="504" customFormat="true" ht="14.1" hidden="true" customHeight="true" outlineLevel="0" collapsed="false">
      <c r="A248" s="5"/>
      <c r="B248" s="813" t="n">
        <f aca="false">B247+1</f>
        <v>33</v>
      </c>
      <c r="C248" s="814" t="n">
        <f aca="false">C247+D248</f>
        <v>2275.59188780225</v>
      </c>
      <c r="D248" s="815" t="n">
        <f aca="false">E248*$E$205*M248</f>
        <v>84.5081009108911</v>
      </c>
      <c r="E248" s="601" t="n">
        <f aca="false">E247+$C$204</f>
        <v>5.35946860165468</v>
      </c>
      <c r="F248" s="816" t="n">
        <f aca="false">F247+1</f>
        <v>33</v>
      </c>
      <c r="G248" s="775" t="n">
        <f aca="false">C248</f>
        <v>2275.59188780225</v>
      </c>
      <c r="H248" s="817" t="n">
        <f aca="false">1000*(E248-E247)</f>
        <v>9.99999999999979</v>
      </c>
      <c r="I248" s="5"/>
      <c r="J248" s="818" t="n">
        <f aca="false">1000*(E248-$E$215)/(B248-$B$215)</f>
        <v>57.6930251082375</v>
      </c>
      <c r="K248" s="732" t="n">
        <f aca="false">AVERAGE($E$216:E248)</f>
        <v>4.96916557135166</v>
      </c>
      <c r="L248" s="819" t="n">
        <f aca="false">L247+1</f>
        <v>33</v>
      </c>
      <c r="M248" s="820" t="n">
        <f aca="false">IF(B248&lt;$E$104,$E$105,$E$106)</f>
        <v>3</v>
      </c>
      <c r="N248" s="821" t="n">
        <f aca="false">IF(B248&lt;$E$104,$E$105,$E$111)</f>
        <v>2.5</v>
      </c>
      <c r="O248" s="822" t="n">
        <f aca="false">E248*$E$205*N248</f>
        <v>70.4234174257425</v>
      </c>
      <c r="P248" s="823" t="n">
        <f aca="false">P247+O248</f>
        <v>1948.00717354474</v>
      </c>
      <c r="Q248" s="606" t="n">
        <f aca="false">Q247+1</f>
        <v>33</v>
      </c>
      <c r="R248" s="824" t="n">
        <f aca="false">R247-1</f>
        <v>-33</v>
      </c>
      <c r="S248" s="825" t="n">
        <f aca="false">D248</f>
        <v>84.5081009108911</v>
      </c>
      <c r="T248" s="825" t="n">
        <f aca="false">O248</f>
        <v>70.4234174257425</v>
      </c>
      <c r="U248" s="5"/>
      <c r="V248" s="10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8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</row>
    <row r="249" s="504" customFormat="true" ht="14.1" hidden="true" customHeight="true" outlineLevel="0" collapsed="false">
      <c r="A249" s="5"/>
      <c r="B249" s="813" t="n">
        <f aca="false">B248+1</f>
        <v>34</v>
      </c>
      <c r="C249" s="814" t="n">
        <f aca="false">C248+D249</f>
        <v>2360.25766871315</v>
      </c>
      <c r="D249" s="815" t="n">
        <f aca="false">E249*$E$205*M249</f>
        <v>84.665780910891</v>
      </c>
      <c r="E249" s="601" t="n">
        <f aca="false">E248+$C$204</f>
        <v>5.36946860165468</v>
      </c>
      <c r="F249" s="816" t="n">
        <f aca="false">F248+1</f>
        <v>34</v>
      </c>
      <c r="G249" s="775" t="n">
        <f aca="false">C249</f>
        <v>2360.25766871315</v>
      </c>
      <c r="H249" s="817" t="n">
        <f aca="false">1000*(E249-E248)</f>
        <v>9.99999999999979</v>
      </c>
      <c r="I249" s="5"/>
      <c r="J249" s="818" t="n">
        <f aca="false">1000*(E249-$E$215)/(B249-$B$215)</f>
        <v>56.2902890756423</v>
      </c>
      <c r="K249" s="732" t="n">
        <f aca="false">AVERAGE($E$216:E249)</f>
        <v>4.98093918988998</v>
      </c>
      <c r="L249" s="819" t="n">
        <f aca="false">L248+1</f>
        <v>34</v>
      </c>
      <c r="M249" s="820" t="n">
        <f aca="false">IF(B249&lt;$E$104,$E$105,$E$106)</f>
        <v>3</v>
      </c>
      <c r="N249" s="821" t="n">
        <f aca="false">IF(B249&lt;$E$104,$E$105,$E$111)</f>
        <v>2.5</v>
      </c>
      <c r="O249" s="822" t="n">
        <f aca="false">E249*$E$205*N249</f>
        <v>70.5548174257425</v>
      </c>
      <c r="P249" s="823" t="n">
        <f aca="false">P248+O249</f>
        <v>2018.56199097048</v>
      </c>
      <c r="Q249" s="606" t="n">
        <f aca="false">Q248+1</f>
        <v>34</v>
      </c>
      <c r="R249" s="824" t="n">
        <f aca="false">R248-1</f>
        <v>-34</v>
      </c>
      <c r="S249" s="825" t="n">
        <f aca="false">D249</f>
        <v>84.665780910891</v>
      </c>
      <c r="T249" s="825" t="n">
        <f aca="false">O249</f>
        <v>70.5548174257425</v>
      </c>
      <c r="U249" s="5"/>
      <c r="V249" s="10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8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</row>
    <row r="250" s="504" customFormat="true" ht="14.1" hidden="true" customHeight="true" outlineLevel="0" collapsed="false">
      <c r="A250" s="5"/>
      <c r="B250" s="813" t="n">
        <f aca="false">B249+1</f>
        <v>35</v>
      </c>
      <c r="C250" s="814" t="n">
        <f aca="false">C249+D250</f>
        <v>2445.08112962404</v>
      </c>
      <c r="D250" s="815" t="n">
        <f aca="false">E250*$E$205*M250</f>
        <v>84.823460910891</v>
      </c>
      <c r="E250" s="601" t="n">
        <f aca="false">E249+$C$204</f>
        <v>5.37946860165468</v>
      </c>
      <c r="F250" s="816" t="n">
        <f aca="false">F249+1</f>
        <v>35</v>
      </c>
      <c r="G250" s="775" t="n">
        <f aca="false">C250</f>
        <v>2445.08112962404</v>
      </c>
      <c r="H250" s="817" t="n">
        <f aca="false">1000*(E250-E249)</f>
        <v>9.99999999999979</v>
      </c>
      <c r="I250" s="5"/>
      <c r="J250" s="818" t="n">
        <f aca="false">1000*(E250-$E$215)/(B250-$B$215)</f>
        <v>54.9677093877668</v>
      </c>
      <c r="K250" s="732" t="n">
        <f aca="false">AVERAGE($E$216:E250)</f>
        <v>4.99232574451183</v>
      </c>
      <c r="L250" s="819" t="n">
        <f aca="false">L249+1</f>
        <v>35</v>
      </c>
      <c r="M250" s="820" t="n">
        <f aca="false">IF(B250&lt;$E$104,$E$105,$E$106)</f>
        <v>3</v>
      </c>
      <c r="N250" s="821" t="n">
        <f aca="false">IF(B250&lt;$E$104,$E$105,$E$111)</f>
        <v>2.5</v>
      </c>
      <c r="O250" s="822" t="n">
        <f aca="false">E250*$E$205*N250</f>
        <v>70.6862174257425</v>
      </c>
      <c r="P250" s="823" t="n">
        <f aca="false">P249+O250</f>
        <v>2089.24820839622</v>
      </c>
      <c r="Q250" s="606" t="n">
        <f aca="false">Q249+1</f>
        <v>35</v>
      </c>
      <c r="R250" s="824" t="n">
        <f aca="false">R249-1</f>
        <v>-35</v>
      </c>
      <c r="S250" s="825" t="n">
        <f aca="false">D250</f>
        <v>84.823460910891</v>
      </c>
      <c r="T250" s="825" t="n">
        <f aca="false">O250</f>
        <v>70.6862174257425</v>
      </c>
      <c r="U250" s="5"/>
      <c r="V250" s="10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8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</row>
    <row r="251" s="504" customFormat="true" ht="14.1" hidden="true" customHeight="true" outlineLevel="0" collapsed="false">
      <c r="A251" s="5"/>
      <c r="B251" s="813" t="n">
        <f aca="false">B250+1</f>
        <v>36</v>
      </c>
      <c r="C251" s="814" t="n">
        <f aca="false">C250+D251</f>
        <v>2530.06227053493</v>
      </c>
      <c r="D251" s="815" t="n">
        <f aca="false">E251*$E$205*M251</f>
        <v>84.981140910891</v>
      </c>
      <c r="E251" s="601" t="n">
        <f aca="false">E250+$C$204</f>
        <v>5.38946860165468</v>
      </c>
      <c r="F251" s="816" t="n">
        <f aca="false">F250+1</f>
        <v>36</v>
      </c>
      <c r="G251" s="775" t="n">
        <f aca="false">C251</f>
        <v>2530.06227053493</v>
      </c>
      <c r="H251" s="817" t="n">
        <f aca="false">1000*(E251-E250)</f>
        <v>9.99999999999979</v>
      </c>
      <c r="I251" s="5"/>
      <c r="J251" s="818" t="n">
        <f aca="false">1000*(E251-$E$215)/(B251-$B$215)</f>
        <v>53.7186063492177</v>
      </c>
      <c r="K251" s="732" t="n">
        <f aca="false">AVERAGE($E$216:E251)</f>
        <v>5.00335749054358</v>
      </c>
      <c r="L251" s="819" t="n">
        <f aca="false">L250+1</f>
        <v>36</v>
      </c>
      <c r="M251" s="820" t="n">
        <f aca="false">IF(B251&lt;$E$104,$E$105,$E$106)</f>
        <v>3</v>
      </c>
      <c r="N251" s="821" t="n">
        <f aca="false">IF(B251&lt;$E$104,$E$105,$E$111)</f>
        <v>2.5</v>
      </c>
      <c r="O251" s="822" t="n">
        <f aca="false">E251*$E$205*N251</f>
        <v>70.8176174257425</v>
      </c>
      <c r="P251" s="823" t="n">
        <f aca="false">P250+O251</f>
        <v>2160.06582582196</v>
      </c>
      <c r="Q251" s="606" t="n">
        <f aca="false">Q250+1</f>
        <v>36</v>
      </c>
      <c r="R251" s="824" t="n">
        <f aca="false">R250-1</f>
        <v>-36</v>
      </c>
      <c r="S251" s="825" t="n">
        <f aca="false">D251</f>
        <v>84.981140910891</v>
      </c>
      <c r="T251" s="825" t="n">
        <f aca="false">O251</f>
        <v>70.8176174257425</v>
      </c>
      <c r="U251" s="5"/>
      <c r="V251" s="10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8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</row>
    <row r="252" s="504" customFormat="true" ht="14.1" hidden="true" customHeight="true" outlineLevel="0" collapsed="false">
      <c r="A252" s="5"/>
      <c r="B252" s="813" t="n">
        <f aca="false">B251+1</f>
        <v>37</v>
      </c>
      <c r="C252" s="814" t="n">
        <f aca="false">C251+D252</f>
        <v>2615.20109144582</v>
      </c>
      <c r="D252" s="815" t="n">
        <f aca="false">E252*$E$205*M252</f>
        <v>85.1388209108911</v>
      </c>
      <c r="E252" s="601" t="n">
        <f aca="false">E251+$C$204</f>
        <v>5.39946860165468</v>
      </c>
      <c r="F252" s="816" t="n">
        <f aca="false">F251+1</f>
        <v>37</v>
      </c>
      <c r="G252" s="775" t="n">
        <f aca="false">C252</f>
        <v>2615.20109144582</v>
      </c>
      <c r="H252" s="817" t="n">
        <f aca="false">1000*(E252-E251)</f>
        <v>9.99999999999979</v>
      </c>
      <c r="I252" s="5"/>
      <c r="J252" s="818" t="n">
        <f aca="false">1000*(E252-$E$215)/(B252-$B$215)</f>
        <v>52.5370223938334</v>
      </c>
      <c r="K252" s="732" t="n">
        <f aca="false">AVERAGE($E$216:E252)</f>
        <v>5.01406319624928</v>
      </c>
      <c r="L252" s="819" t="n">
        <f aca="false">L251+1</f>
        <v>37</v>
      </c>
      <c r="M252" s="820" t="n">
        <f aca="false">IF(B252&lt;$E$104,$E$105,$E$106)</f>
        <v>3</v>
      </c>
      <c r="N252" s="821" t="n">
        <f aca="false">IF(B252&lt;$E$104,$E$105,$E$111)</f>
        <v>2.5</v>
      </c>
      <c r="O252" s="822" t="n">
        <f aca="false">E252*$E$205*N252</f>
        <v>70.9490174257425</v>
      </c>
      <c r="P252" s="823" t="n">
        <f aca="false">P251+O252</f>
        <v>2231.01484324771</v>
      </c>
      <c r="Q252" s="606" t="n">
        <f aca="false">Q251+1</f>
        <v>37</v>
      </c>
      <c r="R252" s="824" t="n">
        <f aca="false">R251-1</f>
        <v>-37</v>
      </c>
      <c r="S252" s="825" t="n">
        <f aca="false">D252</f>
        <v>85.1388209108911</v>
      </c>
      <c r="T252" s="825" t="n">
        <f aca="false">O252</f>
        <v>70.9490174257425</v>
      </c>
      <c r="U252" s="5"/>
      <c r="V252" s="10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8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</row>
    <row r="253" s="504" customFormat="true" ht="14.1" hidden="true" customHeight="true" outlineLevel="0" collapsed="false">
      <c r="A253" s="5"/>
      <c r="B253" s="813" t="n">
        <f aca="false">B252+1</f>
        <v>38</v>
      </c>
      <c r="C253" s="814" t="n">
        <f aca="false">C252+D253</f>
        <v>2700.49759235671</v>
      </c>
      <c r="D253" s="815" t="n">
        <f aca="false">E253*$E$205*M253</f>
        <v>85.296500910891</v>
      </c>
      <c r="E253" s="601" t="n">
        <f aca="false">E252+$C$204</f>
        <v>5.40946860165468</v>
      </c>
      <c r="F253" s="816" t="n">
        <f aca="false">F252+1</f>
        <v>38</v>
      </c>
      <c r="G253" s="775" t="n">
        <f aca="false">C253</f>
        <v>2700.49759235671</v>
      </c>
      <c r="H253" s="817" t="n">
        <f aca="false">1000*(E253-E252)</f>
        <v>9.99999999999979</v>
      </c>
      <c r="I253" s="5"/>
      <c r="J253" s="818" t="n">
        <f aca="false">1000*(E253-$E$215)/(B253-$B$215)</f>
        <v>51.4176270676799</v>
      </c>
      <c r="K253" s="732" t="n">
        <f aca="false">AVERAGE($E$216:E253)</f>
        <v>5.02446860165469</v>
      </c>
      <c r="L253" s="819" t="n">
        <f aca="false">L252+1</f>
        <v>38</v>
      </c>
      <c r="M253" s="820" t="n">
        <f aca="false">IF(B253&lt;$E$104,$E$105,$E$106)</f>
        <v>3</v>
      </c>
      <c r="N253" s="821" t="n">
        <f aca="false">IF(B253&lt;$E$104,$E$105,$E$111)</f>
        <v>2.5</v>
      </c>
      <c r="O253" s="822" t="n">
        <f aca="false">E253*$E$205*N253</f>
        <v>71.0804174257425</v>
      </c>
      <c r="P253" s="823" t="n">
        <f aca="false">P252+O253</f>
        <v>2302.09526067345</v>
      </c>
      <c r="Q253" s="606" t="n">
        <f aca="false">Q252+1</f>
        <v>38</v>
      </c>
      <c r="R253" s="824" t="n">
        <f aca="false">R252-1</f>
        <v>-38</v>
      </c>
      <c r="S253" s="825" t="n">
        <f aca="false">D253</f>
        <v>85.296500910891</v>
      </c>
      <c r="T253" s="825" t="n">
        <f aca="false">O253</f>
        <v>71.0804174257425</v>
      </c>
      <c r="U253" s="5"/>
      <c r="V253" s="10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8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</row>
    <row r="254" s="504" customFormat="true" ht="14.1" hidden="true" customHeight="true" outlineLevel="0" collapsed="false">
      <c r="A254" s="5"/>
      <c r="B254" s="813" t="n">
        <f aca="false">B253+1</f>
        <v>39</v>
      </c>
      <c r="C254" s="814" t="n">
        <f aca="false">C253+D254</f>
        <v>2785.9517732676</v>
      </c>
      <c r="D254" s="815" t="n">
        <f aca="false">E254*$E$205*M254</f>
        <v>85.454180910891</v>
      </c>
      <c r="E254" s="601" t="n">
        <f aca="false">E253+$C$204</f>
        <v>5.41946860165468</v>
      </c>
      <c r="F254" s="816" t="n">
        <f aca="false">F253+1</f>
        <v>39</v>
      </c>
      <c r="G254" s="775" t="n">
        <f aca="false">C254</f>
        <v>2785.9517732676</v>
      </c>
      <c r="H254" s="817" t="n">
        <f aca="false">1000*(E254-E253)</f>
        <v>9.99999999999979</v>
      </c>
      <c r="I254" s="5"/>
      <c r="J254" s="818" t="n">
        <f aca="false">1000*(E254-$E$215)/(B254-$B$215)</f>
        <v>50.3556366300471</v>
      </c>
      <c r="K254" s="732" t="n">
        <f aca="false">AVERAGE($E$216:E254)</f>
        <v>5.03459680678289</v>
      </c>
      <c r="L254" s="819" t="n">
        <f aca="false">L253+1</f>
        <v>39</v>
      </c>
      <c r="M254" s="820" t="n">
        <f aca="false">IF(B254&lt;$E$104,$E$105,$E$106)</f>
        <v>3</v>
      </c>
      <c r="N254" s="821" t="n">
        <f aca="false">IF(B254&lt;$E$104,$E$105,$E$111)</f>
        <v>2.5</v>
      </c>
      <c r="O254" s="822" t="n">
        <f aca="false">E254*$E$205*N254</f>
        <v>71.2118174257425</v>
      </c>
      <c r="P254" s="823" t="n">
        <f aca="false">P253+O254</f>
        <v>2373.30707809919</v>
      </c>
      <c r="Q254" s="606" t="n">
        <f aca="false">Q253+1</f>
        <v>39</v>
      </c>
      <c r="R254" s="824" t="n">
        <f aca="false">R253-1</f>
        <v>-39</v>
      </c>
      <c r="S254" s="825" t="n">
        <f aca="false">D254</f>
        <v>85.454180910891</v>
      </c>
      <c r="T254" s="825" t="n">
        <f aca="false">O254</f>
        <v>71.2118174257425</v>
      </c>
      <c r="U254" s="5"/>
      <c r="V254" s="10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8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</row>
    <row r="255" s="504" customFormat="true" ht="14.1" hidden="true" customHeight="true" outlineLevel="0" collapsed="false">
      <c r="A255" s="5"/>
      <c r="B255" s="813" t="n">
        <f aca="false">B254+1</f>
        <v>40</v>
      </c>
      <c r="C255" s="814" t="n">
        <f aca="false">C254+D255</f>
        <v>2871.56363417849</v>
      </c>
      <c r="D255" s="815" t="n">
        <f aca="false">E255*$E$205*M255</f>
        <v>85.611860910891</v>
      </c>
      <c r="E255" s="601" t="n">
        <f aca="false">E254+$C$204</f>
        <v>5.42946860165468</v>
      </c>
      <c r="F255" s="816" t="n">
        <f aca="false">F254+1</f>
        <v>40</v>
      </c>
      <c r="G255" s="775" t="n">
        <f aca="false">C255</f>
        <v>2871.56363417849</v>
      </c>
      <c r="H255" s="817" t="n">
        <f aca="false">1000*(E255-E254)</f>
        <v>9.99999999999979</v>
      </c>
      <c r="I255" s="5"/>
      <c r="J255" s="818" t="n">
        <f aca="false">1000*(E255-$E$215)/(B255-$B$215)</f>
        <v>49.3467457142959</v>
      </c>
      <c r="K255" s="732" t="n">
        <f aca="false">AVERAGE($E$216:E255)</f>
        <v>5.04446860165469</v>
      </c>
      <c r="L255" s="819" t="n">
        <f aca="false">L254+1</f>
        <v>40</v>
      </c>
      <c r="M255" s="820" t="n">
        <f aca="false">IF(B255&lt;$E$104,$E$105,$E$106)</f>
        <v>3</v>
      </c>
      <c r="N255" s="821" t="n">
        <f aca="false">IF(B255&lt;$E$104,$E$105,$E$111)</f>
        <v>2.5</v>
      </c>
      <c r="O255" s="822" t="n">
        <f aca="false">E255*$E$205*N255</f>
        <v>71.3432174257425</v>
      </c>
      <c r="P255" s="823" t="n">
        <f aca="false">P254+O255</f>
        <v>2444.65029552493</v>
      </c>
      <c r="Q255" s="606" t="n">
        <f aca="false">Q254+1</f>
        <v>40</v>
      </c>
      <c r="R255" s="824" t="n">
        <f aca="false">R254-1</f>
        <v>-40</v>
      </c>
      <c r="S255" s="825" t="n">
        <f aca="false">D255</f>
        <v>85.611860910891</v>
      </c>
      <c r="T255" s="825" t="n">
        <f aca="false">O255</f>
        <v>71.3432174257425</v>
      </c>
      <c r="U255" s="5"/>
      <c r="V255" s="10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8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</row>
    <row r="256" s="504" customFormat="true" ht="14.1" hidden="true" customHeight="true" outlineLevel="0" collapsed="false">
      <c r="A256" s="5"/>
      <c r="B256" s="813" t="n">
        <f aca="false">B255+1</f>
        <v>41</v>
      </c>
      <c r="C256" s="814" t="n">
        <f aca="false">C255+D256</f>
        <v>2957.33317508938</v>
      </c>
      <c r="D256" s="815" t="n">
        <f aca="false">E256*$E$205*M256</f>
        <v>85.769540910891</v>
      </c>
      <c r="E256" s="601" t="n">
        <f aca="false">E255+$C$204</f>
        <v>5.43946860165468</v>
      </c>
      <c r="F256" s="816" t="n">
        <f aca="false">F255+1</f>
        <v>41</v>
      </c>
      <c r="G256" s="775" t="n">
        <f aca="false">C256</f>
        <v>2957.33317508938</v>
      </c>
      <c r="H256" s="817" t="n">
        <f aca="false">1000*(E256-E255)</f>
        <v>9.99999999999979</v>
      </c>
      <c r="I256" s="5"/>
      <c r="J256" s="818" t="n">
        <f aca="false">1000*(E256-$E$215)/(B256-$B$215)</f>
        <v>48.387068989557</v>
      </c>
      <c r="K256" s="732" t="n">
        <f aca="false">AVERAGE($E$216:E256)</f>
        <v>5.05410274799615</v>
      </c>
      <c r="L256" s="819" t="n">
        <f aca="false">L255+1</f>
        <v>41</v>
      </c>
      <c r="M256" s="820" t="n">
        <f aca="false">IF(B256&lt;$E$104,$E$105,$E$106)</f>
        <v>3</v>
      </c>
      <c r="N256" s="821" t="n">
        <f aca="false">IF(B256&lt;$E$104,$E$105,$E$111)</f>
        <v>2.5</v>
      </c>
      <c r="O256" s="822" t="n">
        <f aca="false">E256*$E$205*N256</f>
        <v>71.4746174257425</v>
      </c>
      <c r="P256" s="823" t="n">
        <f aca="false">P255+O256</f>
        <v>2516.12491295068</v>
      </c>
      <c r="Q256" s="606" t="n">
        <f aca="false">Q255+1</f>
        <v>41</v>
      </c>
      <c r="R256" s="824" t="n">
        <f aca="false">R255-1</f>
        <v>-41</v>
      </c>
      <c r="S256" s="825" t="n">
        <f aca="false">D256</f>
        <v>85.769540910891</v>
      </c>
      <c r="T256" s="825" t="n">
        <f aca="false">O256</f>
        <v>71.4746174257425</v>
      </c>
      <c r="U256" s="5"/>
      <c r="V256" s="10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8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</row>
    <row r="257" s="504" customFormat="true" ht="14.1" hidden="true" customHeight="true" outlineLevel="0" collapsed="false">
      <c r="A257" s="5"/>
      <c r="B257" s="813" t="n">
        <f aca="false">B256+1</f>
        <v>42</v>
      </c>
      <c r="C257" s="814" t="n">
        <f aca="false">C256+D257</f>
        <v>3043.26039600027</v>
      </c>
      <c r="D257" s="815" t="n">
        <f aca="false">E257*$E$205*M257</f>
        <v>85.927220910891</v>
      </c>
      <c r="E257" s="601" t="n">
        <f aca="false">E256+$C$204</f>
        <v>5.44946860165468</v>
      </c>
      <c r="F257" s="816" t="n">
        <f aca="false">F256+1</f>
        <v>42</v>
      </c>
      <c r="G257" s="775" t="n">
        <f aca="false">C257</f>
        <v>3043.26039600027</v>
      </c>
      <c r="H257" s="817" t="n">
        <f aca="false">1000*(E257-E256)</f>
        <v>9.99999999999979</v>
      </c>
      <c r="I257" s="5"/>
      <c r="J257" s="818" t="n">
        <f aca="false">1000*(E257-$E$215)/(B257-$B$215)</f>
        <v>47.4730911564723</v>
      </c>
      <c r="K257" s="732" t="n">
        <f aca="false">AVERAGE($E$216:E257)</f>
        <v>5.0635162207023</v>
      </c>
      <c r="L257" s="819" t="n">
        <f aca="false">L256+1</f>
        <v>42</v>
      </c>
      <c r="M257" s="820" t="n">
        <f aca="false">IF(B257&lt;$E$104,$E$105,$E$106)</f>
        <v>3</v>
      </c>
      <c r="N257" s="821" t="n">
        <f aca="false">IF(B257&lt;$E$104,$E$105,$E$111)</f>
        <v>2.5</v>
      </c>
      <c r="O257" s="822" t="n">
        <f aca="false">E257*$E$205*N257</f>
        <v>71.6060174257425</v>
      </c>
      <c r="P257" s="823" t="n">
        <f aca="false">P256+O257</f>
        <v>2587.73093037642</v>
      </c>
      <c r="Q257" s="606" t="n">
        <f aca="false">Q256+1</f>
        <v>42</v>
      </c>
      <c r="R257" s="824" t="n">
        <f aca="false">R256-1</f>
        <v>-42</v>
      </c>
      <c r="S257" s="825" t="n">
        <f aca="false">D257</f>
        <v>85.927220910891</v>
      </c>
      <c r="T257" s="825" t="n">
        <f aca="false">O257</f>
        <v>71.6060174257425</v>
      </c>
      <c r="U257" s="5"/>
      <c r="V257" s="10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8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</row>
    <row r="258" s="504" customFormat="true" ht="14.1" hidden="true" customHeight="true" outlineLevel="0" collapsed="false">
      <c r="A258" s="5"/>
      <c r="B258" s="813" t="n">
        <f aca="false">B257+1</f>
        <v>43</v>
      </c>
      <c r="C258" s="814" t="n">
        <f aca="false">C257+D258</f>
        <v>3129.34529691116</v>
      </c>
      <c r="D258" s="815" t="n">
        <f aca="false">E258*$E$205*M258</f>
        <v>86.084900910891</v>
      </c>
      <c r="E258" s="601" t="n">
        <f aca="false">E257+$C$204</f>
        <v>5.45946860165468</v>
      </c>
      <c r="F258" s="816" t="n">
        <f aca="false">F257+1</f>
        <v>43</v>
      </c>
      <c r="G258" s="775" t="n">
        <f aca="false">C258</f>
        <v>3129.34529691116</v>
      </c>
      <c r="H258" s="817" t="n">
        <f aca="false">1000*(E258-E257)</f>
        <v>9.99999999999979</v>
      </c>
      <c r="I258" s="5"/>
      <c r="J258" s="818" t="n">
        <f aca="false">1000*(E258-$E$215)/(B258-$B$215)</f>
        <v>46.6016239202752</v>
      </c>
      <c r="K258" s="732" t="n">
        <f aca="false">AVERAGE($E$216:E258)</f>
        <v>5.07272441560817</v>
      </c>
      <c r="L258" s="819" t="n">
        <f aca="false">L257+1</f>
        <v>43</v>
      </c>
      <c r="M258" s="820" t="n">
        <f aca="false">IF(B258&lt;$E$104,$E$105,$E$106)</f>
        <v>3</v>
      </c>
      <c r="N258" s="821" t="n">
        <f aca="false">IF(B258&lt;$E$104,$E$105,$E$111)</f>
        <v>2.5</v>
      </c>
      <c r="O258" s="822" t="n">
        <f aca="false">E258*$E$205*N258</f>
        <v>71.7374174257425</v>
      </c>
      <c r="P258" s="823" t="n">
        <f aca="false">P257+O258</f>
        <v>2659.46834780216</v>
      </c>
      <c r="Q258" s="606" t="n">
        <f aca="false">Q257+1</f>
        <v>43</v>
      </c>
      <c r="R258" s="824" t="n">
        <f aca="false">R257-1</f>
        <v>-43</v>
      </c>
      <c r="S258" s="825" t="n">
        <f aca="false">D258</f>
        <v>86.084900910891</v>
      </c>
      <c r="T258" s="825" t="n">
        <f aca="false">O258</f>
        <v>71.7374174257425</v>
      </c>
      <c r="U258" s="5"/>
      <c r="V258" s="10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8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</row>
    <row r="259" s="504" customFormat="true" ht="14.1" hidden="true" customHeight="true" outlineLevel="0" collapsed="false">
      <c r="A259" s="5"/>
      <c r="B259" s="813" t="n">
        <f aca="false">B258+1</f>
        <v>44</v>
      </c>
      <c r="C259" s="814" t="n">
        <f aca="false">C258+D259</f>
        <v>3215.58787782205</v>
      </c>
      <c r="D259" s="815" t="n">
        <f aca="false">E259*$E$205*M259</f>
        <v>86.242580910891</v>
      </c>
      <c r="E259" s="601" t="n">
        <f aca="false">E258+$C$204</f>
        <v>5.46946860165468</v>
      </c>
      <c r="F259" s="816" t="n">
        <f aca="false">F258+1</f>
        <v>44</v>
      </c>
      <c r="G259" s="775" t="n">
        <f aca="false">C259</f>
        <v>3215.58787782205</v>
      </c>
      <c r="H259" s="817" t="n">
        <f aca="false">1000*(E259-E258)</f>
        <v>9.99999999999979</v>
      </c>
      <c r="I259" s="5"/>
      <c r="J259" s="818" t="n">
        <f aca="false">1000*(E259-$E$215)/(B259-$B$215)</f>
        <v>45.7697688311781</v>
      </c>
      <c r="K259" s="732" t="n">
        <f aca="false">AVERAGE($E$216:E259)</f>
        <v>5.08174132892741</v>
      </c>
      <c r="L259" s="819" t="n">
        <f aca="false">L258+1</f>
        <v>44</v>
      </c>
      <c r="M259" s="820" t="n">
        <f aca="false">IF(B259&lt;$E$104,$E$105,$E$106)</f>
        <v>3</v>
      </c>
      <c r="N259" s="821" t="n">
        <f aca="false">IF(B259&lt;$E$104,$E$105,$E$111)</f>
        <v>2.5</v>
      </c>
      <c r="O259" s="822" t="n">
        <f aca="false">E259*$E$205*N259</f>
        <v>71.8688174257425</v>
      </c>
      <c r="P259" s="823" t="n">
        <f aca="false">P258+O259</f>
        <v>2731.3371652279</v>
      </c>
      <c r="Q259" s="606" t="n">
        <f aca="false">Q258+1</f>
        <v>44</v>
      </c>
      <c r="R259" s="824" t="n">
        <f aca="false">R258-1</f>
        <v>-44</v>
      </c>
      <c r="S259" s="825" t="n">
        <f aca="false">D259</f>
        <v>86.242580910891</v>
      </c>
      <c r="T259" s="825" t="n">
        <f aca="false">O259</f>
        <v>71.8688174257425</v>
      </c>
      <c r="U259" s="5"/>
      <c r="V259" s="10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8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</row>
    <row r="260" s="504" customFormat="true" ht="14.1" hidden="true" customHeight="true" outlineLevel="0" collapsed="false">
      <c r="A260" s="5"/>
      <c r="B260" s="813" t="n">
        <f aca="false">B259+1</f>
        <v>45</v>
      </c>
      <c r="C260" s="814" t="n">
        <f aca="false">C259+D260</f>
        <v>3301.98813873295</v>
      </c>
      <c r="D260" s="815" t="n">
        <f aca="false">E260*$E$205*M260</f>
        <v>86.400260910891</v>
      </c>
      <c r="E260" s="601" t="n">
        <f aca="false">E259+$C$204</f>
        <v>5.47946860165468</v>
      </c>
      <c r="F260" s="816" t="n">
        <f aca="false">F259+1</f>
        <v>45</v>
      </c>
      <c r="G260" s="775" t="n">
        <f aca="false">C260</f>
        <v>3301.98813873295</v>
      </c>
      <c r="H260" s="817" t="n">
        <f aca="false">1000*(E260-E259)</f>
        <v>9.99999999999979</v>
      </c>
      <c r="I260" s="5"/>
      <c r="J260" s="818" t="n">
        <f aca="false">1000*(E260-$E$215)/(B260-$B$215)</f>
        <v>44.9748850793741</v>
      </c>
      <c r="K260" s="732" t="n">
        <f aca="false">AVERAGE($E$216:E260)</f>
        <v>5.0905797127658</v>
      </c>
      <c r="L260" s="819" t="n">
        <f aca="false">L259+1</f>
        <v>45</v>
      </c>
      <c r="M260" s="820" t="n">
        <f aca="false">IF(B260&lt;$E$104,$E$105,$E$106)</f>
        <v>3</v>
      </c>
      <c r="N260" s="821" t="n">
        <f aca="false">IF(B260&lt;$E$104,$E$105,$E$111)</f>
        <v>2.5</v>
      </c>
      <c r="O260" s="822" t="n">
        <f aca="false">E260*$E$205*N260</f>
        <v>72.0002174257425</v>
      </c>
      <c r="P260" s="823" t="n">
        <f aca="false">P259+O260</f>
        <v>2803.33738265365</v>
      </c>
      <c r="Q260" s="606" t="n">
        <f aca="false">Q259+1</f>
        <v>45</v>
      </c>
      <c r="R260" s="824" t="n">
        <f aca="false">R259-1</f>
        <v>-45</v>
      </c>
      <c r="S260" s="825" t="n">
        <f aca="false">D260</f>
        <v>86.400260910891</v>
      </c>
      <c r="T260" s="825" t="n">
        <f aca="false">O260</f>
        <v>72.0002174257425</v>
      </c>
      <c r="U260" s="5"/>
      <c r="V260" s="10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8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</row>
    <row r="261" s="504" customFormat="true" ht="14.1" hidden="true" customHeight="true" outlineLevel="0" collapsed="false">
      <c r="A261" s="5"/>
      <c r="B261" s="813" t="n">
        <f aca="false">B260+1</f>
        <v>46</v>
      </c>
      <c r="C261" s="814" t="n">
        <f aca="false">C260+D261</f>
        <v>3388.54607964384</v>
      </c>
      <c r="D261" s="815" t="n">
        <f aca="false">E261*$E$205*M261</f>
        <v>86.557940910891</v>
      </c>
      <c r="E261" s="601" t="n">
        <f aca="false">E260+$C$204</f>
        <v>5.48946860165468</v>
      </c>
      <c r="F261" s="816" t="n">
        <f aca="false">F260+1</f>
        <v>46</v>
      </c>
      <c r="G261" s="775" t="n">
        <f aca="false">C261</f>
        <v>3388.54607964384</v>
      </c>
      <c r="H261" s="817" t="n">
        <f aca="false">1000*(E261-E260)</f>
        <v>9.99999999999979</v>
      </c>
      <c r="I261" s="5"/>
      <c r="J261" s="818" t="n">
        <f aca="false">1000*(E261-$E$215)/(B261-$B$215)</f>
        <v>44.2145614906921</v>
      </c>
      <c r="K261" s="732" t="n">
        <f aca="false">AVERAGE($E$216:E261)</f>
        <v>5.09925121035034</v>
      </c>
      <c r="L261" s="819" t="n">
        <f aca="false">L260+1</f>
        <v>46</v>
      </c>
      <c r="M261" s="820" t="n">
        <f aca="false">IF(B261&lt;$E$104,$E$105,$E$106)</f>
        <v>3</v>
      </c>
      <c r="N261" s="821" t="n">
        <f aca="false">IF(B261&lt;$E$104,$E$105,$E$111)</f>
        <v>2.5</v>
      </c>
      <c r="O261" s="822" t="n">
        <f aca="false">E261*$E$205*N261</f>
        <v>72.1316174257425</v>
      </c>
      <c r="P261" s="823" t="n">
        <f aca="false">P260+O261</f>
        <v>2875.46900007939</v>
      </c>
      <c r="Q261" s="606" t="n">
        <f aca="false">Q260+1</f>
        <v>46</v>
      </c>
      <c r="R261" s="824" t="n">
        <f aca="false">R260-1</f>
        <v>-46</v>
      </c>
      <c r="S261" s="825" t="n">
        <f aca="false">D261</f>
        <v>86.557940910891</v>
      </c>
      <c r="T261" s="825" t="n">
        <f aca="false">O261</f>
        <v>72.1316174257425</v>
      </c>
      <c r="U261" s="5"/>
      <c r="V261" s="10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8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</row>
    <row r="262" s="504" customFormat="true" ht="14.1" hidden="true" customHeight="true" outlineLevel="0" collapsed="false">
      <c r="A262" s="5"/>
      <c r="B262" s="813" t="n">
        <f aca="false">B261+1</f>
        <v>47</v>
      </c>
      <c r="C262" s="814" t="n">
        <f aca="false">C261+D262</f>
        <v>3475.26170055473</v>
      </c>
      <c r="D262" s="815" t="n">
        <f aca="false">E262*$E$205*M262</f>
        <v>86.715620910891</v>
      </c>
      <c r="E262" s="601" t="n">
        <f aca="false">E261+$C$204</f>
        <v>5.49946860165468</v>
      </c>
      <c r="F262" s="816" t="n">
        <f aca="false">F261+1</f>
        <v>47</v>
      </c>
      <c r="G262" s="775" t="n">
        <f aca="false">C262</f>
        <v>3475.26170055473</v>
      </c>
      <c r="H262" s="817" t="n">
        <f aca="false">1000*(E262-E261)</f>
        <v>9.99999999999979</v>
      </c>
      <c r="I262" s="5"/>
      <c r="J262" s="818" t="n">
        <f aca="false">1000*(E262-$E$215)/(B262-$B$215)</f>
        <v>43.4865920972731</v>
      </c>
      <c r="K262" s="732" t="n">
        <f aca="false">AVERAGE($E$216:E262)</f>
        <v>5.10776647399511</v>
      </c>
      <c r="L262" s="819" t="n">
        <f aca="false">L261+1</f>
        <v>47</v>
      </c>
      <c r="M262" s="820" t="n">
        <f aca="false">IF(B262&lt;$E$104,$E$105,$E$106)</f>
        <v>3</v>
      </c>
      <c r="N262" s="821" t="n">
        <f aca="false">IF(B262&lt;$E$104,$E$105,$E$111)</f>
        <v>2.5</v>
      </c>
      <c r="O262" s="822" t="n">
        <f aca="false">E262*$E$205*N262</f>
        <v>72.2630174257425</v>
      </c>
      <c r="P262" s="823" t="n">
        <f aca="false">P261+O262</f>
        <v>2947.73201750513</v>
      </c>
      <c r="Q262" s="606" t="n">
        <f aca="false">Q261+1</f>
        <v>47</v>
      </c>
      <c r="R262" s="824" t="n">
        <f aca="false">R261-1</f>
        <v>-47</v>
      </c>
      <c r="S262" s="825" t="n">
        <f aca="false">D262</f>
        <v>86.715620910891</v>
      </c>
      <c r="T262" s="825" t="n">
        <f aca="false">O262</f>
        <v>72.2630174257425</v>
      </c>
      <c r="U262" s="5"/>
      <c r="V262" s="10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8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</row>
    <row r="263" s="504" customFormat="true" ht="14.1" hidden="true" customHeight="true" outlineLevel="0" collapsed="false">
      <c r="A263" s="5"/>
      <c r="B263" s="813" t="n">
        <f aca="false">B262+1</f>
        <v>48</v>
      </c>
      <c r="C263" s="814" t="n">
        <f aca="false">C262+D263</f>
        <v>3562.13500146562</v>
      </c>
      <c r="D263" s="815" t="n">
        <f aca="false">E263*$E$205*M263</f>
        <v>86.873300910891</v>
      </c>
      <c r="E263" s="601" t="n">
        <f aca="false">E262+$C$204</f>
        <v>5.50946860165468</v>
      </c>
      <c r="F263" s="816" t="n">
        <f aca="false">F262+1</f>
        <v>48</v>
      </c>
      <c r="G263" s="775" t="n">
        <f aca="false">C263</f>
        <v>3562.13500146562</v>
      </c>
      <c r="H263" s="817" t="n">
        <f aca="false">1000*(E263-E262)</f>
        <v>9.99999999999979</v>
      </c>
      <c r="I263" s="5"/>
      <c r="J263" s="818" t="n">
        <f aca="false">1000*(E263-$E$215)/(B263-$B$215)</f>
        <v>42.7889547619132</v>
      </c>
      <c r="K263" s="732" t="n">
        <f aca="false">AVERAGE($E$216:E263)</f>
        <v>5.11613526832135</v>
      </c>
      <c r="L263" s="819" t="n">
        <f aca="false">L262+1</f>
        <v>48</v>
      </c>
      <c r="M263" s="820" t="n">
        <f aca="false">IF(B263&lt;$E$104,$E$105,$E$106)</f>
        <v>3</v>
      </c>
      <c r="N263" s="821" t="n">
        <f aca="false">IF(B263&lt;$E$104,$E$105,$E$111)</f>
        <v>2.5</v>
      </c>
      <c r="O263" s="822" t="n">
        <f aca="false">E263*$E$205*N263</f>
        <v>72.3944174257425</v>
      </c>
      <c r="P263" s="823" t="n">
        <f aca="false">P262+O263</f>
        <v>3020.12643493087</v>
      </c>
      <c r="Q263" s="606" t="n">
        <f aca="false">Q262+1</f>
        <v>48</v>
      </c>
      <c r="R263" s="824" t="n">
        <f aca="false">R262-1</f>
        <v>-48</v>
      </c>
      <c r="S263" s="825" t="n">
        <f aca="false">D263</f>
        <v>86.873300910891</v>
      </c>
      <c r="T263" s="825" t="n">
        <f aca="false">O263</f>
        <v>72.3944174257425</v>
      </c>
      <c r="U263" s="5"/>
      <c r="V263" s="10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8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</row>
    <row r="264" s="504" customFormat="true" ht="14.1" hidden="true" customHeight="true" outlineLevel="0" collapsed="false">
      <c r="A264" s="5"/>
      <c r="B264" s="813" t="n">
        <f aca="false">B263+1</f>
        <v>49</v>
      </c>
      <c r="C264" s="814" t="n">
        <f aca="false">C263+D264</f>
        <v>3649.16598237651</v>
      </c>
      <c r="D264" s="815" t="n">
        <f aca="false">E264*$E$205*M264</f>
        <v>87.030980910891</v>
      </c>
      <c r="E264" s="601" t="n">
        <f aca="false">E263+$C$204</f>
        <v>5.51946860165468</v>
      </c>
      <c r="F264" s="816" t="n">
        <f aca="false">F263+1</f>
        <v>49</v>
      </c>
      <c r="G264" s="775" t="n">
        <f aca="false">C264</f>
        <v>3649.16598237651</v>
      </c>
      <c r="H264" s="817" t="n">
        <f aca="false">1000*(E264-E263)</f>
        <v>9.99999999999979</v>
      </c>
      <c r="I264" s="5"/>
      <c r="J264" s="818" t="n">
        <f aca="false">1000*(E264-$E$215)/(B264-$B$215)</f>
        <v>42.1197924198333</v>
      </c>
      <c r="K264" s="732" t="n">
        <f aca="false">AVERAGE($E$216:E264)</f>
        <v>5.12436656083836</v>
      </c>
      <c r="L264" s="819" t="n">
        <f aca="false">L263+1</f>
        <v>49</v>
      </c>
      <c r="M264" s="820" t="n">
        <f aca="false">IF(B264&lt;$E$104,$E$105,$E$106)</f>
        <v>3</v>
      </c>
      <c r="N264" s="821" t="n">
        <f aca="false">IF(B264&lt;$E$104,$E$105,$E$111)</f>
        <v>2.5</v>
      </c>
      <c r="O264" s="822" t="n">
        <f aca="false">E264*$E$205*N264</f>
        <v>72.5258174257425</v>
      </c>
      <c r="P264" s="823" t="n">
        <f aca="false">P263+O264</f>
        <v>3092.65225235662</v>
      </c>
      <c r="Q264" s="606" t="n">
        <f aca="false">Q263+1</f>
        <v>49</v>
      </c>
      <c r="R264" s="824" t="n">
        <f aca="false">R263-1</f>
        <v>-49</v>
      </c>
      <c r="S264" s="825" t="n">
        <f aca="false">D264</f>
        <v>87.030980910891</v>
      </c>
      <c r="T264" s="825" t="n">
        <f aca="false">O264</f>
        <v>72.5258174257425</v>
      </c>
      <c r="U264" s="5"/>
      <c r="V264" s="10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8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</row>
    <row r="265" s="504" customFormat="true" ht="14.1" hidden="true" customHeight="true" outlineLevel="0" collapsed="false">
      <c r="A265" s="5"/>
      <c r="B265" s="827" t="n">
        <f aca="false">B264+1</f>
        <v>50</v>
      </c>
      <c r="C265" s="768" t="n">
        <f aca="false">C264+D265</f>
        <v>3736.3546432874</v>
      </c>
      <c r="D265" s="828" t="n">
        <f aca="false">E265*$E$205*M265</f>
        <v>87.188660910891</v>
      </c>
      <c r="E265" s="787" t="n">
        <f aca="false">E264+$C$204</f>
        <v>5.52946860165468</v>
      </c>
      <c r="F265" s="829" t="n">
        <f aca="false">F264+1</f>
        <v>50</v>
      </c>
      <c r="G265" s="830" t="n">
        <f aca="false">C265</f>
        <v>3736.3546432874</v>
      </c>
      <c r="H265" s="831" t="n">
        <f aca="false">1000*(E265-E264)</f>
        <v>9.99999999999979</v>
      </c>
      <c r="I265" s="785"/>
      <c r="J265" s="832" t="n">
        <f aca="false">1000*(E265-$E$215)/(B265-$B$215)</f>
        <v>41.4773965714367</v>
      </c>
      <c r="K265" s="787" t="n">
        <f aca="false">AVERAGE($E$216:E265)</f>
        <v>5.13246860165468</v>
      </c>
      <c r="L265" s="833" t="n">
        <f aca="false">L264+1</f>
        <v>50</v>
      </c>
      <c r="M265" s="834" t="n">
        <f aca="false">IF(B265&lt;$E$104,$E$105,$E$106)</f>
        <v>3</v>
      </c>
      <c r="N265" s="835" t="n">
        <f aca="false">IF(B265&lt;$E$104,$E$105,$E$111)</f>
        <v>2.5</v>
      </c>
      <c r="O265" s="836" t="n">
        <f aca="false">E265*$E$205*N265</f>
        <v>72.6572174257425</v>
      </c>
      <c r="P265" s="837" t="n">
        <f aca="false">P264+O265</f>
        <v>3165.30946978236</v>
      </c>
      <c r="Q265" s="742" t="n">
        <f aca="false">Q264+1</f>
        <v>50</v>
      </c>
      <c r="R265" s="838" t="n">
        <f aca="false">R264-1</f>
        <v>-50</v>
      </c>
      <c r="S265" s="839" t="n">
        <f aca="false">D265</f>
        <v>87.188660910891</v>
      </c>
      <c r="T265" s="839" t="n">
        <f aca="false">O265</f>
        <v>72.6572174257425</v>
      </c>
      <c r="U265" s="5"/>
      <c r="V265" s="10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8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</row>
    <row r="266" s="504" customFormat="true" ht="14.1" hidden="true" customHeight="true" outlineLevel="0" collapsed="false">
      <c r="A266" s="5"/>
      <c r="B266" s="813" t="n">
        <f aca="false">B265+1</f>
        <v>51</v>
      </c>
      <c r="C266" s="814" t="n">
        <f aca="false">C265+D266</f>
        <v>3823.70098419829</v>
      </c>
      <c r="D266" s="815" t="n">
        <f aca="false">E266*$E$205*M266</f>
        <v>87.346340910891</v>
      </c>
      <c r="E266" s="601" t="n">
        <f aca="false">E265+$C$204</f>
        <v>5.53946860165468</v>
      </c>
      <c r="F266" s="816" t="n">
        <f aca="false">F265+1</f>
        <v>51</v>
      </c>
      <c r="G266" s="775" t="n">
        <f aca="false">C266</f>
        <v>3823.70098419829</v>
      </c>
      <c r="H266" s="817" t="n">
        <f aca="false">1000*(E266-E265)</f>
        <v>9.99999999999979</v>
      </c>
      <c r="I266" s="5"/>
      <c r="J266" s="818" t="n">
        <f aca="false">1000*(E266-$E$215)/(B266-$B$215)</f>
        <v>40.8601927170948</v>
      </c>
      <c r="K266" s="732" t="n">
        <f aca="false">AVERAGE($E$216:E266)</f>
        <v>5.14044899381155</v>
      </c>
      <c r="L266" s="819" t="n">
        <f aca="false">L265+1</f>
        <v>51</v>
      </c>
      <c r="M266" s="820" t="n">
        <f aca="false">IF(B266&lt;$E$104,$E$105,$E$106)</f>
        <v>3</v>
      </c>
      <c r="N266" s="821" t="n">
        <f aca="false">IF(B266&lt;$E$104,$E$105,$E$111)</f>
        <v>2.5</v>
      </c>
      <c r="O266" s="822" t="n">
        <f aca="false">E266*$E$205*N266</f>
        <v>72.7886174257425</v>
      </c>
      <c r="P266" s="823" t="n">
        <f aca="false">P265+O266</f>
        <v>3238.0980872081</v>
      </c>
      <c r="Q266" s="606" t="n">
        <f aca="false">Q265+1</f>
        <v>51</v>
      </c>
      <c r="R266" s="824" t="n">
        <f aca="false">R265-1</f>
        <v>-51</v>
      </c>
      <c r="S266" s="825" t="n">
        <f aca="false">D266</f>
        <v>87.346340910891</v>
      </c>
      <c r="T266" s="825" t="n">
        <f aca="false">O266</f>
        <v>72.7886174257425</v>
      </c>
      <c r="U266" s="5"/>
      <c r="V266" s="10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8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</row>
    <row r="267" s="504" customFormat="true" ht="14.1" hidden="true" customHeight="true" outlineLevel="0" collapsed="false">
      <c r="A267" s="5"/>
      <c r="B267" s="813" t="n">
        <f aca="false">B266+1</f>
        <v>52</v>
      </c>
      <c r="C267" s="814" t="n">
        <f aca="false">C266+D267</f>
        <v>3911.20500510918</v>
      </c>
      <c r="D267" s="815" t="n">
        <f aca="false">E267*$E$205*M267</f>
        <v>87.504020910891</v>
      </c>
      <c r="E267" s="601" t="n">
        <f aca="false">E266+$C$204</f>
        <v>5.54946860165468</v>
      </c>
      <c r="F267" s="816" t="n">
        <f aca="false">F266+1</f>
        <v>52</v>
      </c>
      <c r="G267" s="775" t="n">
        <f aca="false">C267</f>
        <v>3911.20500510918</v>
      </c>
      <c r="H267" s="817" t="n">
        <f aca="false">1000*(E267-E266)</f>
        <v>9.99999999999979</v>
      </c>
      <c r="I267" s="5"/>
      <c r="J267" s="818" t="n">
        <f aca="false">1000*(E267-$E$215)/(B267-$B$215)</f>
        <v>40.2667274725353</v>
      </c>
      <c r="K267" s="732" t="n">
        <f aca="false">AVERAGE($E$216:E267)</f>
        <v>5.14831475550084</v>
      </c>
      <c r="L267" s="819" t="n">
        <f aca="false">L266+1</f>
        <v>52</v>
      </c>
      <c r="M267" s="820" t="n">
        <f aca="false">IF(B267&lt;$E$104,$E$105,$E$106)</f>
        <v>3</v>
      </c>
      <c r="N267" s="821" t="n">
        <f aca="false">IF(B267&lt;$E$104,$E$105,$E$111)</f>
        <v>2.5</v>
      </c>
      <c r="O267" s="822" t="n">
        <f aca="false">E267*$E$205*N267</f>
        <v>72.9200174257425</v>
      </c>
      <c r="P267" s="823" t="n">
        <f aca="false">P266+O267</f>
        <v>3311.01810463384</v>
      </c>
      <c r="Q267" s="606" t="n">
        <f aca="false">Q266+1</f>
        <v>52</v>
      </c>
      <c r="R267" s="824" t="n">
        <f aca="false">R266-1</f>
        <v>-52</v>
      </c>
      <c r="S267" s="825" t="n">
        <f aca="false">D267</f>
        <v>87.504020910891</v>
      </c>
      <c r="T267" s="825" t="n">
        <f aca="false">O267</f>
        <v>72.9200174257425</v>
      </c>
      <c r="U267" s="5"/>
      <c r="V267" s="10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8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</row>
    <row r="268" s="504" customFormat="true" ht="14.1" hidden="true" customHeight="true" outlineLevel="0" collapsed="false">
      <c r="A268" s="5"/>
      <c r="B268" s="813" t="n">
        <f aca="false">B267+1</f>
        <v>53</v>
      </c>
      <c r="C268" s="814" t="n">
        <f aca="false">C267+D268</f>
        <v>3998.86670602007</v>
      </c>
      <c r="D268" s="815" t="n">
        <f aca="false">E268*$E$205*M268</f>
        <v>87.661700910891</v>
      </c>
      <c r="E268" s="601" t="n">
        <f aca="false">E267+$C$204</f>
        <v>5.55946860165468</v>
      </c>
      <c r="F268" s="816" t="n">
        <f aca="false">F267+1</f>
        <v>53</v>
      </c>
      <c r="G268" s="775" t="n">
        <f aca="false">C268</f>
        <v>3998.86670602007</v>
      </c>
      <c r="H268" s="817" t="n">
        <f aca="false">1000*(E268-E267)</f>
        <v>9.99999999999979</v>
      </c>
      <c r="I268" s="5"/>
      <c r="J268" s="818" t="n">
        <f aca="false">1000*(E268-$E$215)/(B268-$B$215)</f>
        <v>39.6956571428648</v>
      </c>
      <c r="K268" s="732" t="n">
        <f aca="false">AVERAGE($E$216:E268)</f>
        <v>5.15607237523959</v>
      </c>
      <c r="L268" s="819" t="n">
        <f aca="false">L267+1</f>
        <v>53</v>
      </c>
      <c r="M268" s="820" t="n">
        <f aca="false">IF(B268&lt;$E$104,$E$105,$E$106)</f>
        <v>3</v>
      </c>
      <c r="N268" s="821" t="n">
        <f aca="false">IF(B268&lt;$E$104,$E$105,$E$111)</f>
        <v>2.5</v>
      </c>
      <c r="O268" s="822" t="n">
        <f aca="false">E268*$E$205*N268</f>
        <v>73.0514174257425</v>
      </c>
      <c r="P268" s="823" t="n">
        <f aca="false">P267+O268</f>
        <v>3384.06952205959</v>
      </c>
      <c r="Q268" s="606" t="n">
        <f aca="false">Q267+1</f>
        <v>53</v>
      </c>
      <c r="R268" s="824" t="n">
        <f aca="false">R267-1</f>
        <v>-53</v>
      </c>
      <c r="S268" s="825" t="n">
        <f aca="false">D268</f>
        <v>87.661700910891</v>
      </c>
      <c r="T268" s="825" t="n">
        <f aca="false">O268</f>
        <v>73.0514174257425</v>
      </c>
      <c r="U268" s="5"/>
      <c r="V268" s="10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8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</row>
    <row r="269" s="504" customFormat="true" ht="14.1" hidden="true" customHeight="true" outlineLevel="0" collapsed="false">
      <c r="A269" s="5"/>
      <c r="B269" s="813" t="n">
        <f aca="false">B268+1</f>
        <v>54</v>
      </c>
      <c r="C269" s="814" t="n">
        <f aca="false">C268+D269</f>
        <v>4086.68608693097</v>
      </c>
      <c r="D269" s="815" t="n">
        <f aca="false">E269*$E$205*M269</f>
        <v>87.819380910891</v>
      </c>
      <c r="E269" s="601" t="n">
        <f aca="false">E268+$C$204</f>
        <v>5.56946860165468</v>
      </c>
      <c r="F269" s="816" t="n">
        <f aca="false">F268+1</f>
        <v>54</v>
      </c>
      <c r="G269" s="775" t="n">
        <f aca="false">C269</f>
        <v>4086.68608693097</v>
      </c>
      <c r="H269" s="817" t="n">
        <f aca="false">1000*(E269-E268)</f>
        <v>9.99999999999979</v>
      </c>
      <c r="I269" s="5"/>
      <c r="J269" s="818" t="n">
        <f aca="false">1000*(E269-$E$215)/(B269-$B$215)</f>
        <v>39.1457375661451</v>
      </c>
      <c r="K269" s="732" t="n">
        <f aca="false">AVERAGE($E$216:E269)</f>
        <v>5.16372786091394</v>
      </c>
      <c r="L269" s="819" t="n">
        <f aca="false">L268+1</f>
        <v>54</v>
      </c>
      <c r="M269" s="820" t="n">
        <f aca="false">IF(B269&lt;$E$104,$E$105,$E$106)</f>
        <v>3</v>
      </c>
      <c r="N269" s="821" t="n">
        <f aca="false">IF(B269&lt;$E$104,$E$105,$E$111)</f>
        <v>2.5</v>
      </c>
      <c r="O269" s="822" t="n">
        <f aca="false">E269*$E$205*N269</f>
        <v>73.1828174257425</v>
      </c>
      <c r="P269" s="823" t="n">
        <f aca="false">P268+O269</f>
        <v>3457.25233948533</v>
      </c>
      <c r="Q269" s="606" t="n">
        <f aca="false">Q268+1</f>
        <v>54</v>
      </c>
      <c r="R269" s="824" t="n">
        <f aca="false">R268-1</f>
        <v>-54</v>
      </c>
      <c r="S269" s="825" t="n">
        <f aca="false">D269</f>
        <v>87.819380910891</v>
      </c>
      <c r="T269" s="825" t="n">
        <f aca="false">O269</f>
        <v>73.1828174257425</v>
      </c>
      <c r="U269" s="5"/>
      <c r="V269" s="10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8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</row>
    <row r="270" s="504" customFormat="true" ht="14.1" hidden="true" customHeight="true" outlineLevel="0" collapsed="false">
      <c r="A270" s="5"/>
      <c r="B270" s="813" t="n">
        <f aca="false">B269+1</f>
        <v>55</v>
      </c>
      <c r="C270" s="814" t="n">
        <f aca="false">C269+D270</f>
        <v>4174.66314784186</v>
      </c>
      <c r="D270" s="815" t="n">
        <f aca="false">E270*$E$205*M270</f>
        <v>87.977060910891</v>
      </c>
      <c r="E270" s="601" t="n">
        <f aca="false">E269+$C$204</f>
        <v>5.57946860165468</v>
      </c>
      <c r="F270" s="816" t="n">
        <f aca="false">F269+1</f>
        <v>55</v>
      </c>
      <c r="G270" s="775" t="n">
        <f aca="false">C270</f>
        <v>4174.66314784186</v>
      </c>
      <c r="H270" s="817" t="n">
        <f aca="false">1000*(E270-E269)</f>
        <v>9.99999999999979</v>
      </c>
      <c r="I270" s="5"/>
      <c r="J270" s="818" t="n">
        <f aca="false">1000*(E270-$E$215)/(B270-$B$215)</f>
        <v>38.6158150649424</v>
      </c>
      <c r="K270" s="732" t="n">
        <f aca="false">AVERAGE($E$216:E270)</f>
        <v>5.17128678347287</v>
      </c>
      <c r="L270" s="819" t="n">
        <f aca="false">L269+1</f>
        <v>55</v>
      </c>
      <c r="M270" s="820" t="n">
        <f aca="false">IF(B270&lt;$E$104,$E$105,$E$106)</f>
        <v>3</v>
      </c>
      <c r="N270" s="821" t="n">
        <f aca="false">IF(B270&lt;$E$104,$E$105,$E$111)</f>
        <v>2.5</v>
      </c>
      <c r="O270" s="822" t="n">
        <f aca="false">E270*$E$205*N270</f>
        <v>73.3142174257425</v>
      </c>
      <c r="P270" s="823" t="n">
        <f aca="false">P269+O270</f>
        <v>3530.56655691107</v>
      </c>
      <c r="Q270" s="606" t="n">
        <f aca="false">Q269+1</f>
        <v>55</v>
      </c>
      <c r="R270" s="824" t="n">
        <f aca="false">R269-1</f>
        <v>-55</v>
      </c>
      <c r="S270" s="825" t="n">
        <f aca="false">D270</f>
        <v>87.977060910891</v>
      </c>
      <c r="T270" s="825" t="n">
        <f aca="false">O270</f>
        <v>73.3142174257425</v>
      </c>
      <c r="U270" s="5"/>
      <c r="V270" s="10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8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</row>
    <row r="271" s="504" customFormat="true" ht="14.1" hidden="true" customHeight="true" outlineLevel="0" collapsed="false">
      <c r="A271" s="5"/>
      <c r="B271" s="813" t="n">
        <f aca="false">B270+1</f>
        <v>56</v>
      </c>
      <c r="C271" s="814" t="n">
        <f aca="false">C270+D271</f>
        <v>4262.79788875275</v>
      </c>
      <c r="D271" s="815" t="n">
        <f aca="false">E271*$E$205*M271</f>
        <v>88.134740910891</v>
      </c>
      <c r="E271" s="601" t="n">
        <f aca="false">E270+$C$204</f>
        <v>5.58946860165468</v>
      </c>
      <c r="F271" s="816" t="n">
        <f aca="false">F270+1</f>
        <v>56</v>
      </c>
      <c r="G271" s="775" t="n">
        <f aca="false">C271</f>
        <v>4262.79788875275</v>
      </c>
      <c r="H271" s="817" t="n">
        <f aca="false">1000*(E271-E270)</f>
        <v>9.99999999999979</v>
      </c>
      <c r="I271" s="5"/>
      <c r="J271" s="818" t="n">
        <f aca="false">1000*(E271-$E$215)/(B271-$B$215)</f>
        <v>38.1048183673541</v>
      </c>
      <c r="K271" s="732" t="n">
        <f aca="false">AVERAGE($E$216:E271)</f>
        <v>5.1787543159404</v>
      </c>
      <c r="L271" s="819" t="n">
        <f aca="false">L270+1</f>
        <v>56</v>
      </c>
      <c r="M271" s="820" t="n">
        <f aca="false">IF(B271&lt;$E$104,$E$105,$E$106)</f>
        <v>3</v>
      </c>
      <c r="N271" s="821" t="n">
        <f aca="false">IF(B271&lt;$E$104,$E$105,$E$111)</f>
        <v>2.5</v>
      </c>
      <c r="O271" s="822" t="n">
        <f aca="false">E271*$E$205*N271</f>
        <v>73.4456174257425</v>
      </c>
      <c r="P271" s="823" t="n">
        <f aca="false">P270+O271</f>
        <v>3604.01217433681</v>
      </c>
      <c r="Q271" s="606" t="n">
        <f aca="false">Q270+1</f>
        <v>56</v>
      </c>
      <c r="R271" s="824" t="n">
        <f aca="false">R270-1</f>
        <v>-56</v>
      </c>
      <c r="S271" s="825" t="n">
        <f aca="false">D271</f>
        <v>88.134740910891</v>
      </c>
      <c r="T271" s="825" t="n">
        <f aca="false">O271</f>
        <v>73.4456174257425</v>
      </c>
      <c r="U271" s="5"/>
      <c r="V271" s="10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8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</row>
    <row r="272" s="504" customFormat="true" ht="14.1" hidden="true" customHeight="true" outlineLevel="0" collapsed="false">
      <c r="A272" s="5"/>
      <c r="B272" s="813" t="n">
        <f aca="false">B271+1</f>
        <v>57</v>
      </c>
      <c r="C272" s="814" t="n">
        <f aca="false">C271+D272</f>
        <v>4351.09030966364</v>
      </c>
      <c r="D272" s="815" t="n">
        <f aca="false">E272*$E$205*M272</f>
        <v>88.292420910891</v>
      </c>
      <c r="E272" s="601" t="n">
        <f aca="false">E271+$C$204</f>
        <v>5.59946860165468</v>
      </c>
      <c r="F272" s="816" t="n">
        <f aca="false">F271+1</f>
        <v>57</v>
      </c>
      <c r="G272" s="775" t="n">
        <f aca="false">C272</f>
        <v>4351.09030966364</v>
      </c>
      <c r="H272" s="817" t="n">
        <f aca="false">1000*(E272-E271)</f>
        <v>9.99999999999979</v>
      </c>
      <c r="I272" s="5"/>
      <c r="J272" s="818" t="n">
        <f aca="false">1000*(E272-$E$215)/(B272-$B$215)</f>
        <v>37.6117513784532</v>
      </c>
      <c r="K272" s="732" t="n">
        <f aca="false">AVERAGE($E$216:E272)</f>
        <v>5.18613526832135</v>
      </c>
      <c r="L272" s="819" t="n">
        <f aca="false">L271+1</f>
        <v>57</v>
      </c>
      <c r="M272" s="820" t="n">
        <f aca="false">IF(B272&lt;$E$104,$E$105,$E$106)</f>
        <v>3</v>
      </c>
      <c r="N272" s="821" t="n">
        <f aca="false">IF(B272&lt;$E$104,$E$105,$E$111)</f>
        <v>2.5</v>
      </c>
      <c r="O272" s="822" t="n">
        <f aca="false">E272*$E$205*N272</f>
        <v>73.5770174257425</v>
      </c>
      <c r="P272" s="823" t="n">
        <f aca="false">P271+O272</f>
        <v>3677.58919176256</v>
      </c>
      <c r="Q272" s="606" t="n">
        <f aca="false">Q271+1</f>
        <v>57</v>
      </c>
      <c r="R272" s="824" t="n">
        <f aca="false">R271-1</f>
        <v>-57</v>
      </c>
      <c r="S272" s="825" t="n">
        <f aca="false">D272</f>
        <v>88.292420910891</v>
      </c>
      <c r="T272" s="825" t="n">
        <f aca="false">O272</f>
        <v>73.5770174257425</v>
      </c>
      <c r="U272" s="5"/>
      <c r="V272" s="10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8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</row>
    <row r="273" s="504" customFormat="true" ht="14.1" hidden="true" customHeight="true" outlineLevel="0" collapsed="false">
      <c r="A273" s="5"/>
      <c r="B273" s="813" t="n">
        <f aca="false">B272+1</f>
        <v>58</v>
      </c>
      <c r="C273" s="814" t="n">
        <f aca="false">C272+D273</f>
        <v>4439.54041057453</v>
      </c>
      <c r="D273" s="815" t="n">
        <f aca="false">E273*$E$205*M273</f>
        <v>88.450100910891</v>
      </c>
      <c r="E273" s="601" t="n">
        <f aca="false">E272+$C$204</f>
        <v>5.60946860165468</v>
      </c>
      <c r="F273" s="816" t="n">
        <f aca="false">F272+1</f>
        <v>58</v>
      </c>
      <c r="G273" s="775" t="n">
        <f aca="false">C273</f>
        <v>4439.54041057453</v>
      </c>
      <c r="H273" s="817" t="n">
        <f aca="false">1000*(E273-E272)</f>
        <v>9.99999999999979</v>
      </c>
      <c r="I273" s="5"/>
      <c r="J273" s="818" t="n">
        <f aca="false">1000*(E273-$E$215)/(B273-$B$215)</f>
        <v>37.1356866995143</v>
      </c>
      <c r="K273" s="732" t="n">
        <f aca="false">AVERAGE($E$216:E273)</f>
        <v>5.19343411889606</v>
      </c>
      <c r="L273" s="819" t="n">
        <f aca="false">L272+1</f>
        <v>58</v>
      </c>
      <c r="M273" s="820" t="n">
        <f aca="false">IF(B273&lt;$E$104,$E$105,$E$106)</f>
        <v>3</v>
      </c>
      <c r="N273" s="821" t="n">
        <f aca="false">IF(B273&lt;$E$104,$E$105,$E$111)</f>
        <v>2.5</v>
      </c>
      <c r="O273" s="822" t="n">
        <f aca="false">E273*$E$205*N273</f>
        <v>73.7084174257425</v>
      </c>
      <c r="P273" s="823" t="n">
        <f aca="false">P272+O273</f>
        <v>3751.2976091883</v>
      </c>
      <c r="Q273" s="606" t="n">
        <f aca="false">Q272+1</f>
        <v>58</v>
      </c>
      <c r="R273" s="824" t="n">
        <f aca="false">R272-1</f>
        <v>-58</v>
      </c>
      <c r="S273" s="825" t="n">
        <f aca="false">D273</f>
        <v>88.450100910891</v>
      </c>
      <c r="T273" s="825" t="n">
        <f aca="false">O273</f>
        <v>73.7084174257425</v>
      </c>
      <c r="U273" s="5"/>
      <c r="V273" s="10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8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</row>
    <row r="274" s="504" customFormat="true" ht="14.1" hidden="true" customHeight="true" outlineLevel="0" collapsed="false">
      <c r="A274" s="5"/>
      <c r="B274" s="813" t="n">
        <f aca="false">B273+1</f>
        <v>59</v>
      </c>
      <c r="C274" s="814" t="n">
        <f aca="false">C273+D274</f>
        <v>4528.14819148542</v>
      </c>
      <c r="D274" s="815" t="n">
        <f aca="false">E274*$E$205*M274</f>
        <v>88.607780910891</v>
      </c>
      <c r="E274" s="601" t="n">
        <f aca="false">E273+$C$204</f>
        <v>5.61946860165468</v>
      </c>
      <c r="F274" s="816" t="n">
        <f aca="false">F273+1</f>
        <v>59</v>
      </c>
      <c r="G274" s="775" t="n">
        <f aca="false">C274</f>
        <v>4528.14819148542</v>
      </c>
      <c r="H274" s="817" t="n">
        <f aca="false">1000*(E274-E273)</f>
        <v>9.99999999999979</v>
      </c>
      <c r="I274" s="5"/>
      <c r="J274" s="818" t="n">
        <f aca="false">1000*(E274-$E$215)/(B274-$B$215)</f>
        <v>36.6757598063022</v>
      </c>
      <c r="K274" s="732" t="n">
        <f aca="false">AVERAGE($E$216:E274)</f>
        <v>5.20065504233265</v>
      </c>
      <c r="L274" s="819" t="n">
        <f aca="false">L273+1</f>
        <v>59</v>
      </c>
      <c r="M274" s="820" t="n">
        <f aca="false">IF(B274&lt;$E$104,$E$105,$E$106)</f>
        <v>3</v>
      </c>
      <c r="N274" s="821" t="n">
        <f aca="false">IF(B274&lt;$E$104,$E$105,$E$111)</f>
        <v>2.5</v>
      </c>
      <c r="O274" s="822" t="n">
        <f aca="false">E274*$E$205*N274</f>
        <v>73.8398174257425</v>
      </c>
      <c r="P274" s="823" t="n">
        <f aca="false">P273+O274</f>
        <v>3825.13742661404</v>
      </c>
      <c r="Q274" s="606" t="n">
        <f aca="false">Q273+1</f>
        <v>59</v>
      </c>
      <c r="R274" s="824" t="n">
        <f aca="false">R273-1</f>
        <v>-59</v>
      </c>
      <c r="S274" s="825" t="n">
        <f aca="false">D274</f>
        <v>88.607780910891</v>
      </c>
      <c r="T274" s="825" t="n">
        <f aca="false">O274</f>
        <v>73.8398174257425</v>
      </c>
      <c r="U274" s="5"/>
      <c r="V274" s="10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8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</row>
    <row r="275" s="504" customFormat="true" ht="14.1" hidden="true" customHeight="true" outlineLevel="0" collapsed="false">
      <c r="A275" s="5"/>
      <c r="B275" s="813" t="n">
        <f aca="false">B274+1</f>
        <v>60</v>
      </c>
      <c r="C275" s="814" t="n">
        <f aca="false">C274+D275</f>
        <v>4616.91365239631</v>
      </c>
      <c r="D275" s="815" t="n">
        <f aca="false">E275*$E$205*M275</f>
        <v>88.765460910891</v>
      </c>
      <c r="E275" s="601" t="n">
        <f aca="false">E274+$C$204</f>
        <v>5.62946860165468</v>
      </c>
      <c r="F275" s="816" t="n">
        <f aca="false">F274+1</f>
        <v>60</v>
      </c>
      <c r="G275" s="775" t="n">
        <f aca="false">C275</f>
        <v>4616.91365239631</v>
      </c>
      <c r="H275" s="817" t="n">
        <f aca="false">1000*(E275-E274)</f>
        <v>9.99999999999979</v>
      </c>
      <c r="I275" s="5"/>
      <c r="J275" s="818" t="n">
        <f aca="false">1000*(E275-$E$215)/(B275-$B$215)</f>
        <v>36.2311638095305</v>
      </c>
      <c r="K275" s="732" t="n">
        <f aca="false">AVERAGE($E$216:E275)</f>
        <v>5.20780193498802</v>
      </c>
      <c r="L275" s="819" t="n">
        <f aca="false">L274+1</f>
        <v>60</v>
      </c>
      <c r="M275" s="820" t="n">
        <f aca="false">IF(B275&lt;$E$104,$E$105,$E$106)</f>
        <v>3</v>
      </c>
      <c r="N275" s="821" t="n">
        <f aca="false">IF(B275&lt;$E$104,$E$105,$E$111)</f>
        <v>2.5</v>
      </c>
      <c r="O275" s="822" t="n">
        <f aca="false">E275*$E$205*N275</f>
        <v>73.9712174257425</v>
      </c>
      <c r="P275" s="823" t="n">
        <f aca="false">P274+O275</f>
        <v>3899.10864403978</v>
      </c>
      <c r="Q275" s="606" t="n">
        <f aca="false">Q274+1</f>
        <v>60</v>
      </c>
      <c r="R275" s="824" t="n">
        <f aca="false">R274-1</f>
        <v>-60</v>
      </c>
      <c r="S275" s="825" t="n">
        <f aca="false">D275</f>
        <v>88.765460910891</v>
      </c>
      <c r="T275" s="825" t="n">
        <f aca="false">O275</f>
        <v>73.9712174257425</v>
      </c>
      <c r="U275" s="5"/>
      <c r="V275" s="10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8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</row>
    <row r="276" s="504" customFormat="true" ht="14.1" hidden="true" customHeight="true" outlineLevel="0" collapsed="false">
      <c r="A276" s="5"/>
      <c r="B276" s="813" t="n">
        <f aca="false">B275+1</f>
        <v>61</v>
      </c>
      <c r="C276" s="814" t="n">
        <f aca="false">C275+D276</f>
        <v>4705.8367933072</v>
      </c>
      <c r="D276" s="815" t="n">
        <f aca="false">E276*$E$205*M276</f>
        <v>88.9231409108909</v>
      </c>
      <c r="E276" s="601" t="n">
        <f aca="false">E275+$C$204</f>
        <v>5.63946860165468</v>
      </c>
      <c r="F276" s="816" t="n">
        <f aca="false">F275+1</f>
        <v>61</v>
      </c>
      <c r="G276" s="775" t="n">
        <f aca="false">C276</f>
        <v>4705.8367933072</v>
      </c>
      <c r="H276" s="817" t="n">
        <f aca="false">1000*(E276-E275)</f>
        <v>9.99999999999979</v>
      </c>
      <c r="I276" s="5"/>
      <c r="J276" s="818" t="n">
        <f aca="false">1000*(E276-$E$215)/(B276-$B$215)</f>
        <v>35.8011447306858</v>
      </c>
      <c r="K276" s="732" t="n">
        <f aca="false">AVERAGE($E$216:E276)</f>
        <v>5.21487843772026</v>
      </c>
      <c r="L276" s="819" t="n">
        <f aca="false">L275+1</f>
        <v>61</v>
      </c>
      <c r="M276" s="820" t="n">
        <f aca="false">IF(B276&lt;$E$104,$E$105,$E$106)</f>
        <v>3</v>
      </c>
      <c r="N276" s="821" t="n">
        <f aca="false">IF(B276&lt;$E$104,$E$105,$E$111)</f>
        <v>2.5</v>
      </c>
      <c r="O276" s="822" t="n">
        <f aca="false">E276*$E$205*N276</f>
        <v>74.1026174257425</v>
      </c>
      <c r="P276" s="823" t="n">
        <f aca="false">P275+O276</f>
        <v>3973.21126146553</v>
      </c>
      <c r="Q276" s="606" t="n">
        <f aca="false">Q275+1</f>
        <v>61</v>
      </c>
      <c r="R276" s="824" t="n">
        <f aca="false">R275-1</f>
        <v>-61</v>
      </c>
      <c r="S276" s="825" t="n">
        <f aca="false">D276</f>
        <v>88.9231409108909</v>
      </c>
      <c r="T276" s="825" t="n">
        <f aca="false">O276</f>
        <v>74.1026174257425</v>
      </c>
      <c r="U276" s="5"/>
      <c r="V276" s="10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8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</row>
    <row r="277" s="504" customFormat="true" ht="14.1" hidden="true" customHeight="true" outlineLevel="0" collapsed="false">
      <c r="A277" s="5"/>
      <c r="B277" s="813" t="n">
        <f aca="false">B276+1</f>
        <v>62</v>
      </c>
      <c r="C277" s="814" t="n">
        <f aca="false">C276+D277</f>
        <v>4794.91761421809</v>
      </c>
      <c r="D277" s="815" t="n">
        <f aca="false">E277*$E$205*M277</f>
        <v>89.080820910891</v>
      </c>
      <c r="E277" s="601" t="n">
        <f aca="false">E276+$C$204</f>
        <v>5.64946860165468</v>
      </c>
      <c r="F277" s="816" t="n">
        <f aca="false">F276+1</f>
        <v>62</v>
      </c>
      <c r="G277" s="775" t="n">
        <f aca="false">C277</f>
        <v>4794.91761421809</v>
      </c>
      <c r="H277" s="817" t="n">
        <f aca="false">1000*(E277-E276)</f>
        <v>9.99999999999979</v>
      </c>
      <c r="I277" s="5"/>
      <c r="J277" s="818" t="n">
        <f aca="false">1000*(E277-$E$215)/(B277-$B$215)</f>
        <v>35.3849972350295</v>
      </c>
      <c r="K277" s="732" t="n">
        <f aca="false">AVERAGE($E$216:E277)</f>
        <v>5.22188795649339</v>
      </c>
      <c r="L277" s="819" t="n">
        <f aca="false">L276+1</f>
        <v>62</v>
      </c>
      <c r="M277" s="820" t="n">
        <f aca="false">IF(B277&lt;$E$104,$E$105,$E$106)</f>
        <v>3</v>
      </c>
      <c r="N277" s="821" t="n">
        <f aca="false">IF(B277&lt;$E$104,$E$105,$E$111)</f>
        <v>2.5</v>
      </c>
      <c r="O277" s="822" t="n">
        <f aca="false">E277*$E$205*N277</f>
        <v>74.2340174257425</v>
      </c>
      <c r="P277" s="823" t="n">
        <f aca="false">P276+O277</f>
        <v>4047.44527889127</v>
      </c>
      <c r="Q277" s="606" t="n">
        <f aca="false">Q276+1</f>
        <v>62</v>
      </c>
      <c r="R277" s="824" t="n">
        <f aca="false">R276-1</f>
        <v>-62</v>
      </c>
      <c r="S277" s="825" t="n">
        <f aca="false">D277</f>
        <v>89.080820910891</v>
      </c>
      <c r="T277" s="825" t="n">
        <f aca="false">O277</f>
        <v>74.2340174257425</v>
      </c>
      <c r="U277" s="5"/>
      <c r="V277" s="10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8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</row>
    <row r="278" s="504" customFormat="true" ht="14.1" hidden="true" customHeight="true" outlineLevel="0" collapsed="false">
      <c r="A278" s="5"/>
      <c r="B278" s="813" t="n">
        <f aca="false">B277+1</f>
        <v>63</v>
      </c>
      <c r="C278" s="814" t="n">
        <f aca="false">C277+D278</f>
        <v>4884.15611512898</v>
      </c>
      <c r="D278" s="815" t="n">
        <f aca="false">E278*$E$205*M278</f>
        <v>89.238500910891</v>
      </c>
      <c r="E278" s="601" t="n">
        <f aca="false">E277+$C$204</f>
        <v>5.65946860165468</v>
      </c>
      <c r="F278" s="816" t="n">
        <f aca="false">F277+1</f>
        <v>63</v>
      </c>
      <c r="G278" s="775" t="n">
        <f aca="false">C278</f>
        <v>4884.15611512898</v>
      </c>
      <c r="H278" s="817" t="n">
        <f aca="false">1000*(E278-E277)</f>
        <v>9.99999999999979</v>
      </c>
      <c r="I278" s="5"/>
      <c r="J278" s="818" t="n">
        <f aca="false">1000*(E278-$E$215)/(B278-$B$215)</f>
        <v>34.9820607709814</v>
      </c>
      <c r="K278" s="732" t="n">
        <f aca="false">AVERAGE($E$216:E278)</f>
        <v>5.22883368101976</v>
      </c>
      <c r="L278" s="819" t="n">
        <f aca="false">L277+1</f>
        <v>63</v>
      </c>
      <c r="M278" s="820" t="n">
        <f aca="false">IF(B278&lt;$E$104,$E$105,$E$106)</f>
        <v>3</v>
      </c>
      <c r="N278" s="821" t="n">
        <f aca="false">IF(B278&lt;$E$104,$E$105,$E$111)</f>
        <v>2.5</v>
      </c>
      <c r="O278" s="822" t="n">
        <f aca="false">E278*$E$205*N278</f>
        <v>74.3654174257425</v>
      </c>
      <c r="P278" s="823" t="n">
        <f aca="false">P277+O278</f>
        <v>4121.81069631701</v>
      </c>
      <c r="Q278" s="606" t="n">
        <f aca="false">Q277+1</f>
        <v>63</v>
      </c>
      <c r="R278" s="824" t="n">
        <f aca="false">R277-1</f>
        <v>-63</v>
      </c>
      <c r="S278" s="825" t="n">
        <f aca="false">D278</f>
        <v>89.238500910891</v>
      </c>
      <c r="T278" s="825" t="n">
        <f aca="false">O278</f>
        <v>74.3654174257425</v>
      </c>
      <c r="U278" s="5"/>
      <c r="V278" s="10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8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</row>
    <row r="279" s="504" customFormat="true" ht="14.1" hidden="true" customHeight="true" outlineLevel="0" collapsed="false">
      <c r="A279" s="5"/>
      <c r="B279" s="813" t="n">
        <f aca="false">B278+1</f>
        <v>64</v>
      </c>
      <c r="C279" s="814" t="n">
        <f aca="false">C278+D279</f>
        <v>4973.55229603987</v>
      </c>
      <c r="D279" s="815" t="n">
        <f aca="false">E279*$E$205*M279</f>
        <v>89.396180910891</v>
      </c>
      <c r="E279" s="601" t="n">
        <f aca="false">E278+$C$204</f>
        <v>5.66946860165468</v>
      </c>
      <c r="F279" s="816" t="n">
        <f aca="false">F278+1</f>
        <v>64</v>
      </c>
      <c r="G279" s="775" t="n">
        <f aca="false">C279</f>
        <v>4973.55229603987</v>
      </c>
      <c r="H279" s="817" t="n">
        <f aca="false">1000*(E279-E278)</f>
        <v>9.99999999999979</v>
      </c>
      <c r="I279" s="5"/>
      <c r="J279" s="818" t="n">
        <f aca="false">1000*(E279-$E$215)/(B279-$B$215)</f>
        <v>34.5917160714349</v>
      </c>
      <c r="K279" s="732" t="n">
        <f aca="false">AVERAGE($E$216:E279)</f>
        <v>5.23571860165468</v>
      </c>
      <c r="L279" s="819" t="n">
        <f aca="false">L278+1</f>
        <v>64</v>
      </c>
      <c r="M279" s="820" t="n">
        <f aca="false">IF(B279&lt;$E$104,$E$105,$E$106)</f>
        <v>3</v>
      </c>
      <c r="N279" s="821" t="n">
        <f aca="false">IF(B279&lt;$E$104,$E$105,$E$111)</f>
        <v>2.5</v>
      </c>
      <c r="O279" s="822" t="n">
        <f aca="false">E279*$E$205*N279</f>
        <v>74.4968174257425</v>
      </c>
      <c r="P279" s="823" t="n">
        <f aca="false">P278+O279</f>
        <v>4196.30751374276</v>
      </c>
      <c r="Q279" s="606" t="n">
        <f aca="false">Q278+1</f>
        <v>64</v>
      </c>
      <c r="R279" s="824" t="n">
        <f aca="false">R278-1</f>
        <v>-64</v>
      </c>
      <c r="S279" s="825" t="n">
        <f aca="false">D279</f>
        <v>89.396180910891</v>
      </c>
      <c r="T279" s="825" t="n">
        <f aca="false">O279</f>
        <v>74.4968174257425</v>
      </c>
      <c r="U279" s="5"/>
      <c r="V279" s="10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8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</row>
    <row r="280" s="504" customFormat="true" ht="14.1" hidden="true" customHeight="true" outlineLevel="0" collapsed="false">
      <c r="A280" s="5"/>
      <c r="B280" s="813" t="n">
        <f aca="false">B279+1</f>
        <v>65</v>
      </c>
      <c r="C280" s="814" t="n">
        <f aca="false">C279+D280</f>
        <v>5063.10615695077</v>
      </c>
      <c r="D280" s="815" t="n">
        <f aca="false">E280*$E$205*M280</f>
        <v>89.5538609108909</v>
      </c>
      <c r="E280" s="601" t="n">
        <f aca="false">E279+$C$204</f>
        <v>5.67946860165468</v>
      </c>
      <c r="F280" s="816" t="n">
        <f aca="false">F279+1</f>
        <v>65</v>
      </c>
      <c r="G280" s="775" t="n">
        <f aca="false">C280</f>
        <v>5063.10615695077</v>
      </c>
      <c r="H280" s="817" t="n">
        <f aca="false">1000*(E280-E279)</f>
        <v>9.99999999999979</v>
      </c>
      <c r="I280" s="5"/>
      <c r="J280" s="818" t="n">
        <f aca="false">1000*(E280-$E$215)/(B280-$B$215)</f>
        <v>34.2133819780282</v>
      </c>
      <c r="K280" s="732" t="n">
        <f aca="false">AVERAGE($E$216:E280)</f>
        <v>5.24254552473161</v>
      </c>
      <c r="L280" s="819" t="n">
        <f aca="false">L279+1</f>
        <v>65</v>
      </c>
      <c r="M280" s="820" t="n">
        <f aca="false">IF(B280&lt;$E$104,$E$105,$E$106)</f>
        <v>3</v>
      </c>
      <c r="N280" s="821" t="n">
        <f aca="false">IF(B280&lt;$E$104,$E$105,$E$111)</f>
        <v>2.5</v>
      </c>
      <c r="O280" s="822" t="n">
        <f aca="false">E280*$E$205*N280</f>
        <v>74.6282174257425</v>
      </c>
      <c r="P280" s="823" t="n">
        <f aca="false">P279+O280</f>
        <v>4270.9357311685</v>
      </c>
      <c r="Q280" s="606" t="n">
        <f aca="false">Q279+1</f>
        <v>65</v>
      </c>
      <c r="R280" s="824" t="n">
        <f aca="false">R279-1</f>
        <v>-65</v>
      </c>
      <c r="S280" s="825" t="n">
        <f aca="false">D280</f>
        <v>89.5538609108909</v>
      </c>
      <c r="T280" s="825" t="n">
        <f aca="false">O280</f>
        <v>74.6282174257425</v>
      </c>
      <c r="U280" s="5"/>
      <c r="V280" s="10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8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</row>
    <row r="281" s="504" customFormat="true" ht="14.1" hidden="true" customHeight="true" outlineLevel="0" collapsed="false">
      <c r="A281" s="5"/>
      <c r="B281" s="813" t="n">
        <f aca="false">B280+1</f>
        <v>66</v>
      </c>
      <c r="C281" s="814" t="n">
        <f aca="false">C280+D281</f>
        <v>5152.81769786166</v>
      </c>
      <c r="D281" s="815" t="n">
        <f aca="false">E281*$E$205*M281</f>
        <v>89.7115409108909</v>
      </c>
      <c r="E281" s="601" t="n">
        <f aca="false">E280+$C$204</f>
        <v>5.68946860165468</v>
      </c>
      <c r="F281" s="816" t="n">
        <f aca="false">F280+1</f>
        <v>66</v>
      </c>
      <c r="G281" s="775" t="n">
        <f aca="false">C281</f>
        <v>5152.81769786166</v>
      </c>
      <c r="H281" s="817" t="n">
        <f aca="false">1000*(E281-E280)</f>
        <v>9.99999999999979</v>
      </c>
      <c r="I281" s="5"/>
      <c r="J281" s="818" t="n">
        <f aca="false">1000*(E281-$E$215)/(B281-$B$215)</f>
        <v>33.8465125541186</v>
      </c>
      <c r="K281" s="732" t="n">
        <f aca="false">AVERAGE($E$216:E281)</f>
        <v>5.24931708650317</v>
      </c>
      <c r="L281" s="819" t="n">
        <f aca="false">L280+1</f>
        <v>66</v>
      </c>
      <c r="M281" s="820" t="n">
        <f aca="false">IF(B281&lt;$E$104,$E$105,$E$106)</f>
        <v>3</v>
      </c>
      <c r="N281" s="821" t="n">
        <f aca="false">IF(B281&lt;$E$104,$E$105,$E$111)</f>
        <v>2.5</v>
      </c>
      <c r="O281" s="822" t="n">
        <f aca="false">E281*$E$205*N281</f>
        <v>74.7596174257424</v>
      </c>
      <c r="P281" s="823" t="n">
        <f aca="false">P280+O281</f>
        <v>4345.69534859424</v>
      </c>
      <c r="Q281" s="606" t="n">
        <f aca="false">Q280+1</f>
        <v>66</v>
      </c>
      <c r="R281" s="824" t="n">
        <f aca="false">R280-1</f>
        <v>-66</v>
      </c>
      <c r="S281" s="825" t="n">
        <f aca="false">D281</f>
        <v>89.7115409108909</v>
      </c>
      <c r="T281" s="825" t="n">
        <f aca="false">O281</f>
        <v>74.7596174257424</v>
      </c>
      <c r="U281" s="5"/>
      <c r="V281" s="10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8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</row>
    <row r="282" s="504" customFormat="true" ht="14.1" hidden="true" customHeight="true" outlineLevel="0" collapsed="false">
      <c r="A282" s="5"/>
      <c r="B282" s="813" t="n">
        <f aca="false">B281+1</f>
        <v>67</v>
      </c>
      <c r="C282" s="814" t="n">
        <f aca="false">C281+D282</f>
        <v>5242.68691877255</v>
      </c>
      <c r="D282" s="815" t="n">
        <f aca="false">E282*$E$205*M282</f>
        <v>89.8692209108909</v>
      </c>
      <c r="E282" s="601" t="n">
        <f aca="false">E281+$C$204</f>
        <v>5.69946860165468</v>
      </c>
      <c r="F282" s="816" t="n">
        <f aca="false">F281+1</f>
        <v>67</v>
      </c>
      <c r="G282" s="775" t="n">
        <f aca="false">C282</f>
        <v>5242.68691877255</v>
      </c>
      <c r="H282" s="817" t="n">
        <f aca="false">1000*(E282-E281)</f>
        <v>9.99999999999979</v>
      </c>
      <c r="I282" s="5"/>
      <c r="J282" s="818" t="n">
        <f aca="false">1000*(E282-$E$215)/(B282-$B$215)</f>
        <v>33.490594456296</v>
      </c>
      <c r="K282" s="732" t="n">
        <f aca="false">AVERAGE($E$216:E282)</f>
        <v>5.25603576583379</v>
      </c>
      <c r="L282" s="819" t="n">
        <f aca="false">L281+1</f>
        <v>67</v>
      </c>
      <c r="M282" s="820" t="n">
        <f aca="false">IF(B282&lt;$E$104,$E$105,$E$106)</f>
        <v>3</v>
      </c>
      <c r="N282" s="821" t="n">
        <f aca="false">IF(B282&lt;$E$104,$E$105,$E$111)</f>
        <v>2.5</v>
      </c>
      <c r="O282" s="822" t="n">
        <f aca="false">E282*$E$205*N282</f>
        <v>74.8910174257424</v>
      </c>
      <c r="P282" s="823" t="n">
        <f aca="false">P281+O282</f>
        <v>4420.58636601998</v>
      </c>
      <c r="Q282" s="606" t="n">
        <f aca="false">Q281+1</f>
        <v>67</v>
      </c>
      <c r="R282" s="824" t="n">
        <f aca="false">R281-1</f>
        <v>-67</v>
      </c>
      <c r="S282" s="825" t="n">
        <f aca="false">D282</f>
        <v>89.8692209108909</v>
      </c>
      <c r="T282" s="825" t="n">
        <f aca="false">O282</f>
        <v>74.8910174257424</v>
      </c>
      <c r="U282" s="5"/>
      <c r="V282" s="10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8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</row>
    <row r="283" s="504" customFormat="true" ht="14.1" hidden="true" customHeight="true" outlineLevel="0" collapsed="false">
      <c r="A283" s="5"/>
      <c r="B283" s="813" t="n">
        <f aca="false">B282+1</f>
        <v>68</v>
      </c>
      <c r="C283" s="814" t="n">
        <f aca="false">C282+D283</f>
        <v>5332.71381968344</v>
      </c>
      <c r="D283" s="815" t="n">
        <f aca="false">E283*$E$205*M283</f>
        <v>90.0269009108909</v>
      </c>
      <c r="E283" s="601" t="n">
        <f aca="false">E282+$C$204</f>
        <v>5.70946860165468</v>
      </c>
      <c r="F283" s="816" t="n">
        <f aca="false">F282+1</f>
        <v>68</v>
      </c>
      <c r="G283" s="775" t="n">
        <f aca="false">C283</f>
        <v>5332.71381968344</v>
      </c>
      <c r="H283" s="817" t="n">
        <f aca="false">1000*(E283-E282)</f>
        <v>9.99999999999979</v>
      </c>
      <c r="I283" s="5"/>
      <c r="J283" s="818" t="n">
        <f aca="false">1000*(E283-$E$215)/(B283-$B$215)</f>
        <v>33.145144537821</v>
      </c>
      <c r="K283" s="732" t="n">
        <f aca="false">AVERAGE($E$216:E283)</f>
        <v>5.26270389577233</v>
      </c>
      <c r="L283" s="819" t="n">
        <f aca="false">L282+1</f>
        <v>68</v>
      </c>
      <c r="M283" s="820" t="n">
        <f aca="false">IF(B283&lt;$E$104,$E$105,$E$106)</f>
        <v>3</v>
      </c>
      <c r="N283" s="821" t="n">
        <f aca="false">IF(B283&lt;$E$104,$E$105,$E$111)</f>
        <v>2.5</v>
      </c>
      <c r="O283" s="822" t="n">
        <f aca="false">E283*$E$205*N283</f>
        <v>75.0224174257424</v>
      </c>
      <c r="P283" s="823" t="n">
        <f aca="false">P282+O283</f>
        <v>4495.60878344573</v>
      </c>
      <c r="Q283" s="606" t="n">
        <f aca="false">Q282+1</f>
        <v>68</v>
      </c>
      <c r="R283" s="824" t="n">
        <f aca="false">R282-1</f>
        <v>-68</v>
      </c>
      <c r="S283" s="825" t="n">
        <f aca="false">D283</f>
        <v>90.0269009108909</v>
      </c>
      <c r="T283" s="825" t="n">
        <f aca="false">O283</f>
        <v>75.0224174257424</v>
      </c>
      <c r="U283" s="5"/>
      <c r="V283" s="10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8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</row>
    <row r="284" s="504" customFormat="true" ht="14.1" hidden="true" customHeight="true" outlineLevel="0" collapsed="false">
      <c r="A284" s="5"/>
      <c r="B284" s="813" t="n">
        <f aca="false">B283+1</f>
        <v>69</v>
      </c>
      <c r="C284" s="814" t="n">
        <f aca="false">C283+D284</f>
        <v>5422.89840059433</v>
      </c>
      <c r="D284" s="815" t="n">
        <f aca="false">E284*$E$205*M284</f>
        <v>90.1845809108909</v>
      </c>
      <c r="E284" s="601" t="n">
        <f aca="false">E283+$C$204</f>
        <v>5.71946860165468</v>
      </c>
      <c r="F284" s="816" t="n">
        <f aca="false">F283+1</f>
        <v>69</v>
      </c>
      <c r="G284" s="775" t="n">
        <f aca="false">C284</f>
        <v>5422.89840059433</v>
      </c>
      <c r="H284" s="817" t="n">
        <f aca="false">1000*(E284-E283)</f>
        <v>9.99999999999979</v>
      </c>
      <c r="I284" s="5"/>
      <c r="J284" s="818" t="n">
        <f aca="false">1000*(E284-$E$215)/(B284-$B$215)</f>
        <v>32.8097076604613</v>
      </c>
      <c r="K284" s="732" t="n">
        <f aca="false">AVERAGE($E$216:E284)</f>
        <v>5.26932367411845</v>
      </c>
      <c r="L284" s="819" t="n">
        <f aca="false">L283+1</f>
        <v>69</v>
      </c>
      <c r="M284" s="820" t="n">
        <f aca="false">IF(B284&lt;$E$104,$E$105,$E$106)</f>
        <v>3</v>
      </c>
      <c r="N284" s="821" t="n">
        <f aca="false">IF(B284&lt;$E$104,$E$105,$E$111)</f>
        <v>2.5</v>
      </c>
      <c r="O284" s="822" t="n">
        <f aca="false">E284*$E$205*N284</f>
        <v>75.1538174257424</v>
      </c>
      <c r="P284" s="823" t="n">
        <f aca="false">P283+O284</f>
        <v>4570.76260087147</v>
      </c>
      <c r="Q284" s="606" t="n">
        <f aca="false">Q283+1</f>
        <v>69</v>
      </c>
      <c r="R284" s="824" t="n">
        <f aca="false">R283-1</f>
        <v>-69</v>
      </c>
      <c r="S284" s="825" t="n">
        <f aca="false">D284</f>
        <v>90.1845809108909</v>
      </c>
      <c r="T284" s="825" t="n">
        <f aca="false">O284</f>
        <v>75.1538174257424</v>
      </c>
      <c r="U284" s="5"/>
      <c r="V284" s="10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8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</row>
    <row r="285" s="504" customFormat="true" ht="14.1" hidden="true" customHeight="true" outlineLevel="0" collapsed="false">
      <c r="A285" s="5"/>
      <c r="B285" s="813" t="n">
        <f aca="false">B284+1</f>
        <v>70</v>
      </c>
      <c r="C285" s="814" t="n">
        <f aca="false">C284+D285</f>
        <v>5513.24066150522</v>
      </c>
      <c r="D285" s="815" t="n">
        <f aca="false">E285*$E$205*M285</f>
        <v>90.3422609108909</v>
      </c>
      <c r="E285" s="601" t="n">
        <f aca="false">E284+$C$204</f>
        <v>5.72946860165468</v>
      </c>
      <c r="F285" s="816" t="n">
        <f aca="false">F284+1</f>
        <v>70</v>
      </c>
      <c r="G285" s="775" t="n">
        <f aca="false">C285</f>
        <v>5513.24066150522</v>
      </c>
      <c r="H285" s="817" t="n">
        <f aca="false">1000*(E285-E284)</f>
        <v>9.99999999999979</v>
      </c>
      <c r="I285" s="5"/>
      <c r="J285" s="818" t="n">
        <f aca="false">1000*(E285-$E$215)/(B285-$B$215)</f>
        <v>32.4838546938833</v>
      </c>
      <c r="K285" s="732" t="n">
        <f aca="false">AVERAGE($E$216:E285)</f>
        <v>5.27589717308325</v>
      </c>
      <c r="L285" s="819" t="n">
        <f aca="false">L284+1</f>
        <v>70</v>
      </c>
      <c r="M285" s="820" t="n">
        <f aca="false">IF(B285&lt;$E$104,$E$105,$E$106)</f>
        <v>3</v>
      </c>
      <c r="N285" s="821" t="n">
        <f aca="false">IF(B285&lt;$E$104,$E$105,$E$111)</f>
        <v>2.5</v>
      </c>
      <c r="O285" s="822" t="n">
        <f aca="false">E285*$E$205*N285</f>
        <v>75.2852174257424</v>
      </c>
      <c r="P285" s="823" t="n">
        <f aca="false">P284+O285</f>
        <v>4646.04781829721</v>
      </c>
      <c r="Q285" s="606" t="n">
        <f aca="false">Q284+1</f>
        <v>70</v>
      </c>
      <c r="R285" s="824" t="n">
        <f aca="false">R284-1</f>
        <v>-70</v>
      </c>
      <c r="S285" s="825" t="n">
        <f aca="false">D285</f>
        <v>90.3422609108909</v>
      </c>
      <c r="T285" s="825" t="n">
        <f aca="false">O285</f>
        <v>75.2852174257424</v>
      </c>
      <c r="U285" s="5"/>
      <c r="V285" s="10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8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</row>
    <row r="286" s="504" customFormat="true" ht="14.1" hidden="true" customHeight="true" outlineLevel="0" collapsed="false">
      <c r="A286" s="5"/>
      <c r="B286" s="813" t="n">
        <f aca="false">B285+1</f>
        <v>71</v>
      </c>
      <c r="C286" s="814" t="n">
        <f aca="false">C285+D286</f>
        <v>5603.74060241611</v>
      </c>
      <c r="D286" s="815" t="n">
        <f aca="false">E286*$E$205*M286</f>
        <v>90.4999409108909</v>
      </c>
      <c r="E286" s="601" t="n">
        <f aca="false">E285+$C$204</f>
        <v>5.73946860165468</v>
      </c>
      <c r="F286" s="816" t="n">
        <f aca="false">F285+1</f>
        <v>71</v>
      </c>
      <c r="G286" s="775" t="n">
        <f aca="false">C286</f>
        <v>5603.74060241611</v>
      </c>
      <c r="H286" s="817" t="n">
        <f aca="false">1000*(E286-E285)</f>
        <v>9.99999999999979</v>
      </c>
      <c r="I286" s="5"/>
      <c r="J286" s="818" t="n">
        <f aca="false">1000*(E286-$E$215)/(B286-$B$215)</f>
        <v>32.1671806841103</v>
      </c>
      <c r="K286" s="732" t="n">
        <f aca="false">AVERAGE($E$216:E286)</f>
        <v>5.28242634813356</v>
      </c>
      <c r="L286" s="819" t="n">
        <f aca="false">L285+1</f>
        <v>71</v>
      </c>
      <c r="M286" s="820" t="n">
        <f aca="false">IF(B286&lt;$E$104,$E$105,$E$106)</f>
        <v>3</v>
      </c>
      <c r="N286" s="821" t="n">
        <f aca="false">IF(B286&lt;$E$104,$E$105,$E$111)</f>
        <v>2.5</v>
      </c>
      <c r="O286" s="822" t="n">
        <f aca="false">E286*$E$205*N286</f>
        <v>75.4166174257424</v>
      </c>
      <c r="P286" s="823" t="n">
        <f aca="false">P285+O286</f>
        <v>4721.46443572295</v>
      </c>
      <c r="Q286" s="606" t="n">
        <f aca="false">Q285+1</f>
        <v>71</v>
      </c>
      <c r="R286" s="824" t="n">
        <f aca="false">R285-1</f>
        <v>-71</v>
      </c>
      <c r="S286" s="825" t="n">
        <f aca="false">D286</f>
        <v>90.4999409108909</v>
      </c>
      <c r="T286" s="825" t="n">
        <f aca="false">O286</f>
        <v>75.4166174257424</v>
      </c>
      <c r="U286" s="5"/>
      <c r="V286" s="10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8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</row>
    <row r="287" s="504" customFormat="true" ht="14.1" hidden="true" customHeight="true" outlineLevel="0" collapsed="false">
      <c r="A287" s="5"/>
      <c r="B287" s="813" t="n">
        <f aca="false">B286+1</f>
        <v>72</v>
      </c>
      <c r="C287" s="814" t="n">
        <f aca="false">C286+D287</f>
        <v>5694.398223327</v>
      </c>
      <c r="D287" s="815" t="n">
        <f aca="false">E287*$E$205*M287</f>
        <v>90.6576209108909</v>
      </c>
      <c r="E287" s="601" t="n">
        <f aca="false">E286+$C$204</f>
        <v>5.74946860165468</v>
      </c>
      <c r="F287" s="816" t="n">
        <f aca="false">F286+1</f>
        <v>72</v>
      </c>
      <c r="G287" s="775" t="n">
        <f aca="false">C287</f>
        <v>5694.398223327</v>
      </c>
      <c r="H287" s="817" t="n">
        <f aca="false">1000*(E287-E286)</f>
        <v>9.99999999999979</v>
      </c>
      <c r="I287" s="5"/>
      <c r="J287" s="818" t="n">
        <f aca="false">1000*(E287-$E$215)/(B287-$B$215)</f>
        <v>31.8593031746087</v>
      </c>
      <c r="K287" s="732" t="n">
        <f aca="false">AVERAGE($E$216:E287)</f>
        <v>5.28891304609913</v>
      </c>
      <c r="L287" s="819" t="n">
        <f aca="false">L286+1</f>
        <v>72</v>
      </c>
      <c r="M287" s="820" t="n">
        <f aca="false">IF(B287&lt;$E$104,$E$105,$E$106)</f>
        <v>3</v>
      </c>
      <c r="N287" s="821" t="n">
        <f aca="false">IF(B287&lt;$E$104,$E$105,$E$111)</f>
        <v>2.5</v>
      </c>
      <c r="O287" s="822" t="n">
        <f aca="false">E287*$E$205*N287</f>
        <v>75.5480174257424</v>
      </c>
      <c r="P287" s="823" t="n">
        <f aca="false">P286+O287</f>
        <v>4797.01245314869</v>
      </c>
      <c r="Q287" s="606" t="n">
        <f aca="false">Q286+1</f>
        <v>72</v>
      </c>
      <c r="R287" s="824" t="n">
        <f aca="false">R286-1</f>
        <v>-72</v>
      </c>
      <c r="S287" s="825" t="n">
        <f aca="false">D287</f>
        <v>90.6576209108909</v>
      </c>
      <c r="T287" s="825" t="n">
        <f aca="false">O287</f>
        <v>75.5480174257424</v>
      </c>
      <c r="U287" s="5"/>
      <c r="V287" s="10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8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</row>
    <row r="288" s="504" customFormat="true" ht="14.1" hidden="true" customHeight="true" outlineLevel="0" collapsed="false">
      <c r="A288" s="5"/>
      <c r="B288" s="813" t="n">
        <f aca="false">B287+1</f>
        <v>73</v>
      </c>
      <c r="C288" s="814" t="n">
        <f aca="false">C287+D288</f>
        <v>5785.21352423789</v>
      </c>
      <c r="D288" s="815" t="n">
        <f aca="false">E288*$E$205*M288</f>
        <v>90.8153009108909</v>
      </c>
      <c r="E288" s="601" t="n">
        <f aca="false">E287+$C$204</f>
        <v>5.75946860165467</v>
      </c>
      <c r="F288" s="816" t="n">
        <f aca="false">F287+1</f>
        <v>73</v>
      </c>
      <c r="G288" s="775" t="n">
        <f aca="false">C288</f>
        <v>5785.21352423789</v>
      </c>
      <c r="H288" s="817" t="n">
        <f aca="false">1000*(E288-E287)</f>
        <v>9.99999999999979</v>
      </c>
      <c r="I288" s="5"/>
      <c r="J288" s="818" t="n">
        <f aca="false">1000*(E288-$E$215)/(B288-$B$215)</f>
        <v>31.5598606653675</v>
      </c>
      <c r="K288" s="732" t="n">
        <f aca="false">AVERAGE($E$216:E288)</f>
        <v>5.29535901261359</v>
      </c>
      <c r="L288" s="819" t="n">
        <f aca="false">L287+1</f>
        <v>73</v>
      </c>
      <c r="M288" s="820" t="n">
        <f aca="false">IF(B288&lt;$E$104,$E$105,$E$106)</f>
        <v>3</v>
      </c>
      <c r="N288" s="821" t="n">
        <f aca="false">IF(B288&lt;$E$104,$E$105,$E$111)</f>
        <v>2.5</v>
      </c>
      <c r="O288" s="822" t="n">
        <f aca="false">E288*$E$205*N288</f>
        <v>75.6794174257424</v>
      </c>
      <c r="P288" s="823" t="n">
        <f aca="false">P287+O288</f>
        <v>4872.69187057444</v>
      </c>
      <c r="Q288" s="606" t="n">
        <f aca="false">Q287+1</f>
        <v>73</v>
      </c>
      <c r="R288" s="824" t="n">
        <f aca="false">R287-1</f>
        <v>-73</v>
      </c>
      <c r="S288" s="825" t="n">
        <f aca="false">D288</f>
        <v>90.8153009108909</v>
      </c>
      <c r="T288" s="825" t="n">
        <f aca="false">O288</f>
        <v>75.6794174257424</v>
      </c>
      <c r="U288" s="5"/>
      <c r="V288" s="10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8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</row>
    <row r="289" s="504" customFormat="true" ht="14.1" hidden="true" customHeight="true" outlineLevel="0" collapsed="false">
      <c r="A289" s="5"/>
      <c r="B289" s="813" t="n">
        <f aca="false">B288+1</f>
        <v>74</v>
      </c>
      <c r="C289" s="814" t="n">
        <f aca="false">C288+D289</f>
        <v>5876.18650514878</v>
      </c>
      <c r="D289" s="815" t="n">
        <f aca="false">E289*$E$205*M289</f>
        <v>90.9729809108909</v>
      </c>
      <c r="E289" s="601" t="n">
        <f aca="false">E288+$C$204</f>
        <v>5.76946860165467</v>
      </c>
      <c r="F289" s="816" t="n">
        <f aca="false">F288+1</f>
        <v>74</v>
      </c>
      <c r="G289" s="775" t="n">
        <f aca="false">C289</f>
        <v>5876.18650514878</v>
      </c>
      <c r="H289" s="817" t="n">
        <f aca="false">1000*(E289-E288)</f>
        <v>9.99999999999979</v>
      </c>
      <c r="I289" s="5"/>
      <c r="J289" s="818" t="n">
        <f aca="false">1000*(E289-$E$215)/(B289-$B$215)</f>
        <v>31.2685111969166</v>
      </c>
      <c r="K289" s="732" t="n">
        <f aca="false">AVERAGE($E$216:E289)</f>
        <v>5.30176589895198</v>
      </c>
      <c r="L289" s="819" t="n">
        <f aca="false">L288+1</f>
        <v>74</v>
      </c>
      <c r="M289" s="820" t="n">
        <f aca="false">IF(B289&lt;$E$104,$E$105,$E$106)</f>
        <v>3</v>
      </c>
      <c r="N289" s="821" t="n">
        <f aca="false">IF(B289&lt;$E$104,$E$105,$E$111)</f>
        <v>2.5</v>
      </c>
      <c r="O289" s="822" t="n">
        <f aca="false">E289*$E$205*N289</f>
        <v>75.8108174257424</v>
      </c>
      <c r="P289" s="823" t="n">
        <f aca="false">P288+O289</f>
        <v>4948.50268800018</v>
      </c>
      <c r="Q289" s="606" t="n">
        <f aca="false">Q288+1</f>
        <v>74</v>
      </c>
      <c r="R289" s="824" t="n">
        <f aca="false">R288-1</f>
        <v>-74</v>
      </c>
      <c r="S289" s="825" t="n">
        <f aca="false">D289</f>
        <v>90.9729809108909</v>
      </c>
      <c r="T289" s="825" t="n">
        <f aca="false">O289</f>
        <v>75.8108174257424</v>
      </c>
      <c r="U289" s="5"/>
      <c r="V289" s="10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8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</row>
    <row r="290" s="504" customFormat="true" ht="14.1" hidden="true" customHeight="true" outlineLevel="0" collapsed="false">
      <c r="A290" s="5"/>
      <c r="B290" s="813" t="n">
        <f aca="false">B289+1</f>
        <v>75</v>
      </c>
      <c r="C290" s="814" t="n">
        <f aca="false">C289+D290</f>
        <v>5967.31716605967</v>
      </c>
      <c r="D290" s="815" t="n">
        <f aca="false">E290*$E$205*M290</f>
        <v>91.1306609108909</v>
      </c>
      <c r="E290" s="601" t="n">
        <f aca="false">E289+$C$204</f>
        <v>5.77946860165467</v>
      </c>
      <c r="F290" s="816" t="n">
        <f aca="false">F289+1</f>
        <v>75</v>
      </c>
      <c r="G290" s="775" t="n">
        <f aca="false">C290</f>
        <v>5967.31716605967</v>
      </c>
      <c r="H290" s="817" t="n">
        <f aca="false">1000*(E290-E289)</f>
        <v>9.99999999999979</v>
      </c>
      <c r="I290" s="5"/>
      <c r="J290" s="818" t="n">
        <f aca="false">1000*(E290-$E$215)/(B290-$B$215)</f>
        <v>30.9849310476244</v>
      </c>
      <c r="K290" s="732" t="n">
        <f aca="false">AVERAGE($E$216:E290)</f>
        <v>5.30813526832135</v>
      </c>
      <c r="L290" s="819" t="n">
        <f aca="false">L289+1</f>
        <v>75</v>
      </c>
      <c r="M290" s="820" t="n">
        <f aca="false">IF(B290&lt;$E$104,$E$105,$E$106)</f>
        <v>3</v>
      </c>
      <c r="N290" s="821" t="n">
        <f aca="false">IF(B290&lt;$E$104,$E$105,$E$111)</f>
        <v>2.5</v>
      </c>
      <c r="O290" s="822" t="n">
        <f aca="false">E290*$E$205*N290</f>
        <v>75.9422174257424</v>
      </c>
      <c r="P290" s="823" t="n">
        <f aca="false">P289+O290</f>
        <v>5024.44490542592</v>
      </c>
      <c r="Q290" s="606" t="n">
        <f aca="false">Q289+1</f>
        <v>75</v>
      </c>
      <c r="R290" s="824" t="n">
        <f aca="false">R289-1</f>
        <v>-75</v>
      </c>
      <c r="S290" s="825" t="n">
        <f aca="false">D290</f>
        <v>91.1306609108909</v>
      </c>
      <c r="T290" s="825" t="n">
        <f aca="false">O290</f>
        <v>75.9422174257424</v>
      </c>
      <c r="U290" s="5"/>
      <c r="V290" s="10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8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</row>
    <row r="291" s="504" customFormat="true" ht="14.1" hidden="true" customHeight="true" outlineLevel="0" collapsed="false">
      <c r="A291" s="5"/>
      <c r="B291" s="813" t="n">
        <f aca="false">B290+1</f>
        <v>76</v>
      </c>
      <c r="C291" s="814" t="n">
        <f aca="false">C290+D291</f>
        <v>6058.60550697056</v>
      </c>
      <c r="D291" s="815" t="n">
        <f aca="false">E291*$E$205*M291</f>
        <v>91.2883409108909</v>
      </c>
      <c r="E291" s="601" t="n">
        <f aca="false">E290+$C$204</f>
        <v>5.78946860165467</v>
      </c>
      <c r="F291" s="816" t="n">
        <f aca="false">F290+1</f>
        <v>76</v>
      </c>
      <c r="G291" s="775" t="n">
        <f aca="false">C291</f>
        <v>6058.60550697056</v>
      </c>
      <c r="H291" s="817" t="n">
        <f aca="false">1000*(E291-E290)</f>
        <v>9.99999999999979</v>
      </c>
      <c r="I291" s="5"/>
      <c r="J291" s="818" t="n">
        <f aca="false">1000*(E291-$E$215)/(B291-$B$215)</f>
        <v>30.7088135338398</v>
      </c>
      <c r="K291" s="732" t="n">
        <f aca="false">AVERAGE($E$216:E291)</f>
        <v>5.31446860165468</v>
      </c>
      <c r="L291" s="819" t="n">
        <f aca="false">L290+1</f>
        <v>76</v>
      </c>
      <c r="M291" s="820" t="n">
        <f aca="false">IF(B291&lt;$E$104,$E$105,$E$106)</f>
        <v>3</v>
      </c>
      <c r="N291" s="821" t="n">
        <f aca="false">IF(B291&lt;$E$104,$E$105,$E$111)</f>
        <v>2.5</v>
      </c>
      <c r="O291" s="822" t="n">
        <f aca="false">E291*$E$205*N291</f>
        <v>76.0736174257424</v>
      </c>
      <c r="P291" s="823" t="n">
        <f aca="false">P290+O291</f>
        <v>5100.51852285166</v>
      </c>
      <c r="Q291" s="606" t="n">
        <f aca="false">Q290+1</f>
        <v>76</v>
      </c>
      <c r="R291" s="824" t="n">
        <f aca="false">R290-1</f>
        <v>-76</v>
      </c>
      <c r="S291" s="825" t="n">
        <f aca="false">D291</f>
        <v>91.2883409108909</v>
      </c>
      <c r="T291" s="825" t="n">
        <f aca="false">O291</f>
        <v>76.0736174257424</v>
      </c>
      <c r="U291" s="5"/>
      <c r="V291" s="10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8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</row>
    <row r="292" s="504" customFormat="true" ht="14.1" hidden="true" customHeight="true" outlineLevel="0" collapsed="false">
      <c r="A292" s="5"/>
      <c r="B292" s="813" t="n">
        <f aca="false">B291+1</f>
        <v>77</v>
      </c>
      <c r="C292" s="814" t="n">
        <f aca="false">C291+D292</f>
        <v>6150.05152788146</v>
      </c>
      <c r="D292" s="815" t="n">
        <f aca="false">E292*$E$205*M292</f>
        <v>91.4460209108909</v>
      </c>
      <c r="E292" s="601" t="n">
        <f aca="false">E291+$C$204</f>
        <v>5.79946860165467</v>
      </c>
      <c r="F292" s="816" t="n">
        <f aca="false">F291+1</f>
        <v>77</v>
      </c>
      <c r="G292" s="775" t="n">
        <f aca="false">C292</f>
        <v>6150.05152788146</v>
      </c>
      <c r="H292" s="817" t="n">
        <f aca="false">1000*(E292-E291)</f>
        <v>9.99999999999979</v>
      </c>
      <c r="I292" s="5"/>
      <c r="J292" s="818" t="n">
        <f aca="false">1000*(E292-$E$215)/(B292-$B$215)</f>
        <v>30.4398679035302</v>
      </c>
      <c r="K292" s="732" t="n">
        <f aca="false">AVERAGE($E$216:E292)</f>
        <v>5.32076730295338</v>
      </c>
      <c r="L292" s="819" t="n">
        <f aca="false">L291+1</f>
        <v>77</v>
      </c>
      <c r="M292" s="820" t="n">
        <f aca="false">IF(B292&lt;$E$104,$E$105,$E$106)</f>
        <v>3</v>
      </c>
      <c r="N292" s="821" t="n">
        <f aca="false">IF(B292&lt;$E$104,$E$105,$E$111)</f>
        <v>2.5</v>
      </c>
      <c r="O292" s="822" t="n">
        <f aca="false">E292*$E$205*N292</f>
        <v>76.2050174257424</v>
      </c>
      <c r="P292" s="823" t="n">
        <f aca="false">P291+O292</f>
        <v>5176.72354027741</v>
      </c>
      <c r="Q292" s="606" t="n">
        <f aca="false">Q291+1</f>
        <v>77</v>
      </c>
      <c r="R292" s="824" t="n">
        <f aca="false">R291-1</f>
        <v>-77</v>
      </c>
      <c r="S292" s="825" t="n">
        <f aca="false">D292</f>
        <v>91.4460209108909</v>
      </c>
      <c r="T292" s="825" t="n">
        <f aca="false">O292</f>
        <v>76.2050174257424</v>
      </c>
      <c r="U292" s="5"/>
      <c r="V292" s="10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8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</row>
    <row r="293" s="504" customFormat="true" ht="14.1" hidden="true" customHeight="true" outlineLevel="0" collapsed="false">
      <c r="A293" s="5"/>
      <c r="B293" s="813" t="n">
        <f aca="false">B292+1</f>
        <v>78</v>
      </c>
      <c r="C293" s="814" t="n">
        <f aca="false">C292+D293</f>
        <v>6241.65522879235</v>
      </c>
      <c r="D293" s="815" t="n">
        <f aca="false">E293*$E$205*M293</f>
        <v>91.6037009108909</v>
      </c>
      <c r="E293" s="601" t="n">
        <f aca="false">E292+$C$204</f>
        <v>5.80946860165467</v>
      </c>
      <c r="F293" s="816" t="n">
        <f aca="false">F292+1</f>
        <v>78</v>
      </c>
      <c r="G293" s="775" t="n">
        <f aca="false">C293</f>
        <v>6241.65522879235</v>
      </c>
      <c r="H293" s="817" t="n">
        <f aca="false">1000*(E293-E292)</f>
        <v>9.99999999999979</v>
      </c>
      <c r="I293" s="5"/>
      <c r="J293" s="818" t="n">
        <f aca="false">1000*(E293-$E$215)/(B293-$B$215)</f>
        <v>30.1778183150234</v>
      </c>
      <c r="K293" s="732" t="n">
        <f aca="false">AVERAGE($E$216:E293)</f>
        <v>5.32703270421878</v>
      </c>
      <c r="L293" s="819" t="n">
        <f aca="false">L292+1</f>
        <v>78</v>
      </c>
      <c r="M293" s="820" t="n">
        <f aca="false">IF(B293&lt;$E$104,$E$105,$E$106)</f>
        <v>3</v>
      </c>
      <c r="N293" s="821" t="n">
        <f aca="false">IF(B293&lt;$E$104,$E$105,$E$111)</f>
        <v>2.5</v>
      </c>
      <c r="O293" s="822" t="n">
        <f aca="false">E293*$E$205*N293</f>
        <v>76.3364174257424</v>
      </c>
      <c r="P293" s="823" t="n">
        <f aca="false">P292+O293</f>
        <v>5253.05995770315</v>
      </c>
      <c r="Q293" s="606" t="n">
        <f aca="false">Q292+1</f>
        <v>78</v>
      </c>
      <c r="R293" s="824" t="n">
        <f aca="false">R292-1</f>
        <v>-78</v>
      </c>
      <c r="S293" s="825" t="n">
        <f aca="false">D293</f>
        <v>91.6037009108909</v>
      </c>
      <c r="T293" s="825" t="n">
        <f aca="false">O293</f>
        <v>76.3364174257424</v>
      </c>
      <c r="U293" s="5"/>
      <c r="V293" s="10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8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</row>
    <row r="294" s="504" customFormat="true" ht="14.1" hidden="true" customHeight="true" outlineLevel="0" collapsed="false">
      <c r="A294" s="5"/>
      <c r="B294" s="813" t="n">
        <f aca="false">B293+1</f>
        <v>79</v>
      </c>
      <c r="C294" s="814" t="n">
        <f aca="false">C293+D294</f>
        <v>6333.41660970324</v>
      </c>
      <c r="D294" s="815" t="n">
        <f aca="false">E294*$E$205*M294</f>
        <v>91.7613809108909</v>
      </c>
      <c r="E294" s="601" t="n">
        <f aca="false">E293+$C$204</f>
        <v>5.81946860165467</v>
      </c>
      <c r="F294" s="816" t="n">
        <f aca="false">F293+1</f>
        <v>79</v>
      </c>
      <c r="G294" s="775" t="n">
        <f aca="false">C294</f>
        <v>6333.41660970324</v>
      </c>
      <c r="H294" s="817" t="n">
        <f aca="false">1000*(E294-E293)</f>
        <v>9.99999999999979</v>
      </c>
      <c r="I294" s="5"/>
      <c r="J294" s="818" t="n">
        <f aca="false">1000*(E294-$E$215)/(B294-$B$215)</f>
        <v>29.9224028933143</v>
      </c>
      <c r="K294" s="732" t="n">
        <f aca="false">AVERAGE($E$216:E294)</f>
        <v>5.33326607000911</v>
      </c>
      <c r="L294" s="819" t="n">
        <f aca="false">L293+1</f>
        <v>79</v>
      </c>
      <c r="M294" s="820" t="n">
        <f aca="false">IF(B294&lt;$E$104,$E$105,$E$106)</f>
        <v>3</v>
      </c>
      <c r="N294" s="821" t="n">
        <f aca="false">IF(B294&lt;$E$104,$E$105,$E$111)</f>
        <v>2.5</v>
      </c>
      <c r="O294" s="822" t="n">
        <f aca="false">E294*$E$205*N294</f>
        <v>76.4678174257424</v>
      </c>
      <c r="P294" s="823" t="n">
        <f aca="false">P293+O294</f>
        <v>5329.52777512889</v>
      </c>
      <c r="Q294" s="606" t="n">
        <f aca="false">Q293+1</f>
        <v>79</v>
      </c>
      <c r="R294" s="824" t="n">
        <f aca="false">R293-1</f>
        <v>-79</v>
      </c>
      <c r="S294" s="825" t="n">
        <f aca="false">D294</f>
        <v>91.7613809108909</v>
      </c>
      <c r="T294" s="825" t="n">
        <f aca="false">O294</f>
        <v>76.4678174257424</v>
      </c>
      <c r="U294" s="5"/>
      <c r="V294" s="10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8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</row>
    <row r="295" s="504" customFormat="true" ht="14.1" hidden="true" customHeight="true" outlineLevel="0" collapsed="false">
      <c r="A295" s="5"/>
      <c r="B295" s="813" t="n">
        <f aca="false">B294+1</f>
        <v>80</v>
      </c>
      <c r="C295" s="814" t="n">
        <f aca="false">C294+D295</f>
        <v>6425.33567061413</v>
      </c>
      <c r="D295" s="815" t="n">
        <f aca="false">E295*$E$205*M295</f>
        <v>91.9190609108909</v>
      </c>
      <c r="E295" s="601" t="n">
        <f aca="false">E294+$C$204</f>
        <v>5.82946860165467</v>
      </c>
      <c r="F295" s="816" t="n">
        <f aca="false">F294+1</f>
        <v>80</v>
      </c>
      <c r="G295" s="775" t="n">
        <f aca="false">C295</f>
        <v>6425.33567061413</v>
      </c>
      <c r="H295" s="817" t="n">
        <f aca="false">1000*(E295-E294)</f>
        <v>9.99999999999979</v>
      </c>
      <c r="I295" s="5"/>
      <c r="J295" s="818" t="n">
        <f aca="false">1000*(E295-$E$215)/(B295-$B$215)</f>
        <v>29.6733728571478</v>
      </c>
      <c r="K295" s="732" t="n">
        <f aca="false">AVERAGE($E$216:E295)</f>
        <v>5.33946860165468</v>
      </c>
      <c r="L295" s="819" t="n">
        <f aca="false">L294+1</f>
        <v>80</v>
      </c>
      <c r="M295" s="820" t="n">
        <f aca="false">IF(B295&lt;$E$104,$E$105,$E$106)</f>
        <v>3</v>
      </c>
      <c r="N295" s="821" t="n">
        <f aca="false">IF(B295&lt;$E$104,$E$105,$E$111)</f>
        <v>2.5</v>
      </c>
      <c r="O295" s="822" t="n">
        <f aca="false">E295*$E$205*N295</f>
        <v>76.5992174257424</v>
      </c>
      <c r="P295" s="823" t="n">
        <f aca="false">P294+O295</f>
        <v>5406.12699255463</v>
      </c>
      <c r="Q295" s="606" t="n">
        <f aca="false">Q294+1</f>
        <v>80</v>
      </c>
      <c r="R295" s="824" t="n">
        <f aca="false">R294-1</f>
        <v>-80</v>
      </c>
      <c r="S295" s="825" t="n">
        <f aca="false">D295</f>
        <v>91.9190609108909</v>
      </c>
      <c r="T295" s="825" t="n">
        <f aca="false">O295</f>
        <v>76.5992174257424</v>
      </c>
      <c r="U295" s="5"/>
      <c r="V295" s="10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8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</row>
    <row r="296" s="504" customFormat="true" ht="14.1" hidden="true" customHeight="true" outlineLevel="0" collapsed="false">
      <c r="A296" s="5"/>
      <c r="B296" s="813" t="n">
        <f aca="false">B295+1</f>
        <v>81</v>
      </c>
      <c r="C296" s="814" t="n">
        <f aca="false">C295+D296</f>
        <v>6517.41241152502</v>
      </c>
      <c r="D296" s="815" t="n">
        <f aca="false">E296*$E$205*M296</f>
        <v>92.0767409108909</v>
      </c>
      <c r="E296" s="601" t="n">
        <f aca="false">E295+$C$204</f>
        <v>5.83946860165467</v>
      </c>
      <c r="F296" s="816" t="n">
        <f aca="false">F295+1</f>
        <v>81</v>
      </c>
      <c r="G296" s="775" t="n">
        <f aca="false">C296</f>
        <v>6517.41241152502</v>
      </c>
      <c r="H296" s="817" t="n">
        <f aca="false">1000*(E296-E295)</f>
        <v>9.99999999999979</v>
      </c>
      <c r="I296" s="5"/>
      <c r="J296" s="818" t="n">
        <f aca="false">1000*(E296-$E$215)/(B296-$B$215)</f>
        <v>29.4304917107633</v>
      </c>
      <c r="K296" s="732" t="n">
        <f aca="false">AVERAGE($E$216:E296)</f>
        <v>5.34564144116085</v>
      </c>
      <c r="L296" s="819" t="n">
        <f aca="false">L295+1</f>
        <v>81</v>
      </c>
      <c r="M296" s="820" t="n">
        <f aca="false">IF(B296&lt;$E$104,$E$105,$E$106)</f>
        <v>3</v>
      </c>
      <c r="N296" s="821" t="n">
        <f aca="false">IF(B296&lt;$E$104,$E$105,$E$111)</f>
        <v>2.5</v>
      </c>
      <c r="O296" s="822" t="n">
        <f aca="false">E296*$E$205*N296</f>
        <v>76.7306174257424</v>
      </c>
      <c r="P296" s="823" t="n">
        <f aca="false">P295+O296</f>
        <v>5482.85760998038</v>
      </c>
      <c r="Q296" s="606" t="n">
        <f aca="false">Q295+1</f>
        <v>81</v>
      </c>
      <c r="R296" s="824" t="n">
        <f aca="false">R295-1</f>
        <v>-81</v>
      </c>
      <c r="S296" s="825" t="n">
        <f aca="false">D296</f>
        <v>92.0767409108909</v>
      </c>
      <c r="T296" s="825" t="n">
        <f aca="false">O296</f>
        <v>76.7306174257424</v>
      </c>
      <c r="U296" s="5"/>
      <c r="V296" s="10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8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</row>
    <row r="297" s="504" customFormat="true" ht="14.1" hidden="true" customHeight="true" outlineLevel="0" collapsed="false">
      <c r="A297" s="5"/>
      <c r="B297" s="813" t="n">
        <f aca="false">B296+1</f>
        <v>82</v>
      </c>
      <c r="C297" s="814" t="n">
        <f aca="false">C296+D297</f>
        <v>6609.64683243591</v>
      </c>
      <c r="D297" s="815" t="n">
        <f aca="false">E297*$E$205*M297</f>
        <v>92.2344209108909</v>
      </c>
      <c r="E297" s="601" t="n">
        <f aca="false">E296+$C$204</f>
        <v>5.84946860165467</v>
      </c>
      <c r="F297" s="816" t="n">
        <f aca="false">F296+1</f>
        <v>82</v>
      </c>
      <c r="G297" s="775" t="n">
        <f aca="false">C297</f>
        <v>6609.64683243591</v>
      </c>
      <c r="H297" s="817" t="n">
        <f aca="false">1000*(E297-E296)</f>
        <v>9.99999999999979</v>
      </c>
      <c r="I297" s="5"/>
      <c r="J297" s="818" t="n">
        <f aca="false">1000*(E297-$E$215)/(B297-$B$215)</f>
        <v>29.1935344947784</v>
      </c>
      <c r="K297" s="732" t="n">
        <f aca="false">AVERAGE($E$216:E297)</f>
        <v>5.35178567482541</v>
      </c>
      <c r="L297" s="819" t="n">
        <f aca="false">L296+1</f>
        <v>82</v>
      </c>
      <c r="M297" s="820" t="n">
        <f aca="false">IF(B297&lt;$E$104,$E$105,$E$106)</f>
        <v>3</v>
      </c>
      <c r="N297" s="821" t="n">
        <f aca="false">IF(B297&lt;$E$104,$E$105,$E$111)</f>
        <v>2.5</v>
      </c>
      <c r="O297" s="822" t="n">
        <f aca="false">E297*$E$205*N297</f>
        <v>76.8620174257424</v>
      </c>
      <c r="P297" s="823" t="n">
        <f aca="false">P296+O297</f>
        <v>5559.71962740612</v>
      </c>
      <c r="Q297" s="606" t="n">
        <f aca="false">Q296+1</f>
        <v>82</v>
      </c>
      <c r="R297" s="824" t="n">
        <f aca="false">R296-1</f>
        <v>-82</v>
      </c>
      <c r="S297" s="825" t="n">
        <f aca="false">D297</f>
        <v>92.2344209108909</v>
      </c>
      <c r="T297" s="825" t="n">
        <f aca="false">O297</f>
        <v>76.8620174257424</v>
      </c>
      <c r="U297" s="5"/>
      <c r="V297" s="10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8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</row>
    <row r="298" s="504" customFormat="true" ht="14.1" hidden="true" customHeight="true" outlineLevel="0" collapsed="false">
      <c r="A298" s="5"/>
      <c r="B298" s="813" t="n">
        <f aca="false">B297+1</f>
        <v>83</v>
      </c>
      <c r="C298" s="814" t="n">
        <f aca="false">C297+D298</f>
        <v>6702.0389333468</v>
      </c>
      <c r="D298" s="815" t="n">
        <f aca="false">E298*$E$205*M298</f>
        <v>92.3921009108909</v>
      </c>
      <c r="E298" s="601" t="n">
        <f aca="false">E297+$C$204</f>
        <v>5.85946860165467</v>
      </c>
      <c r="F298" s="816" t="n">
        <f aca="false">F297+1</f>
        <v>83</v>
      </c>
      <c r="G298" s="775" t="n">
        <f aca="false">C298</f>
        <v>6702.0389333468</v>
      </c>
      <c r="H298" s="817" t="n">
        <f aca="false">1000*(E298-E297)</f>
        <v>9.99999999999979</v>
      </c>
      <c r="I298" s="5"/>
      <c r="J298" s="818" t="n">
        <f aca="false">1000*(E298-$E$215)/(B298-$B$215)</f>
        <v>28.9622870912268</v>
      </c>
      <c r="K298" s="732" t="n">
        <f aca="false">AVERAGE($E$216:E298)</f>
        <v>5.35790233659444</v>
      </c>
      <c r="L298" s="819" t="n">
        <f aca="false">L297+1</f>
        <v>83</v>
      </c>
      <c r="M298" s="820" t="n">
        <f aca="false">IF(B298&lt;$E$104,$E$105,$E$106)</f>
        <v>3</v>
      </c>
      <c r="N298" s="821" t="n">
        <f aca="false">IF(B298&lt;$E$104,$E$105,$E$111)</f>
        <v>2.5</v>
      </c>
      <c r="O298" s="822" t="n">
        <f aca="false">E298*$E$205*N298</f>
        <v>76.9934174257424</v>
      </c>
      <c r="P298" s="823" t="n">
        <f aca="false">P297+O298</f>
        <v>5636.71304483186</v>
      </c>
      <c r="Q298" s="606" t="n">
        <f aca="false">Q297+1</f>
        <v>83</v>
      </c>
      <c r="R298" s="824" t="n">
        <f aca="false">R297-1</f>
        <v>-83</v>
      </c>
      <c r="S298" s="825" t="n">
        <f aca="false">D298</f>
        <v>92.3921009108909</v>
      </c>
      <c r="T298" s="825" t="n">
        <f aca="false">O298</f>
        <v>76.9934174257424</v>
      </c>
      <c r="U298" s="5"/>
      <c r="V298" s="10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8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</row>
    <row r="299" s="504" customFormat="true" ht="14.1" hidden="true" customHeight="true" outlineLevel="0" collapsed="false">
      <c r="A299" s="5"/>
      <c r="B299" s="813" t="n">
        <f aca="false">B298+1</f>
        <v>84</v>
      </c>
      <c r="C299" s="814" t="n">
        <f aca="false">C298+D299</f>
        <v>6794.58871425769</v>
      </c>
      <c r="D299" s="815" t="n">
        <f aca="false">E299*$E$205*M299</f>
        <v>92.5497809108909</v>
      </c>
      <c r="E299" s="601" t="n">
        <f aca="false">E298+$C$204</f>
        <v>5.86946860165467</v>
      </c>
      <c r="F299" s="816" t="n">
        <f aca="false">F298+1</f>
        <v>84</v>
      </c>
      <c r="G299" s="775" t="n">
        <f aca="false">C299</f>
        <v>6794.58871425769</v>
      </c>
      <c r="H299" s="817" t="n">
        <f aca="false">1000*(E299-E298)</f>
        <v>9.99999999999979</v>
      </c>
      <c r="I299" s="5"/>
      <c r="J299" s="818" t="n">
        <f aca="false">1000*(E299-$E$215)/(B299-$B$215)</f>
        <v>28.736545578236</v>
      </c>
      <c r="K299" s="732" t="n">
        <f aca="false">AVERAGE($E$216:E299)</f>
        <v>5.36399241117849</v>
      </c>
      <c r="L299" s="819" t="n">
        <f aca="false">L298+1</f>
        <v>84</v>
      </c>
      <c r="M299" s="820" t="n">
        <f aca="false">IF(B299&lt;$E$104,$E$105,$E$106)</f>
        <v>3</v>
      </c>
      <c r="N299" s="821" t="n">
        <f aca="false">IF(B299&lt;$E$104,$E$105,$E$111)</f>
        <v>2.5</v>
      </c>
      <c r="O299" s="822" t="n">
        <f aca="false">E299*$E$205*N299</f>
        <v>77.1248174257424</v>
      </c>
      <c r="P299" s="823" t="n">
        <f aca="false">P298+O299</f>
        <v>5713.8378622576</v>
      </c>
      <c r="Q299" s="606" t="n">
        <f aca="false">Q298+1</f>
        <v>84</v>
      </c>
      <c r="R299" s="824" t="n">
        <f aca="false">R298-1</f>
        <v>-84</v>
      </c>
      <c r="S299" s="825" t="n">
        <f aca="false">D299</f>
        <v>92.5497809108909</v>
      </c>
      <c r="T299" s="825" t="n">
        <f aca="false">O299</f>
        <v>77.1248174257424</v>
      </c>
      <c r="U299" s="5"/>
      <c r="V299" s="10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8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</row>
    <row r="300" s="504" customFormat="true" ht="14.1" hidden="true" customHeight="true" outlineLevel="0" collapsed="false">
      <c r="A300" s="5"/>
      <c r="B300" s="813" t="n">
        <f aca="false">B299+1</f>
        <v>85</v>
      </c>
      <c r="C300" s="814" t="n">
        <f aca="false">C299+D300</f>
        <v>6887.29617516858</v>
      </c>
      <c r="D300" s="815" t="n">
        <f aca="false">E300*$E$205*M300</f>
        <v>92.7074609108909</v>
      </c>
      <c r="E300" s="601" t="n">
        <f aca="false">E299+$C$204</f>
        <v>5.87946860165467</v>
      </c>
      <c r="F300" s="816" t="n">
        <f aca="false">F299+1</f>
        <v>85</v>
      </c>
      <c r="G300" s="775" t="n">
        <f aca="false">C300</f>
        <v>6887.29617516858</v>
      </c>
      <c r="H300" s="817" t="n">
        <f aca="false">1000*(E300-E299)</f>
        <v>9.99999999999979</v>
      </c>
      <c r="I300" s="5"/>
      <c r="J300" s="818" t="n">
        <f aca="false">1000*(E300-$E$215)/(B300-$B$215)</f>
        <v>28.5161156302568</v>
      </c>
      <c r="K300" s="732" t="n">
        <f aca="false">AVERAGE($E$216:E300)</f>
        <v>5.3700568369488</v>
      </c>
      <c r="L300" s="819" t="n">
        <f aca="false">L299+1</f>
        <v>85</v>
      </c>
      <c r="M300" s="820" t="n">
        <f aca="false">IF(B300&lt;$E$104,$E$105,$E$106)</f>
        <v>3</v>
      </c>
      <c r="N300" s="821" t="n">
        <f aca="false">IF(B300&lt;$E$104,$E$105,$E$111)</f>
        <v>2.5</v>
      </c>
      <c r="O300" s="822" t="n">
        <f aca="false">E300*$E$205*N300</f>
        <v>77.2562174257424</v>
      </c>
      <c r="P300" s="823" t="n">
        <f aca="false">P299+O300</f>
        <v>5791.09407968335</v>
      </c>
      <c r="Q300" s="606" t="n">
        <f aca="false">Q299+1</f>
        <v>85</v>
      </c>
      <c r="R300" s="824" t="n">
        <f aca="false">R299-1</f>
        <v>-85</v>
      </c>
      <c r="S300" s="825" t="n">
        <f aca="false">D300</f>
        <v>92.7074609108909</v>
      </c>
      <c r="T300" s="825" t="n">
        <f aca="false">O300</f>
        <v>77.2562174257424</v>
      </c>
      <c r="U300" s="5"/>
      <c r="V300" s="10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8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</row>
    <row r="301" s="504" customFormat="true" ht="14.1" hidden="true" customHeight="true" outlineLevel="0" collapsed="false">
      <c r="A301" s="5"/>
      <c r="B301" s="813" t="n">
        <f aca="false">B300+1</f>
        <v>86</v>
      </c>
      <c r="C301" s="814" t="n">
        <f aca="false">C300+D301</f>
        <v>6980.16131607947</v>
      </c>
      <c r="D301" s="815" t="n">
        <f aca="false">E301*$E$205*M301</f>
        <v>92.8651409108909</v>
      </c>
      <c r="E301" s="601" t="n">
        <f aca="false">E300+$C$204</f>
        <v>5.88946860165467</v>
      </c>
      <c r="F301" s="816" t="n">
        <f aca="false">F300+1</f>
        <v>86</v>
      </c>
      <c r="G301" s="775" t="n">
        <f aca="false">C301</f>
        <v>6980.16131607947</v>
      </c>
      <c r="H301" s="817" t="n">
        <f aca="false">1000*(E301-E300)</f>
        <v>9.99999999999979</v>
      </c>
      <c r="I301" s="5"/>
      <c r="J301" s="818" t="n">
        <f aca="false">1000*(E301-$E$215)/(B301-$B$215)</f>
        <v>28.3008119601375</v>
      </c>
      <c r="K301" s="732" t="n">
        <f aca="false">AVERAGE($E$216:E301)</f>
        <v>5.37609650863143</v>
      </c>
      <c r="L301" s="819" t="n">
        <f aca="false">L300+1</f>
        <v>86</v>
      </c>
      <c r="M301" s="820" t="n">
        <f aca="false">IF(B301&lt;$E$104,$E$105,$E$106)</f>
        <v>3</v>
      </c>
      <c r="N301" s="821" t="n">
        <f aca="false">IF(B301&lt;$E$104,$E$105,$E$111)</f>
        <v>2.5</v>
      </c>
      <c r="O301" s="822" t="n">
        <f aca="false">E301*$E$205*N301</f>
        <v>77.3876174257424</v>
      </c>
      <c r="P301" s="823" t="n">
        <f aca="false">P300+O301</f>
        <v>5868.48169710909</v>
      </c>
      <c r="Q301" s="606" t="n">
        <f aca="false">Q300+1</f>
        <v>86</v>
      </c>
      <c r="R301" s="824" t="n">
        <f aca="false">R300-1</f>
        <v>-86</v>
      </c>
      <c r="S301" s="825" t="n">
        <f aca="false">D301</f>
        <v>92.8651409108909</v>
      </c>
      <c r="T301" s="825" t="n">
        <f aca="false">O301</f>
        <v>77.3876174257424</v>
      </c>
      <c r="U301" s="5"/>
      <c r="V301" s="10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8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</row>
    <row r="302" s="504" customFormat="true" ht="14.1" hidden="true" customHeight="true" outlineLevel="0" collapsed="false">
      <c r="A302" s="5"/>
      <c r="B302" s="813" t="n">
        <f aca="false">B301+1</f>
        <v>87</v>
      </c>
      <c r="C302" s="814" t="n">
        <f aca="false">C301+D302</f>
        <v>7073.18413699036</v>
      </c>
      <c r="D302" s="815" t="n">
        <f aca="false">E302*$E$205*M302</f>
        <v>93.0228209108909</v>
      </c>
      <c r="E302" s="601" t="n">
        <f aca="false">E301+$C$204</f>
        <v>5.89946860165467</v>
      </c>
      <c r="F302" s="816" t="n">
        <f aca="false">F301+1</f>
        <v>87</v>
      </c>
      <c r="G302" s="775" t="n">
        <f aca="false">C302</f>
        <v>7073.18413699036</v>
      </c>
      <c r="H302" s="817" t="n">
        <f aca="false">1000*(E302-E301)</f>
        <v>9.99999999999979</v>
      </c>
      <c r="I302" s="5"/>
      <c r="J302" s="818" t="n">
        <f aca="false">1000*(E302-$E$215)/(B302-$B$215)</f>
        <v>28.0904577996762</v>
      </c>
      <c r="K302" s="732" t="n">
        <f aca="false">AVERAGE($E$216:E302)</f>
        <v>5.3821122798156</v>
      </c>
      <c r="L302" s="819" t="n">
        <f aca="false">L301+1</f>
        <v>87</v>
      </c>
      <c r="M302" s="820" t="n">
        <f aca="false">IF(B302&lt;$E$104,$E$105,$E$106)</f>
        <v>3</v>
      </c>
      <c r="N302" s="821" t="n">
        <f aca="false">IF(B302&lt;$E$104,$E$105,$E$111)</f>
        <v>2.5</v>
      </c>
      <c r="O302" s="822" t="n">
        <f aca="false">E302*$E$205*N302</f>
        <v>77.5190174257424</v>
      </c>
      <c r="P302" s="823" t="n">
        <f aca="false">P301+O302</f>
        <v>5946.00071453483</v>
      </c>
      <c r="Q302" s="606" t="n">
        <f aca="false">Q301+1</f>
        <v>87</v>
      </c>
      <c r="R302" s="824" t="n">
        <f aca="false">R301-1</f>
        <v>-87</v>
      </c>
      <c r="S302" s="825" t="n">
        <f aca="false">D302</f>
        <v>93.0228209108909</v>
      </c>
      <c r="T302" s="825" t="n">
        <f aca="false">O302</f>
        <v>77.5190174257424</v>
      </c>
      <c r="U302" s="5"/>
      <c r="V302" s="10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8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</row>
    <row r="303" s="504" customFormat="true" ht="14.1" hidden="true" customHeight="true" outlineLevel="0" collapsed="false">
      <c r="A303" s="5"/>
      <c r="B303" s="813" t="n">
        <f aca="false">B302+1</f>
        <v>88</v>
      </c>
      <c r="C303" s="814" t="n">
        <f aca="false">C302+D303</f>
        <v>7166.36463790126</v>
      </c>
      <c r="D303" s="815" t="n">
        <f aca="false">E303*$E$205*M303</f>
        <v>93.1805009108909</v>
      </c>
      <c r="E303" s="601" t="n">
        <f aca="false">E302+$C$204</f>
        <v>5.90946860165467</v>
      </c>
      <c r="F303" s="816" t="n">
        <f aca="false">F302+1</f>
        <v>88</v>
      </c>
      <c r="G303" s="775" t="n">
        <f aca="false">C303</f>
        <v>7166.36463790126</v>
      </c>
      <c r="H303" s="817" t="n">
        <f aca="false">1000*(E303-E302)</f>
        <v>9.99999999999979</v>
      </c>
      <c r="I303" s="5"/>
      <c r="J303" s="818" t="n">
        <f aca="false">1000*(E303-$E$215)/(B303-$B$215)</f>
        <v>27.8848844155889</v>
      </c>
      <c r="K303" s="732" t="n">
        <f aca="false">AVERAGE($E$216:E303)</f>
        <v>5.38810496529104</v>
      </c>
      <c r="L303" s="819" t="n">
        <f aca="false">L302+1</f>
        <v>88</v>
      </c>
      <c r="M303" s="820" t="n">
        <f aca="false">IF(B303&lt;$E$104,$E$105,$E$106)</f>
        <v>3</v>
      </c>
      <c r="N303" s="821" t="n">
        <f aca="false">IF(B303&lt;$E$104,$E$105,$E$111)</f>
        <v>2.5</v>
      </c>
      <c r="O303" s="822" t="n">
        <f aca="false">E303*$E$205*N303</f>
        <v>77.6504174257424</v>
      </c>
      <c r="P303" s="823" t="n">
        <f aca="false">P302+O303</f>
        <v>6023.65113196057</v>
      </c>
      <c r="Q303" s="606" t="n">
        <f aca="false">Q302+1</f>
        <v>88</v>
      </c>
      <c r="R303" s="824" t="n">
        <f aca="false">R302-1</f>
        <v>-88</v>
      </c>
      <c r="S303" s="825" t="n">
        <f aca="false">D303</f>
        <v>93.1805009108909</v>
      </c>
      <c r="T303" s="825" t="n">
        <f aca="false">O303</f>
        <v>77.6504174257424</v>
      </c>
      <c r="U303" s="5"/>
      <c r="V303" s="10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8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</row>
    <row r="304" s="504" customFormat="true" ht="14.1" hidden="true" customHeight="true" outlineLevel="0" collapsed="false">
      <c r="A304" s="5"/>
      <c r="B304" s="813" t="n">
        <f aca="false">B303+1</f>
        <v>89</v>
      </c>
      <c r="C304" s="814" t="n">
        <f aca="false">C303+D304</f>
        <v>7259.70281881215</v>
      </c>
      <c r="D304" s="815" t="n">
        <f aca="false">E304*$E$205*M304</f>
        <v>93.3381809108909</v>
      </c>
      <c r="E304" s="601" t="n">
        <f aca="false">E303+$C$204</f>
        <v>5.91946860165467</v>
      </c>
      <c r="F304" s="816" t="n">
        <f aca="false">F303+1</f>
        <v>89</v>
      </c>
      <c r="G304" s="775" t="n">
        <f aca="false">C304</f>
        <v>7259.70281881215</v>
      </c>
      <c r="H304" s="817" t="n">
        <f aca="false">1000*(E304-E303)</f>
        <v>9.99999999999979</v>
      </c>
      <c r="I304" s="5"/>
      <c r="J304" s="818" t="n">
        <f aca="false">1000*(E304-$E$215)/(B304-$B$215)</f>
        <v>27.6839306581104</v>
      </c>
      <c r="K304" s="732" t="n">
        <f aca="false">AVERAGE($E$216:E304)</f>
        <v>5.39407534322771</v>
      </c>
      <c r="L304" s="819" t="n">
        <f aca="false">L303+1</f>
        <v>89</v>
      </c>
      <c r="M304" s="820" t="n">
        <f aca="false">IF(B304&lt;$E$104,$E$105,$E$106)</f>
        <v>3</v>
      </c>
      <c r="N304" s="821" t="n">
        <f aca="false">IF(B304&lt;$E$104,$E$105,$E$111)</f>
        <v>2.5</v>
      </c>
      <c r="O304" s="822" t="n">
        <f aca="false">E304*$E$205*N304</f>
        <v>77.7818174257424</v>
      </c>
      <c r="P304" s="823" t="n">
        <f aca="false">P303+O304</f>
        <v>6101.43294938632</v>
      </c>
      <c r="Q304" s="606" t="n">
        <f aca="false">Q303+1</f>
        <v>89</v>
      </c>
      <c r="R304" s="824" t="n">
        <f aca="false">R303-1</f>
        <v>-89</v>
      </c>
      <c r="S304" s="825" t="n">
        <f aca="false">D304</f>
        <v>93.3381809108909</v>
      </c>
      <c r="T304" s="825" t="n">
        <f aca="false">O304</f>
        <v>77.7818174257424</v>
      </c>
      <c r="U304" s="5"/>
      <c r="V304" s="10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8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</row>
    <row r="305" s="504" customFormat="true" ht="14.1" hidden="true" customHeight="true" outlineLevel="0" collapsed="false">
      <c r="A305" s="5"/>
      <c r="B305" s="813" t="n">
        <f aca="false">B304+1</f>
        <v>90</v>
      </c>
      <c r="C305" s="814" t="n">
        <f aca="false">C304+D305</f>
        <v>7353.19867972304</v>
      </c>
      <c r="D305" s="815" t="n">
        <f aca="false">E305*$E$205*M305</f>
        <v>93.4958609108909</v>
      </c>
      <c r="E305" s="601" t="n">
        <f aca="false">E304+$C$204</f>
        <v>5.92946860165467</v>
      </c>
      <c r="F305" s="816" t="n">
        <f aca="false">F304+1</f>
        <v>90</v>
      </c>
      <c r="G305" s="775" t="n">
        <f aca="false">C305</f>
        <v>7353.19867972304</v>
      </c>
      <c r="H305" s="817" t="n">
        <f aca="false">1000*(E305-E304)</f>
        <v>9.99999999999979</v>
      </c>
      <c r="I305" s="5"/>
      <c r="J305" s="818" t="n">
        <f aca="false">1000*(E305-$E$215)/(B305-$B$215)</f>
        <v>27.4874425396869</v>
      </c>
      <c r="K305" s="732" t="n">
        <f aca="false">AVERAGE($E$216:E305)</f>
        <v>5.40002415721024</v>
      </c>
      <c r="L305" s="819" t="n">
        <f aca="false">L304+1</f>
        <v>90</v>
      </c>
      <c r="M305" s="820" t="n">
        <f aca="false">IF(B305&lt;$E$104,$E$105,$E$106)</f>
        <v>3</v>
      </c>
      <c r="N305" s="821" t="n">
        <f aca="false">IF(B305&lt;$E$104,$E$105,$E$111)</f>
        <v>2.5</v>
      </c>
      <c r="O305" s="822" t="n">
        <f aca="false">E305*$E$205*N305</f>
        <v>77.9132174257424</v>
      </c>
      <c r="P305" s="823" t="n">
        <f aca="false">P304+O305</f>
        <v>6179.34616681206</v>
      </c>
      <c r="Q305" s="606" t="n">
        <f aca="false">Q304+1</f>
        <v>90</v>
      </c>
      <c r="R305" s="824" t="n">
        <f aca="false">R304-1</f>
        <v>-90</v>
      </c>
      <c r="S305" s="825" t="n">
        <f aca="false">D305</f>
        <v>93.4958609108909</v>
      </c>
      <c r="T305" s="825" t="n">
        <f aca="false">O305</f>
        <v>77.9132174257424</v>
      </c>
      <c r="U305" s="5"/>
      <c r="V305" s="10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8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</row>
    <row r="306" s="504" customFormat="true" ht="14.1" hidden="true" customHeight="true" outlineLevel="0" collapsed="false">
      <c r="A306" s="5"/>
      <c r="B306" s="813" t="n">
        <f aca="false">B305+1</f>
        <v>91</v>
      </c>
      <c r="C306" s="814" t="n">
        <f aca="false">C305+D306</f>
        <v>7446.85222063393</v>
      </c>
      <c r="D306" s="815" t="n">
        <f aca="false">E306*$E$205*M306</f>
        <v>93.6535409108909</v>
      </c>
      <c r="E306" s="601" t="n">
        <f aca="false">E305+$C$204</f>
        <v>5.93946860165467</v>
      </c>
      <c r="F306" s="816" t="n">
        <f aca="false">F305+1</f>
        <v>91</v>
      </c>
      <c r="G306" s="775" t="n">
        <f aca="false">C306</f>
        <v>7446.85222063393</v>
      </c>
      <c r="H306" s="817" t="n">
        <f aca="false">1000*(E306-E305)</f>
        <v>9.99999999999979</v>
      </c>
      <c r="I306" s="5"/>
      <c r="J306" s="818" t="n">
        <f aca="false">1000*(E306-$E$215)/(B306-$B$215)</f>
        <v>27.2952728414486</v>
      </c>
      <c r="K306" s="732" t="n">
        <f aca="false">AVERAGE($E$216:E306)</f>
        <v>5.4059521181382</v>
      </c>
      <c r="L306" s="819" t="n">
        <f aca="false">L305+1</f>
        <v>91</v>
      </c>
      <c r="M306" s="820" t="n">
        <f aca="false">IF(B306&lt;$E$104,$E$105,$E$106)</f>
        <v>3</v>
      </c>
      <c r="N306" s="821" t="n">
        <f aca="false">IF(B306&lt;$E$104,$E$105,$E$111)</f>
        <v>2.5</v>
      </c>
      <c r="O306" s="822" t="n">
        <f aca="false">E306*$E$205*N306</f>
        <v>78.0446174257424</v>
      </c>
      <c r="P306" s="823" t="n">
        <f aca="false">P305+O306</f>
        <v>6257.3907842378</v>
      </c>
      <c r="Q306" s="606" t="n">
        <f aca="false">Q305+1</f>
        <v>91</v>
      </c>
      <c r="R306" s="824" t="n">
        <f aca="false">R305-1</f>
        <v>-91</v>
      </c>
      <c r="S306" s="825" t="n">
        <f aca="false">D306</f>
        <v>93.6535409108909</v>
      </c>
      <c r="T306" s="825" t="n">
        <f aca="false">O306</f>
        <v>78.0446174257424</v>
      </c>
      <c r="U306" s="5"/>
      <c r="V306" s="10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8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</row>
    <row r="307" s="504" customFormat="true" ht="14.1" hidden="true" customHeight="true" outlineLevel="0" collapsed="false">
      <c r="A307" s="5"/>
      <c r="B307" s="813" t="n">
        <f aca="false">B306+1</f>
        <v>92</v>
      </c>
      <c r="C307" s="814" t="n">
        <f aca="false">C306+D307</f>
        <v>7540.66344154482</v>
      </c>
      <c r="D307" s="815" t="n">
        <f aca="false">E307*$E$205*M307</f>
        <v>93.8112209108909</v>
      </c>
      <c r="E307" s="601" t="n">
        <f aca="false">E306+$C$204</f>
        <v>5.94946860165467</v>
      </c>
      <c r="F307" s="816" t="n">
        <f aca="false">F306+1</f>
        <v>92</v>
      </c>
      <c r="G307" s="775" t="n">
        <f aca="false">C307</f>
        <v>7540.66344154482</v>
      </c>
      <c r="H307" s="817" t="n">
        <f aca="false">1000*(E307-E306)</f>
        <v>9.99999999999979</v>
      </c>
      <c r="I307" s="5"/>
      <c r="J307" s="818" t="n">
        <f aca="false">1000*(E307-$E$215)/(B307-$B$215)</f>
        <v>27.1072807453459</v>
      </c>
      <c r="K307" s="732" t="n">
        <f aca="false">AVERAGE($E$216:E307)</f>
        <v>5.41185990600251</v>
      </c>
      <c r="L307" s="819" t="n">
        <f aca="false">L306+1</f>
        <v>92</v>
      </c>
      <c r="M307" s="820" t="n">
        <f aca="false">IF(B307&lt;$E$104,$E$105,$E$106)</f>
        <v>3</v>
      </c>
      <c r="N307" s="821" t="n">
        <f aca="false">IF(B307&lt;$E$104,$E$105,$E$111)</f>
        <v>2.5</v>
      </c>
      <c r="O307" s="822" t="n">
        <f aca="false">E307*$E$205*N307</f>
        <v>78.1760174257424</v>
      </c>
      <c r="P307" s="823" t="n">
        <f aca="false">P306+O307</f>
        <v>6335.56680166354</v>
      </c>
      <c r="Q307" s="606" t="n">
        <f aca="false">Q306+1</f>
        <v>92</v>
      </c>
      <c r="R307" s="824" t="n">
        <f aca="false">R306-1</f>
        <v>-92</v>
      </c>
      <c r="S307" s="825" t="n">
        <f aca="false">D307</f>
        <v>93.8112209108909</v>
      </c>
      <c r="T307" s="825" t="n">
        <f aca="false">O307</f>
        <v>78.1760174257424</v>
      </c>
      <c r="U307" s="5"/>
      <c r="V307" s="10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8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</row>
    <row r="308" s="504" customFormat="true" ht="14.1" hidden="true" customHeight="true" outlineLevel="0" collapsed="false">
      <c r="A308" s="5"/>
      <c r="B308" s="813" t="n">
        <f aca="false">B307+1</f>
        <v>93</v>
      </c>
      <c r="C308" s="814" t="n">
        <f aca="false">C307+D308</f>
        <v>7634.63234245571</v>
      </c>
      <c r="D308" s="815" t="n">
        <f aca="false">E308*$E$205*M308</f>
        <v>93.9689009108909</v>
      </c>
      <c r="E308" s="601" t="n">
        <f aca="false">E307+$C$204</f>
        <v>5.95946860165467</v>
      </c>
      <c r="F308" s="816" t="n">
        <f aca="false">F307+1</f>
        <v>93</v>
      </c>
      <c r="G308" s="775" t="n">
        <f aca="false">C308</f>
        <v>7634.63234245571</v>
      </c>
      <c r="H308" s="817" t="n">
        <f aca="false">1000*(E308-E307)</f>
        <v>9.99999999999979</v>
      </c>
      <c r="I308" s="5"/>
      <c r="J308" s="818" t="n">
        <f aca="false">1000*(E308-$E$215)/(B308-$B$215)</f>
        <v>26.9233314900196</v>
      </c>
      <c r="K308" s="732" t="n">
        <f aca="false">AVERAGE($E$216:E308)</f>
        <v>5.41774817154715</v>
      </c>
      <c r="L308" s="819" t="n">
        <f aca="false">L307+1</f>
        <v>93</v>
      </c>
      <c r="M308" s="820" t="n">
        <f aca="false">IF(B308&lt;$E$104,$E$105,$E$106)</f>
        <v>3</v>
      </c>
      <c r="N308" s="821" t="n">
        <f aca="false">IF(B308&lt;$E$104,$E$105,$E$111)</f>
        <v>2.5</v>
      </c>
      <c r="O308" s="822" t="n">
        <f aca="false">E308*$E$205*N308</f>
        <v>78.3074174257424</v>
      </c>
      <c r="P308" s="823" t="n">
        <f aca="false">P307+O308</f>
        <v>6413.87421908928</v>
      </c>
      <c r="Q308" s="606" t="n">
        <f aca="false">Q307+1</f>
        <v>93</v>
      </c>
      <c r="R308" s="824" t="n">
        <f aca="false">R307-1</f>
        <v>-93</v>
      </c>
      <c r="S308" s="825" t="n">
        <f aca="false">D308</f>
        <v>93.9689009108909</v>
      </c>
      <c r="T308" s="825" t="n">
        <f aca="false">O308</f>
        <v>78.3074174257424</v>
      </c>
      <c r="U308" s="5"/>
      <c r="V308" s="10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8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</row>
    <row r="309" s="504" customFormat="true" ht="14.1" hidden="true" customHeight="true" outlineLevel="0" collapsed="false">
      <c r="A309" s="5"/>
      <c r="B309" s="813" t="n">
        <f aca="false">B308+1</f>
        <v>94</v>
      </c>
      <c r="C309" s="814" t="n">
        <f aca="false">C308+D309</f>
        <v>7728.7589233666</v>
      </c>
      <c r="D309" s="815" t="n">
        <f aca="false">E309*$E$205*M309</f>
        <v>94.1265809108908</v>
      </c>
      <c r="E309" s="601" t="n">
        <f aca="false">E308+$C$204</f>
        <v>5.96946860165467</v>
      </c>
      <c r="F309" s="816" t="n">
        <f aca="false">F308+1</f>
        <v>94</v>
      </c>
      <c r="G309" s="775" t="n">
        <f aca="false">C309</f>
        <v>7728.7589233666</v>
      </c>
      <c r="H309" s="817" t="n">
        <f aca="false">1000*(E309-E308)</f>
        <v>9.99999999999979</v>
      </c>
      <c r="I309" s="5"/>
      <c r="J309" s="818" t="n">
        <f aca="false">1000*(E309-$E$215)/(B309-$B$215)</f>
        <v>26.7432960486364</v>
      </c>
      <c r="K309" s="732" t="n">
        <f aca="false">AVERAGE($E$216:E309)</f>
        <v>5.42361753782489</v>
      </c>
      <c r="L309" s="819" t="n">
        <f aca="false">L308+1</f>
        <v>94</v>
      </c>
      <c r="M309" s="820" t="n">
        <f aca="false">IF(B309&lt;$E$104,$E$105,$E$106)</f>
        <v>3</v>
      </c>
      <c r="N309" s="821" t="n">
        <f aca="false">IF(B309&lt;$E$104,$E$105,$E$111)</f>
        <v>2.5</v>
      </c>
      <c r="O309" s="822" t="n">
        <f aca="false">E309*$E$205*N309</f>
        <v>78.4388174257424</v>
      </c>
      <c r="P309" s="823" t="n">
        <f aca="false">P308+O309</f>
        <v>6492.31303651503</v>
      </c>
      <c r="Q309" s="606" t="n">
        <f aca="false">Q308+1</f>
        <v>94</v>
      </c>
      <c r="R309" s="824" t="n">
        <f aca="false">R308-1</f>
        <v>-94</v>
      </c>
      <c r="S309" s="825" t="n">
        <f aca="false">D309</f>
        <v>94.1265809108908</v>
      </c>
      <c r="T309" s="825" t="n">
        <f aca="false">O309</f>
        <v>78.4388174257424</v>
      </c>
      <c r="U309" s="5"/>
      <c r="V309" s="10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8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</row>
    <row r="310" s="504" customFormat="true" ht="14.1" hidden="true" customHeight="true" outlineLevel="0" collapsed="false">
      <c r="A310" s="5"/>
      <c r="B310" s="813" t="n">
        <f aca="false">B309+1</f>
        <v>95</v>
      </c>
      <c r="C310" s="814" t="n">
        <f aca="false">C309+D310</f>
        <v>7823.04318427749</v>
      </c>
      <c r="D310" s="815" t="n">
        <f aca="false">E310*$E$205*M310</f>
        <v>94.2842609108908</v>
      </c>
      <c r="E310" s="601" t="n">
        <f aca="false">E309+$C$204</f>
        <v>5.97946860165467</v>
      </c>
      <c r="F310" s="816" t="n">
        <f aca="false">F309+1</f>
        <v>95</v>
      </c>
      <c r="G310" s="775" t="n">
        <f aca="false">C310</f>
        <v>7823.04318427749</v>
      </c>
      <c r="H310" s="817" t="n">
        <f aca="false">1000*(E310-E309)</f>
        <v>9.99999999999979</v>
      </c>
      <c r="I310" s="5"/>
      <c r="J310" s="818" t="n">
        <f aca="false">1000*(E310-$E$215)/(B310-$B$215)</f>
        <v>26.5670508270718</v>
      </c>
      <c r="K310" s="732" t="n">
        <f aca="false">AVERAGE($E$216:E310)</f>
        <v>5.42946860165468</v>
      </c>
      <c r="L310" s="819" t="n">
        <f aca="false">L309+1</f>
        <v>95</v>
      </c>
      <c r="M310" s="820" t="n">
        <f aca="false">IF(B310&lt;$E$104,$E$105,$E$106)</f>
        <v>3</v>
      </c>
      <c r="N310" s="821" t="n">
        <f aca="false">IF(B310&lt;$E$104,$E$105,$E$111)</f>
        <v>2.5</v>
      </c>
      <c r="O310" s="822" t="n">
        <f aca="false">E310*$E$205*N310</f>
        <v>78.5702174257424</v>
      </c>
      <c r="P310" s="823" t="n">
        <f aca="false">P309+O310</f>
        <v>6570.88325394077</v>
      </c>
      <c r="Q310" s="606" t="n">
        <f aca="false">Q309+1</f>
        <v>95</v>
      </c>
      <c r="R310" s="824" t="n">
        <f aca="false">R309-1</f>
        <v>-95</v>
      </c>
      <c r="S310" s="825" t="n">
        <f aca="false">D310</f>
        <v>94.2842609108908</v>
      </c>
      <c r="T310" s="825" t="n">
        <f aca="false">O310</f>
        <v>78.5702174257424</v>
      </c>
      <c r="U310" s="5"/>
      <c r="V310" s="10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8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</row>
    <row r="311" s="504" customFormat="true" ht="14.1" hidden="true" customHeight="true" outlineLevel="0" collapsed="false">
      <c r="A311" s="5"/>
      <c r="B311" s="813" t="n">
        <f aca="false">B310+1</f>
        <v>96</v>
      </c>
      <c r="C311" s="814" t="n">
        <f aca="false">C310+D311</f>
        <v>7917.48512518838</v>
      </c>
      <c r="D311" s="815" t="n">
        <f aca="false">E311*$E$205*M311</f>
        <v>94.4419409108908</v>
      </c>
      <c r="E311" s="601" t="n">
        <f aca="false">E310+$C$204</f>
        <v>5.98946860165467</v>
      </c>
      <c r="F311" s="816" t="n">
        <f aca="false">F310+1</f>
        <v>96</v>
      </c>
      <c r="G311" s="775" t="n">
        <f aca="false">C311</f>
        <v>7917.48512518838</v>
      </c>
      <c r="H311" s="817" t="n">
        <f aca="false">1000*(E311-E310)</f>
        <v>9.99999999999979</v>
      </c>
      <c r="I311" s="5"/>
      <c r="J311" s="818" t="n">
        <f aca="false">1000*(E311-$E$215)/(B311-$B$215)</f>
        <v>26.3944773809565</v>
      </c>
      <c r="K311" s="732" t="n">
        <f aca="false">AVERAGE($E$216:E311)</f>
        <v>5.43530193498801</v>
      </c>
      <c r="L311" s="819" t="n">
        <f aca="false">L310+1</f>
        <v>96</v>
      </c>
      <c r="M311" s="820" t="n">
        <f aca="false">IF(B311&lt;$E$104,$E$105,$E$106)</f>
        <v>3</v>
      </c>
      <c r="N311" s="821" t="n">
        <f aca="false">IF(B311&lt;$E$104,$E$105,$E$111)</f>
        <v>2.5</v>
      </c>
      <c r="O311" s="822" t="n">
        <f aca="false">E311*$E$205*N311</f>
        <v>78.7016174257424</v>
      </c>
      <c r="P311" s="823" t="n">
        <f aca="false">P310+O311</f>
        <v>6649.58487136651</v>
      </c>
      <c r="Q311" s="606" t="n">
        <f aca="false">Q310+1</f>
        <v>96</v>
      </c>
      <c r="R311" s="824" t="n">
        <f aca="false">R310-1</f>
        <v>-96</v>
      </c>
      <c r="S311" s="825" t="n">
        <f aca="false">D311</f>
        <v>94.4419409108908</v>
      </c>
      <c r="T311" s="825" t="n">
        <f aca="false">O311</f>
        <v>78.7016174257424</v>
      </c>
      <c r="U311" s="5"/>
      <c r="V311" s="10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8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</row>
    <row r="312" s="504" customFormat="true" ht="14.1" hidden="true" customHeight="true" outlineLevel="0" collapsed="false">
      <c r="A312" s="5"/>
      <c r="B312" s="813" t="n">
        <f aca="false">B311+1</f>
        <v>97</v>
      </c>
      <c r="C312" s="814" t="n">
        <f aca="false">C311+D312</f>
        <v>8012.08474609927</v>
      </c>
      <c r="D312" s="815" t="n">
        <f aca="false">E312*$E$205*M312</f>
        <v>94.5996209108908</v>
      </c>
      <c r="E312" s="601" t="n">
        <f aca="false">E311+$C$204</f>
        <v>5.99946860165467</v>
      </c>
      <c r="F312" s="816" t="n">
        <f aca="false">F311+1</f>
        <v>97</v>
      </c>
      <c r="G312" s="775" t="n">
        <f aca="false">C312</f>
        <v>8012.08474609927</v>
      </c>
      <c r="H312" s="817" t="n">
        <f aca="false">1000*(E312-E311)</f>
        <v>9.99999999999979</v>
      </c>
      <c r="I312" s="5"/>
      <c r="J312" s="818" t="n">
        <f aca="false">1000*(E312-$E$215)/(B312-$B$215)</f>
        <v>26.225462150225</v>
      </c>
      <c r="K312" s="732" t="n">
        <f aca="false">AVERAGE($E$216:E312)</f>
        <v>5.44111808619076</v>
      </c>
      <c r="L312" s="819" t="n">
        <f aca="false">L311+1</f>
        <v>97</v>
      </c>
      <c r="M312" s="820" t="n">
        <f aca="false">IF(B312&lt;$E$104,$E$105,$E$106)</f>
        <v>3</v>
      </c>
      <c r="N312" s="821" t="n">
        <f aca="false">IF(B312&lt;$E$104,$E$105,$E$111)</f>
        <v>2.5</v>
      </c>
      <c r="O312" s="822" t="n">
        <f aca="false">E312*$E$205*N312</f>
        <v>78.8330174257424</v>
      </c>
      <c r="P312" s="823" t="n">
        <f aca="false">P311+O312</f>
        <v>6728.41788879225</v>
      </c>
      <c r="Q312" s="606" t="n">
        <f aca="false">Q311+1</f>
        <v>97</v>
      </c>
      <c r="R312" s="824" t="n">
        <f aca="false">R311-1</f>
        <v>-97</v>
      </c>
      <c r="S312" s="825" t="n">
        <f aca="false">D312</f>
        <v>94.5996209108908</v>
      </c>
      <c r="T312" s="825" t="n">
        <f aca="false">O312</f>
        <v>78.8330174257424</v>
      </c>
      <c r="U312" s="5"/>
      <c r="V312" s="10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8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</row>
    <row r="313" s="504" customFormat="true" ht="14.1" hidden="true" customHeight="true" outlineLevel="0" collapsed="false">
      <c r="A313" s="5"/>
      <c r="B313" s="813" t="n">
        <f aca="false">B312+1</f>
        <v>98</v>
      </c>
      <c r="C313" s="814" t="n">
        <f aca="false">C312+D313</f>
        <v>8106.84204701016</v>
      </c>
      <c r="D313" s="815" t="n">
        <f aca="false">E313*$E$205*M313</f>
        <v>94.7573009108908</v>
      </c>
      <c r="E313" s="601" t="n">
        <f aca="false">E312+$C$204</f>
        <v>6.00946860165467</v>
      </c>
      <c r="F313" s="816" t="n">
        <f aca="false">F312+1</f>
        <v>98</v>
      </c>
      <c r="G313" s="775" t="n">
        <f aca="false">C313</f>
        <v>8106.84204701016</v>
      </c>
      <c r="H313" s="817" t="n">
        <f aca="false">1000*(E313-E312)</f>
        <v>9.99999999999979</v>
      </c>
      <c r="I313" s="5"/>
      <c r="J313" s="818" t="n">
        <f aca="false">1000*(E313-$E$215)/(B313-$B$215)</f>
        <v>26.0598962099166</v>
      </c>
      <c r="K313" s="732" t="n">
        <f aca="false">AVERAGE($E$216:E313)</f>
        <v>5.44691758124652</v>
      </c>
      <c r="L313" s="819" t="n">
        <f aca="false">L312+1</f>
        <v>98</v>
      </c>
      <c r="M313" s="820" t="n">
        <f aca="false">IF(B313&lt;$E$104,$E$105,$E$106)</f>
        <v>3</v>
      </c>
      <c r="N313" s="821" t="n">
        <f aca="false">IF(B313&lt;$E$104,$E$105,$E$111)</f>
        <v>2.5</v>
      </c>
      <c r="O313" s="822" t="n">
        <f aca="false">E313*$E$205*N313</f>
        <v>78.9644174257424</v>
      </c>
      <c r="P313" s="823" t="n">
        <f aca="false">P312+O313</f>
        <v>6807.382306218</v>
      </c>
      <c r="Q313" s="606" t="n">
        <f aca="false">Q312+1</f>
        <v>98</v>
      </c>
      <c r="R313" s="824" t="n">
        <f aca="false">R312-1</f>
        <v>-98</v>
      </c>
      <c r="S313" s="825" t="n">
        <f aca="false">D313</f>
        <v>94.7573009108908</v>
      </c>
      <c r="T313" s="825" t="n">
        <f aca="false">O313</f>
        <v>78.9644174257424</v>
      </c>
      <c r="U313" s="5"/>
      <c r="V313" s="10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8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</row>
    <row r="314" s="504" customFormat="true" ht="14.1" hidden="true" customHeight="true" outlineLevel="0" collapsed="false">
      <c r="A314" s="5"/>
      <c r="B314" s="813" t="n">
        <f aca="false">B313+1</f>
        <v>99</v>
      </c>
      <c r="C314" s="814" t="n">
        <f aca="false">C313+D314</f>
        <v>8201.75702792105</v>
      </c>
      <c r="D314" s="815" t="n">
        <f aca="false">E314*$E$205*M314</f>
        <v>94.9149809108908</v>
      </c>
      <c r="E314" s="601" t="n">
        <f aca="false">E313+$C$204</f>
        <v>6.01946860165467</v>
      </c>
      <c r="F314" s="816" t="n">
        <f aca="false">F313+1</f>
        <v>99</v>
      </c>
      <c r="G314" s="775" t="n">
        <f aca="false">C314</f>
        <v>8201.75702792105</v>
      </c>
      <c r="H314" s="817" t="n">
        <f aca="false">1000*(E314-E313)</f>
        <v>9.99999999999979</v>
      </c>
      <c r="I314" s="5"/>
      <c r="J314" s="818" t="n">
        <f aca="false">1000*(E314-$E$215)/(B314-$B$215)</f>
        <v>25.897675036079</v>
      </c>
      <c r="K314" s="732" t="n">
        <f aca="false">AVERAGE($E$216:E314)</f>
        <v>5.452700924887</v>
      </c>
      <c r="L314" s="819" t="n">
        <f aca="false">L313+1</f>
        <v>99</v>
      </c>
      <c r="M314" s="820" t="n">
        <f aca="false">IF(B314&lt;$E$104,$E$105,$E$106)</f>
        <v>3</v>
      </c>
      <c r="N314" s="821" t="n">
        <f aca="false">IF(B314&lt;$E$104,$E$105,$E$111)</f>
        <v>2.5</v>
      </c>
      <c r="O314" s="822" t="n">
        <f aca="false">E314*$E$205*N314</f>
        <v>79.0958174257424</v>
      </c>
      <c r="P314" s="823" t="n">
        <f aca="false">P313+O314</f>
        <v>6886.47812364374</v>
      </c>
      <c r="Q314" s="606" t="n">
        <f aca="false">Q313+1</f>
        <v>99</v>
      </c>
      <c r="R314" s="824" t="n">
        <f aca="false">R313-1</f>
        <v>-99</v>
      </c>
      <c r="S314" s="825" t="n">
        <f aca="false">D314</f>
        <v>94.9149809108908</v>
      </c>
      <c r="T314" s="825" t="n">
        <f aca="false">O314</f>
        <v>79.0958174257424</v>
      </c>
      <c r="U314" s="5"/>
      <c r="V314" s="10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8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</row>
    <row r="315" s="504" customFormat="true" ht="14.1" hidden="true" customHeight="true" outlineLevel="0" collapsed="false">
      <c r="A315" s="5"/>
      <c r="B315" s="827" t="n">
        <f aca="false">B314+1</f>
        <v>100</v>
      </c>
      <c r="C315" s="768" t="n">
        <f aca="false">C314+D315</f>
        <v>8296.82968883195</v>
      </c>
      <c r="D315" s="828" t="n">
        <f aca="false">E315*$E$205*M315</f>
        <v>95.0726609108908</v>
      </c>
      <c r="E315" s="787" t="n">
        <f aca="false">E314+$C$204</f>
        <v>6.02946860165467</v>
      </c>
      <c r="F315" s="829" t="n">
        <f aca="false">F314+1</f>
        <v>100</v>
      </c>
      <c r="G315" s="830" t="n">
        <f aca="false">C315</f>
        <v>8296.82968883195</v>
      </c>
      <c r="H315" s="831" t="n">
        <f aca="false">1000*(E315-E314)</f>
        <v>9.99999999999979</v>
      </c>
      <c r="I315" s="785"/>
      <c r="J315" s="832" t="n">
        <f aca="false">1000*(E315-$E$215)/(B315-$B$215)</f>
        <v>25.7386982857182</v>
      </c>
      <c r="K315" s="787" t="n">
        <f aca="false">AVERAGE($E$216:E315)</f>
        <v>5.45846860165468</v>
      </c>
      <c r="L315" s="833" t="n">
        <f aca="false">L314+1</f>
        <v>100</v>
      </c>
      <c r="M315" s="834" t="n">
        <f aca="false">IF(B315&lt;$E$104,$E$105,$E$106)</f>
        <v>3</v>
      </c>
      <c r="N315" s="835" t="n">
        <f aca="false">IF(B315&lt;$E$104,$E$105,$E$111)</f>
        <v>2.5</v>
      </c>
      <c r="O315" s="836" t="n">
        <f aca="false">E315*$E$205*N315</f>
        <v>79.2272174257424</v>
      </c>
      <c r="P315" s="837" t="n">
        <f aca="false">P314+O315</f>
        <v>6965.70534106948</v>
      </c>
      <c r="Q315" s="742" t="n">
        <f aca="false">Q314+1</f>
        <v>100</v>
      </c>
      <c r="R315" s="838" t="n">
        <f aca="false">R314-1</f>
        <v>-100</v>
      </c>
      <c r="S315" s="839" t="n">
        <f aca="false">D315</f>
        <v>95.0726609108908</v>
      </c>
      <c r="T315" s="839" t="n">
        <f aca="false">O315</f>
        <v>79.2272174257424</v>
      </c>
      <c r="U315" s="5"/>
      <c r="V315" s="10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8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</row>
    <row r="316" s="504" customFormat="true" ht="14.1" hidden="true" customHeight="true" outlineLevel="0" collapsed="false">
      <c r="A316" s="5"/>
      <c r="B316" s="813" t="n">
        <f aca="false">B315+1</f>
        <v>101</v>
      </c>
      <c r="C316" s="814" t="n">
        <f aca="false">C315+D316</f>
        <v>8392.06002974284</v>
      </c>
      <c r="D316" s="815" t="n">
        <f aca="false">E316*$E$205*M316</f>
        <v>95.2303409108908</v>
      </c>
      <c r="E316" s="601" t="n">
        <f aca="false">E315+$C$204</f>
        <v>6.03946860165467</v>
      </c>
      <c r="F316" s="816" t="n">
        <f aca="false">F315+1</f>
        <v>101</v>
      </c>
      <c r="G316" s="775" t="n">
        <f aca="false">C316</f>
        <v>8392.06002974284</v>
      </c>
      <c r="H316" s="817" t="n">
        <f aca="false">1000*(E316-E315)</f>
        <v>9.99999999999979</v>
      </c>
      <c r="I316" s="5"/>
      <c r="J316" s="818" t="n">
        <f aca="false">1000*(E316-$E$215)/(B316-$B$215)</f>
        <v>25.58286958982</v>
      </c>
      <c r="K316" s="732" t="n">
        <f aca="false">AVERAGE($E$216:E316)</f>
        <v>5.46422107690221</v>
      </c>
      <c r="L316" s="819" t="n">
        <f aca="false">L315+1</f>
        <v>101</v>
      </c>
      <c r="M316" s="820" t="n">
        <f aca="false">IF(B316&lt;$E$104,$E$105,$E$106)</f>
        <v>3</v>
      </c>
      <c r="N316" s="821" t="n">
        <f aca="false">IF(B316&lt;$E$104,$E$105,$E$111)</f>
        <v>2.5</v>
      </c>
      <c r="O316" s="822" t="n">
        <f aca="false">E316*$E$205*N316</f>
        <v>79.3586174257424</v>
      </c>
      <c r="P316" s="823" t="n">
        <f aca="false">P315+O316</f>
        <v>7045.06395849522</v>
      </c>
      <c r="Q316" s="606" t="n">
        <f aca="false">Q315+1</f>
        <v>101</v>
      </c>
      <c r="R316" s="824" t="n">
        <f aca="false">R315-1</f>
        <v>-101</v>
      </c>
      <c r="S316" s="825" t="n">
        <f aca="false">D316</f>
        <v>95.2303409108908</v>
      </c>
      <c r="T316" s="825" t="n">
        <f aca="false">O316</f>
        <v>79.3586174257424</v>
      </c>
      <c r="U316" s="5"/>
      <c r="V316" s="10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8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</row>
    <row r="317" s="504" customFormat="true" ht="14.1" hidden="true" customHeight="true" outlineLevel="0" collapsed="false">
      <c r="A317" s="5"/>
      <c r="B317" s="813" t="n">
        <f aca="false">B316+1</f>
        <v>102</v>
      </c>
      <c r="C317" s="814" t="n">
        <f aca="false">C316+D317</f>
        <v>8487.44805065373</v>
      </c>
      <c r="D317" s="815" t="n">
        <f aca="false">E317*$E$205*M317</f>
        <v>95.3880209108908</v>
      </c>
      <c r="E317" s="601" t="n">
        <f aca="false">E316+$C$204</f>
        <v>6.04946860165467</v>
      </c>
      <c r="F317" s="816" t="n">
        <f aca="false">F316+1</f>
        <v>102</v>
      </c>
      <c r="G317" s="775" t="n">
        <f aca="false">C317</f>
        <v>8487.44805065373</v>
      </c>
      <c r="H317" s="817" t="n">
        <f aca="false">1000*(E317-E316)</f>
        <v>9.99999999999979</v>
      </c>
      <c r="I317" s="5"/>
      <c r="J317" s="818" t="n">
        <f aca="false">1000*(E317-$E$215)/(B317-$B$215)</f>
        <v>25.4300963585473</v>
      </c>
      <c r="K317" s="732" t="n">
        <f aca="false">AVERAGE($E$216:E317)</f>
        <v>5.46995879773311</v>
      </c>
      <c r="L317" s="819" t="n">
        <f aca="false">L316+1</f>
        <v>102</v>
      </c>
      <c r="M317" s="820" t="n">
        <f aca="false">IF(B317&lt;$E$104,$E$105,$E$106)</f>
        <v>3</v>
      </c>
      <c r="N317" s="821" t="n">
        <f aca="false">IF(B317&lt;$E$104,$E$105,$E$111)</f>
        <v>2.5</v>
      </c>
      <c r="O317" s="822" t="n">
        <f aca="false">E317*$E$205*N317</f>
        <v>79.4900174257424</v>
      </c>
      <c r="P317" s="823" t="n">
        <f aca="false">P316+O317</f>
        <v>7124.55397592097</v>
      </c>
      <c r="Q317" s="606" t="n">
        <f aca="false">Q316+1</f>
        <v>102</v>
      </c>
      <c r="R317" s="824" t="n">
        <f aca="false">R316-1</f>
        <v>-102</v>
      </c>
      <c r="S317" s="825" t="n">
        <f aca="false">D317</f>
        <v>95.3880209108908</v>
      </c>
      <c r="T317" s="825" t="n">
        <f aca="false">O317</f>
        <v>79.4900174257424</v>
      </c>
      <c r="U317" s="5"/>
      <c r="V317" s="10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8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</row>
    <row r="318" s="504" customFormat="true" ht="14.1" hidden="true" customHeight="true" outlineLevel="0" collapsed="false">
      <c r="A318" s="5"/>
      <c r="B318" s="813" t="n">
        <f aca="false">B317+1</f>
        <v>103</v>
      </c>
      <c r="C318" s="814" t="n">
        <f aca="false">C317+D318</f>
        <v>8582.99375156462</v>
      </c>
      <c r="D318" s="815" t="n">
        <f aca="false">E318*$E$205*M318</f>
        <v>95.5457009108908</v>
      </c>
      <c r="E318" s="601" t="n">
        <f aca="false">E317+$C$204</f>
        <v>6.05946860165467</v>
      </c>
      <c r="F318" s="816" t="n">
        <f aca="false">F317+1</f>
        <v>103</v>
      </c>
      <c r="G318" s="775" t="n">
        <f aca="false">C318</f>
        <v>8582.99375156462</v>
      </c>
      <c r="H318" s="817" t="n">
        <f aca="false">1000*(E318-E317)</f>
        <v>9.99999999999979</v>
      </c>
      <c r="I318" s="5"/>
      <c r="J318" s="818" t="n">
        <f aca="false">1000*(E318-$E$215)/(B318-$B$215)</f>
        <v>25.2802895977847</v>
      </c>
      <c r="K318" s="732" t="n">
        <f aca="false">AVERAGE($E$216:E318)</f>
        <v>5.47568219388769</v>
      </c>
      <c r="L318" s="819" t="n">
        <f aca="false">L317+1</f>
        <v>103</v>
      </c>
      <c r="M318" s="820" t="n">
        <f aca="false">IF(B318&lt;$E$104,$E$105,$E$106)</f>
        <v>3</v>
      </c>
      <c r="N318" s="821" t="n">
        <f aca="false">IF(B318&lt;$E$104,$E$105,$E$111)</f>
        <v>2.5</v>
      </c>
      <c r="O318" s="822" t="n">
        <f aca="false">E318*$E$205*N318</f>
        <v>79.6214174257423</v>
      </c>
      <c r="P318" s="823" t="n">
        <f aca="false">P317+O318</f>
        <v>7204.17539334671</v>
      </c>
      <c r="Q318" s="606" t="n">
        <f aca="false">Q317+1</f>
        <v>103</v>
      </c>
      <c r="R318" s="824" t="n">
        <f aca="false">R317-1</f>
        <v>-103</v>
      </c>
      <c r="S318" s="825" t="n">
        <f aca="false">D318</f>
        <v>95.5457009108908</v>
      </c>
      <c r="T318" s="825" t="n">
        <f aca="false">O318</f>
        <v>79.6214174257423</v>
      </c>
      <c r="U318" s="5"/>
      <c r="V318" s="10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8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</row>
    <row r="319" s="504" customFormat="true" ht="14.1" hidden="true" customHeight="true" outlineLevel="0" collapsed="false">
      <c r="A319" s="5"/>
      <c r="B319" s="813" t="n">
        <f aca="false">B318+1</f>
        <v>104</v>
      </c>
      <c r="C319" s="814" t="n">
        <f aca="false">C318+D319</f>
        <v>8678.69713247551</v>
      </c>
      <c r="D319" s="815" t="n">
        <f aca="false">E319*$E$205*M319</f>
        <v>95.7033809108908</v>
      </c>
      <c r="E319" s="601" t="n">
        <f aca="false">E318+$C$204</f>
        <v>6.06946860165467</v>
      </c>
      <c r="F319" s="816" t="n">
        <f aca="false">F318+1</f>
        <v>104</v>
      </c>
      <c r="G319" s="775" t="n">
        <f aca="false">C319</f>
        <v>8678.69713247551</v>
      </c>
      <c r="H319" s="817" t="n">
        <f aca="false">1000*(E319-E318)</f>
        <v>9.99999999999979</v>
      </c>
      <c r="I319" s="5"/>
      <c r="J319" s="818" t="n">
        <f aca="false">1000*(E319-$E$215)/(B319-$B$215)</f>
        <v>25.1333637362675</v>
      </c>
      <c r="K319" s="732" t="n">
        <f aca="false">AVERAGE($E$216:E319)</f>
        <v>5.48139167857776</v>
      </c>
      <c r="L319" s="819" t="n">
        <f aca="false">L318+1</f>
        <v>104</v>
      </c>
      <c r="M319" s="820" t="n">
        <f aca="false">IF(B319&lt;$E$104,$E$105,$E$106)</f>
        <v>3</v>
      </c>
      <c r="N319" s="821" t="n">
        <f aca="false">IF(B319&lt;$E$104,$E$105,$E$111)</f>
        <v>2.5</v>
      </c>
      <c r="O319" s="822" t="n">
        <f aca="false">E319*$E$205*N319</f>
        <v>79.7528174257423</v>
      </c>
      <c r="P319" s="823" t="n">
        <f aca="false">P318+O319</f>
        <v>7283.92821077245</v>
      </c>
      <c r="Q319" s="606" t="n">
        <f aca="false">Q318+1</f>
        <v>104</v>
      </c>
      <c r="R319" s="824" t="n">
        <f aca="false">R318-1</f>
        <v>-104</v>
      </c>
      <c r="S319" s="825" t="n">
        <f aca="false">D319</f>
        <v>95.7033809108908</v>
      </c>
      <c r="T319" s="825" t="n">
        <f aca="false">O319</f>
        <v>79.7528174257423</v>
      </c>
      <c r="U319" s="5"/>
      <c r="V319" s="10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8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</row>
    <row r="320" s="504" customFormat="true" ht="14.1" hidden="true" customHeight="true" outlineLevel="0" collapsed="false">
      <c r="A320" s="5"/>
      <c r="B320" s="813" t="n">
        <f aca="false">B319+1</f>
        <v>105</v>
      </c>
      <c r="C320" s="814" t="n">
        <f aca="false">C319+D320</f>
        <v>8774.5581933864</v>
      </c>
      <c r="D320" s="815" t="n">
        <f aca="false">E320*$E$205*M320</f>
        <v>95.8610609108908</v>
      </c>
      <c r="E320" s="601" t="n">
        <f aca="false">E319+$C$204</f>
        <v>6.07946860165467</v>
      </c>
      <c r="F320" s="816" t="n">
        <f aca="false">F319+1</f>
        <v>105</v>
      </c>
      <c r="G320" s="775" t="n">
        <f aca="false">C320</f>
        <v>8774.5581933864</v>
      </c>
      <c r="H320" s="817" t="n">
        <f aca="false">1000*(E320-E319)</f>
        <v>9.99999999999979</v>
      </c>
      <c r="I320" s="5"/>
      <c r="J320" s="818" t="n">
        <f aca="false">1000*(E320-$E$215)/(B320-$B$215)</f>
        <v>24.9892364625888</v>
      </c>
      <c r="K320" s="732" t="n">
        <f aca="false">AVERAGE($E$216:E320)</f>
        <v>5.48708764927373</v>
      </c>
      <c r="L320" s="819" t="n">
        <f aca="false">L319+1</f>
        <v>105</v>
      </c>
      <c r="M320" s="820" t="n">
        <f aca="false">IF(B320&lt;$E$104,$E$105,$E$106)</f>
        <v>3</v>
      </c>
      <c r="N320" s="821" t="n">
        <f aca="false">IF(B320&lt;$E$104,$E$105,$E$111)</f>
        <v>2.5</v>
      </c>
      <c r="O320" s="822" t="n">
        <f aca="false">E320*$E$205*N320</f>
        <v>79.8842174257423</v>
      </c>
      <c r="P320" s="823" t="n">
        <f aca="false">P319+O320</f>
        <v>7363.81242819819</v>
      </c>
      <c r="Q320" s="606" t="n">
        <f aca="false">Q319+1</f>
        <v>105</v>
      </c>
      <c r="R320" s="824" t="n">
        <f aca="false">R319-1</f>
        <v>-105</v>
      </c>
      <c r="S320" s="825" t="n">
        <f aca="false">D320</f>
        <v>95.8610609108908</v>
      </c>
      <c r="T320" s="825" t="n">
        <f aca="false">O320</f>
        <v>79.8842174257423</v>
      </c>
      <c r="U320" s="5"/>
      <c r="V320" s="10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02"/>
      <c r="AU320" s="502"/>
      <c r="AV320" s="606"/>
      <c r="AW320" s="502"/>
      <c r="AX320" s="502"/>
      <c r="AY320" s="502"/>
      <c r="AZ320" s="502"/>
      <c r="BA320" s="502"/>
      <c r="BB320" s="502"/>
      <c r="BC320" s="502"/>
      <c r="BD320" s="502"/>
      <c r="BE320" s="502"/>
      <c r="BF320" s="502"/>
      <c r="BG320" s="502"/>
      <c r="BH320" s="502"/>
      <c r="BI320" s="502"/>
      <c r="BJ320" s="502"/>
      <c r="BK320" s="502"/>
      <c r="BL320" s="502"/>
      <c r="BM320" s="502"/>
      <c r="BN320" s="502"/>
      <c r="BO320" s="502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</row>
    <row r="321" s="504" customFormat="true" ht="14.1" hidden="true" customHeight="true" outlineLevel="0" collapsed="false">
      <c r="A321" s="5"/>
      <c r="B321" s="813" t="n">
        <f aca="false">B320+1</f>
        <v>106</v>
      </c>
      <c r="C321" s="814" t="n">
        <f aca="false">C320+D321</f>
        <v>8870.57693429729</v>
      </c>
      <c r="D321" s="815" t="n">
        <f aca="false">E321*$E$205*M321</f>
        <v>96.0187409108908</v>
      </c>
      <c r="E321" s="601" t="n">
        <f aca="false">E320+$C$204</f>
        <v>6.08946860165467</v>
      </c>
      <c r="F321" s="816" t="n">
        <f aca="false">F320+1</f>
        <v>106</v>
      </c>
      <c r="G321" s="775" t="n">
        <f aca="false">C321</f>
        <v>8870.57693429729</v>
      </c>
      <c r="H321" s="817" t="n">
        <f aca="false">1000*(E321-E320)</f>
        <v>9.99999999999979</v>
      </c>
      <c r="I321" s="5"/>
      <c r="J321" s="818" t="n">
        <f aca="false">1000*(E321-$E$215)/(B321-$B$215)</f>
        <v>24.8478285714323</v>
      </c>
      <c r="K321" s="732" t="n">
        <f aca="false">AVERAGE($E$216:E321)</f>
        <v>5.49277048844713</v>
      </c>
      <c r="L321" s="819" t="n">
        <f aca="false">L320+1</f>
        <v>106</v>
      </c>
      <c r="M321" s="820" t="n">
        <f aca="false">IF(B321&lt;$E$104,$E$105,$E$106)</f>
        <v>3</v>
      </c>
      <c r="N321" s="821" t="n">
        <f aca="false">IF(B321&lt;$E$104,$E$105,$E$111)</f>
        <v>2.5</v>
      </c>
      <c r="O321" s="822" t="n">
        <f aca="false">E321*$E$205*N321</f>
        <v>80.0156174257423</v>
      </c>
      <c r="P321" s="823" t="n">
        <f aca="false">P320+O321</f>
        <v>7443.82804562394</v>
      </c>
      <c r="Q321" s="606" t="n">
        <f aca="false">Q320+1</f>
        <v>106</v>
      </c>
      <c r="R321" s="824" t="n">
        <f aca="false">R320-1</f>
        <v>-106</v>
      </c>
      <c r="S321" s="825" t="n">
        <f aca="false">D321</f>
        <v>96.0187409108908</v>
      </c>
      <c r="T321" s="825" t="n">
        <f aca="false">O321</f>
        <v>80.0156174257423</v>
      </c>
      <c r="U321" s="5"/>
      <c r="V321" s="10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02"/>
      <c r="AU321" s="502"/>
      <c r="AV321" s="606"/>
      <c r="AW321" s="502"/>
      <c r="AX321" s="502"/>
      <c r="AY321" s="502"/>
      <c r="AZ321" s="502"/>
      <c r="BA321" s="502"/>
      <c r="BB321" s="502"/>
      <c r="BC321" s="502"/>
      <c r="BD321" s="502"/>
      <c r="BE321" s="502"/>
      <c r="BF321" s="502"/>
      <c r="BG321" s="502"/>
      <c r="BH321" s="502"/>
      <c r="BI321" s="502"/>
      <c r="BJ321" s="502"/>
      <c r="BK321" s="502"/>
      <c r="BL321" s="502"/>
      <c r="BM321" s="502"/>
      <c r="BN321" s="502"/>
      <c r="BO321" s="502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</row>
    <row r="322" s="504" customFormat="true" ht="14.1" hidden="true" customHeight="true" outlineLevel="0" collapsed="false">
      <c r="A322" s="5"/>
      <c r="B322" s="813" t="n">
        <f aca="false">B321+1</f>
        <v>107</v>
      </c>
      <c r="C322" s="814" t="n">
        <f aca="false">C321+D322</f>
        <v>8966.75335520818</v>
      </c>
      <c r="D322" s="815" t="n">
        <f aca="false">E322*$E$205*M322</f>
        <v>96.1764209108908</v>
      </c>
      <c r="E322" s="601" t="n">
        <f aca="false">E321+$C$204</f>
        <v>6.09946860165467</v>
      </c>
      <c r="F322" s="816" t="n">
        <f aca="false">F321+1</f>
        <v>107</v>
      </c>
      <c r="G322" s="775" t="n">
        <f aca="false">C322</f>
        <v>8966.75335520818</v>
      </c>
      <c r="H322" s="817" t="n">
        <f aca="false">1000*(E322-E321)</f>
        <v>9.99999999999979</v>
      </c>
      <c r="I322" s="5"/>
      <c r="J322" s="818" t="n">
        <f aca="false">1000*(E322-$E$215)/(B322-$B$215)</f>
        <v>24.7090638184282</v>
      </c>
      <c r="K322" s="732" t="n">
        <f aca="false">AVERAGE($E$216:E322)</f>
        <v>5.4984405642715</v>
      </c>
      <c r="L322" s="819" t="n">
        <f aca="false">L321+1</f>
        <v>107</v>
      </c>
      <c r="M322" s="820" t="n">
        <f aca="false">IF(B322&lt;$E$104,$E$105,$E$106)</f>
        <v>3</v>
      </c>
      <c r="N322" s="821" t="n">
        <f aca="false">IF(B322&lt;$E$104,$E$105,$E$111)</f>
        <v>2.5</v>
      </c>
      <c r="O322" s="822" t="n">
        <f aca="false">E322*$E$205*N322</f>
        <v>80.1470174257423</v>
      </c>
      <c r="P322" s="823" t="n">
        <f aca="false">P321+O322</f>
        <v>7523.97506304968</v>
      </c>
      <c r="Q322" s="606" t="n">
        <f aca="false">Q321+1</f>
        <v>107</v>
      </c>
      <c r="R322" s="824" t="n">
        <f aca="false">R321-1</f>
        <v>-107</v>
      </c>
      <c r="S322" s="825" t="n">
        <f aca="false">D322</f>
        <v>96.1764209108908</v>
      </c>
      <c r="T322" s="825" t="n">
        <f aca="false">O322</f>
        <v>80.1470174257423</v>
      </c>
      <c r="U322" s="5"/>
      <c r="V322" s="10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02"/>
      <c r="AU322" s="502"/>
      <c r="AV322" s="606"/>
      <c r="AW322" s="502"/>
      <c r="AX322" s="502"/>
      <c r="AY322" s="502"/>
      <c r="AZ322" s="502"/>
      <c r="BA322" s="502"/>
      <c r="BB322" s="502"/>
      <c r="BC322" s="502"/>
      <c r="BD322" s="502"/>
      <c r="BE322" s="502"/>
      <c r="BF322" s="502"/>
      <c r="BG322" s="502"/>
      <c r="BH322" s="502"/>
      <c r="BI322" s="502"/>
      <c r="BJ322" s="502"/>
      <c r="BK322" s="502"/>
      <c r="BL322" s="502"/>
      <c r="BM322" s="502"/>
      <c r="BN322" s="502"/>
      <c r="BO322" s="502"/>
      <c r="BP322" s="8" t="s">
        <v>441</v>
      </c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</row>
    <row r="323" s="504" customFormat="true" ht="12.75" hidden="true" customHeight="true" outlineLevel="0" collapsed="false">
      <c r="A323" s="5"/>
      <c r="B323" s="813" t="n">
        <f aca="false">B322+1</f>
        <v>108</v>
      </c>
      <c r="C323" s="814" t="n">
        <f aca="false">C322+D323</f>
        <v>9063.08745611907</v>
      </c>
      <c r="D323" s="815" t="n">
        <f aca="false">E323*$E$205*M323</f>
        <v>96.3341009108908</v>
      </c>
      <c r="E323" s="601" t="n">
        <f aca="false">E322+$C$204</f>
        <v>6.10946860165467</v>
      </c>
      <c r="F323" s="816" t="n">
        <f aca="false">F322+1</f>
        <v>108</v>
      </c>
      <c r="G323" s="775" t="n">
        <f aca="false">C323</f>
        <v>9063.08745611907</v>
      </c>
      <c r="H323" s="817" t="n">
        <f aca="false">1000*(E323-E322)</f>
        <v>9.99999999999979</v>
      </c>
      <c r="I323" s="5"/>
      <c r="J323" s="818" t="n">
        <f aca="false">1000*(E323-$E$215)/(B323-$B$215)</f>
        <v>24.5728687830724</v>
      </c>
      <c r="K323" s="732" t="n">
        <f aca="false">AVERAGE($E$216:E323)</f>
        <v>5.50409823128431</v>
      </c>
      <c r="L323" s="819" t="n">
        <f aca="false">L322+1</f>
        <v>108</v>
      </c>
      <c r="M323" s="820" t="n">
        <f aca="false">IF(B323&lt;$E$104,$E$105,$E$106)</f>
        <v>3</v>
      </c>
      <c r="N323" s="821" t="n">
        <f aca="false">IF(B323&lt;$E$104,$E$105,$E$111)</f>
        <v>2.5</v>
      </c>
      <c r="O323" s="822" t="n">
        <f aca="false">E323*$E$205*N323</f>
        <v>80.2784174257423</v>
      </c>
      <c r="P323" s="823" t="n">
        <f aca="false">P322+O323</f>
        <v>7604.25348047542</v>
      </c>
      <c r="Q323" s="606" t="n">
        <f aca="false">Q322+1</f>
        <v>108</v>
      </c>
      <c r="R323" s="824" t="n">
        <f aca="false">R322-1</f>
        <v>-108</v>
      </c>
      <c r="S323" s="825" t="n">
        <f aca="false">D323</f>
        <v>96.3341009108908</v>
      </c>
      <c r="T323" s="825" t="n">
        <f aca="false">O323</f>
        <v>80.2784174257423</v>
      </c>
      <c r="U323" s="5"/>
      <c r="V323" s="10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02"/>
      <c r="AU323" s="502"/>
      <c r="AV323" s="606"/>
      <c r="AW323" s="502"/>
      <c r="AX323" s="502"/>
      <c r="AY323" s="502"/>
      <c r="AZ323" s="502"/>
      <c r="BA323" s="502"/>
      <c r="BB323" s="502"/>
      <c r="BC323" s="502"/>
      <c r="BD323" s="502"/>
      <c r="BE323" s="502"/>
      <c r="BF323" s="502"/>
      <c r="BG323" s="502"/>
      <c r="BH323" s="502"/>
      <c r="BI323" s="502"/>
      <c r="BJ323" s="502"/>
      <c r="BK323" s="502"/>
      <c r="BL323" s="502"/>
      <c r="BM323" s="502"/>
      <c r="BN323" s="502"/>
      <c r="BO323" s="502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</row>
    <row r="324" s="504" customFormat="true" ht="12.75" hidden="true" customHeight="true" outlineLevel="0" collapsed="false">
      <c r="A324" s="5"/>
      <c r="B324" s="813" t="n">
        <f aca="false">B323+1</f>
        <v>109</v>
      </c>
      <c r="C324" s="814" t="n">
        <f aca="false">C323+D324</f>
        <v>9159.57923702996</v>
      </c>
      <c r="D324" s="815" t="n">
        <f aca="false">E324*$E$205*M324</f>
        <v>96.4917809108908</v>
      </c>
      <c r="E324" s="601" t="n">
        <f aca="false">E323+$C$204</f>
        <v>6.11946860165467</v>
      </c>
      <c r="F324" s="816" t="n">
        <f aca="false">F323+1</f>
        <v>109</v>
      </c>
      <c r="G324" s="775" t="n">
        <f aca="false">C324</f>
        <v>9159.57923702996</v>
      </c>
      <c r="H324" s="817" t="n">
        <f aca="false">1000*(E324-E323)</f>
        <v>9.99999999999979</v>
      </c>
      <c r="I324" s="5"/>
      <c r="J324" s="818" t="n">
        <f aca="false">1000*(E324-$E$215)/(B324-$B$215)</f>
        <v>24.439172739191</v>
      </c>
      <c r="K324" s="732" t="n">
        <f aca="false">AVERAGE($E$216:E324)</f>
        <v>5.50974383101248</v>
      </c>
      <c r="L324" s="819" t="n">
        <f aca="false">L323+1</f>
        <v>109</v>
      </c>
      <c r="M324" s="820" t="n">
        <f aca="false">IF(B324&lt;$E$104,$E$105,$E$106)</f>
        <v>3</v>
      </c>
      <c r="N324" s="821" t="n">
        <f aca="false">IF(B324&lt;$E$104,$E$105,$E$111)</f>
        <v>2.5</v>
      </c>
      <c r="O324" s="822" t="n">
        <f aca="false">E324*$E$205*N324</f>
        <v>80.4098174257423</v>
      </c>
      <c r="P324" s="823" t="n">
        <f aca="false">P323+O324</f>
        <v>7684.66329790116</v>
      </c>
      <c r="Q324" s="606" t="n">
        <f aca="false">Q323+1</f>
        <v>109</v>
      </c>
      <c r="R324" s="824" t="n">
        <f aca="false">R323-1</f>
        <v>-109</v>
      </c>
      <c r="S324" s="825" t="n">
        <f aca="false">D324</f>
        <v>96.4917809108908</v>
      </c>
      <c r="T324" s="825" t="n">
        <f aca="false">O324</f>
        <v>80.4098174257423</v>
      </c>
      <c r="U324" s="5"/>
      <c r="V324" s="10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02"/>
      <c r="AU324" s="502"/>
      <c r="AV324" s="606"/>
      <c r="AW324" s="502"/>
      <c r="AX324" s="502"/>
      <c r="AY324" s="502"/>
      <c r="AZ324" s="502"/>
      <c r="BA324" s="502"/>
      <c r="BB324" s="502"/>
      <c r="BC324" s="502"/>
      <c r="BD324" s="502"/>
      <c r="BE324" s="502"/>
      <c r="BF324" s="502"/>
      <c r="BG324" s="502"/>
      <c r="BH324" s="502"/>
      <c r="BI324" s="502"/>
      <c r="BJ324" s="502"/>
      <c r="BK324" s="502"/>
      <c r="BL324" s="502"/>
      <c r="BM324" s="502"/>
      <c r="BN324" s="502"/>
      <c r="BO324" s="502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</row>
    <row r="325" s="504" customFormat="true" ht="12.75" hidden="true" customHeight="true" outlineLevel="0" collapsed="false">
      <c r="A325" s="5"/>
      <c r="B325" s="813" t="n">
        <f aca="false">B324+1</f>
        <v>110</v>
      </c>
      <c r="C325" s="814" t="n">
        <f aca="false">C324+D325</f>
        <v>9256.22869794085</v>
      </c>
      <c r="D325" s="815" t="n">
        <f aca="false">E325*$E$205*M325</f>
        <v>96.6494609108908</v>
      </c>
      <c r="E325" s="601" t="n">
        <f aca="false">E324+$C$204</f>
        <v>6.12946860165467</v>
      </c>
      <c r="F325" s="816" t="n">
        <f aca="false">F324+1</f>
        <v>110</v>
      </c>
      <c r="G325" s="775" t="n">
        <f aca="false">C325</f>
        <v>9256.22869794085</v>
      </c>
      <c r="H325" s="817" t="n">
        <f aca="false">1000*(E325-E324)</f>
        <v>9.99999999999979</v>
      </c>
      <c r="I325" s="5"/>
      <c r="J325" s="818" t="n">
        <f aca="false">1000*(E325-$E$215)/(B325-$B$215)</f>
        <v>24.3079075324711</v>
      </c>
      <c r="K325" s="732" t="n">
        <f aca="false">AVERAGE($E$216:E325)</f>
        <v>5.51537769256377</v>
      </c>
      <c r="L325" s="819" t="n">
        <f aca="false">L324+1</f>
        <v>110</v>
      </c>
      <c r="M325" s="820" t="n">
        <f aca="false">IF(B325&lt;$E$104,$E$105,$E$106)</f>
        <v>3</v>
      </c>
      <c r="N325" s="821" t="n">
        <f aca="false">IF(B325&lt;$E$104,$E$105,$E$111)</f>
        <v>2.5</v>
      </c>
      <c r="O325" s="822" t="n">
        <f aca="false">E325*$E$205*N325</f>
        <v>80.5412174257423</v>
      </c>
      <c r="P325" s="823" t="n">
        <f aca="false">P324+O325</f>
        <v>7765.2045153269</v>
      </c>
      <c r="Q325" s="606" t="n">
        <f aca="false">Q324+1</f>
        <v>110</v>
      </c>
      <c r="R325" s="824" t="n">
        <f aca="false">R324-1</f>
        <v>-110</v>
      </c>
      <c r="S325" s="825" t="n">
        <f aca="false">D325</f>
        <v>96.6494609108908</v>
      </c>
      <c r="T325" s="825" t="n">
        <f aca="false">O325</f>
        <v>80.5412174257423</v>
      </c>
      <c r="U325" s="5"/>
      <c r="V325" s="10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02"/>
      <c r="AU325" s="502"/>
      <c r="AV325" s="606"/>
      <c r="AW325" s="502"/>
      <c r="AX325" s="502"/>
      <c r="AY325" s="502"/>
      <c r="AZ325" s="502"/>
      <c r="BA325" s="502"/>
      <c r="BB325" s="502"/>
      <c r="BC325" s="502"/>
      <c r="BD325" s="502"/>
      <c r="BE325" s="502"/>
      <c r="BF325" s="502"/>
      <c r="BG325" s="502"/>
      <c r="BH325" s="502"/>
      <c r="BI325" s="502"/>
      <c r="BJ325" s="502"/>
      <c r="BK325" s="502"/>
      <c r="BL325" s="502"/>
      <c r="BM325" s="502"/>
      <c r="BN325" s="502"/>
      <c r="BO325" s="502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</row>
    <row r="326" s="504" customFormat="true" ht="12.75" hidden="true" customHeight="true" outlineLevel="0" collapsed="false">
      <c r="A326" s="5"/>
      <c r="B326" s="813" t="n">
        <f aca="false">B325+1</f>
        <v>111</v>
      </c>
      <c r="C326" s="814" t="n">
        <f aca="false">C325+D326</f>
        <v>9353.03583885174</v>
      </c>
      <c r="D326" s="815" t="n">
        <f aca="false">E326*$E$205*M326</f>
        <v>96.8071409108908</v>
      </c>
      <c r="E326" s="601" t="n">
        <f aca="false">E325+$C$204</f>
        <v>6.13946860165467</v>
      </c>
      <c r="F326" s="816" t="n">
        <f aca="false">F325+1</f>
        <v>111</v>
      </c>
      <c r="G326" s="775" t="n">
        <f aca="false">C326</f>
        <v>9353.03583885174</v>
      </c>
      <c r="H326" s="817" t="n">
        <f aca="false">1000*(E326-E325)</f>
        <v>9.99999999999979</v>
      </c>
      <c r="I326" s="5"/>
      <c r="J326" s="818" t="n">
        <f aca="false">1000*(E326-$E$215)/(B326-$B$215)</f>
        <v>24.179007464611</v>
      </c>
      <c r="K326" s="732" t="n">
        <f aca="false">AVERAGE($E$216:E326)</f>
        <v>5.52100013318621</v>
      </c>
      <c r="L326" s="819" t="n">
        <f aca="false">L325+1</f>
        <v>111</v>
      </c>
      <c r="M326" s="820" t="n">
        <f aca="false">IF(B326&lt;$E$104,$E$105,$E$106)</f>
        <v>3</v>
      </c>
      <c r="N326" s="821" t="n">
        <f aca="false">IF(B326&lt;$E$104,$E$105,$E$111)</f>
        <v>2.5</v>
      </c>
      <c r="O326" s="822" t="n">
        <f aca="false">E326*$E$205*N326</f>
        <v>80.6726174257423</v>
      </c>
      <c r="P326" s="823" t="n">
        <f aca="false">P325+O326</f>
        <v>7845.87713275265</v>
      </c>
      <c r="Q326" s="606" t="n">
        <f aca="false">Q325+1</f>
        <v>111</v>
      </c>
      <c r="R326" s="824" t="n">
        <f aca="false">R325-1</f>
        <v>-111</v>
      </c>
      <c r="S326" s="825" t="n">
        <f aca="false">D326</f>
        <v>96.8071409108908</v>
      </c>
      <c r="T326" s="825" t="n">
        <f aca="false">O326</f>
        <v>80.6726174257423</v>
      </c>
      <c r="U326" s="5"/>
      <c r="V326" s="10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02"/>
      <c r="AU326" s="502"/>
      <c r="AV326" s="606"/>
      <c r="AW326" s="502"/>
      <c r="AX326" s="502"/>
      <c r="AY326" s="502"/>
      <c r="AZ326" s="502"/>
      <c r="BA326" s="502"/>
      <c r="BB326" s="502"/>
      <c r="BC326" s="502"/>
      <c r="BD326" s="502"/>
      <c r="BE326" s="502"/>
      <c r="BF326" s="502"/>
      <c r="BG326" s="502"/>
      <c r="BH326" s="502"/>
      <c r="BI326" s="502"/>
      <c r="BJ326" s="502"/>
      <c r="BK326" s="502"/>
      <c r="BL326" s="502"/>
      <c r="BM326" s="502"/>
      <c r="BN326" s="502"/>
      <c r="BO326" s="502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</row>
    <row r="327" s="504" customFormat="true" ht="12.75" hidden="true" customHeight="true" outlineLevel="0" collapsed="false">
      <c r="A327" s="5"/>
      <c r="B327" s="813" t="n">
        <f aca="false">B326+1</f>
        <v>112</v>
      </c>
      <c r="C327" s="814" t="n">
        <f aca="false">C326+D327</f>
        <v>9450.00065976264</v>
      </c>
      <c r="D327" s="815" t="n">
        <f aca="false">E327*$E$205*M327</f>
        <v>96.9648209108908</v>
      </c>
      <c r="E327" s="601" t="n">
        <f aca="false">E326+$C$204</f>
        <v>6.14946860165467</v>
      </c>
      <c r="F327" s="816" t="n">
        <f aca="false">F326+1</f>
        <v>112</v>
      </c>
      <c r="G327" s="775" t="n">
        <f aca="false">C327</f>
        <v>9450.00065976264</v>
      </c>
      <c r="H327" s="817" t="n">
        <f aca="false">1000*(E327-E326)</f>
        <v>9.99999999999979</v>
      </c>
      <c r="I327" s="5"/>
      <c r="J327" s="818" t="n">
        <f aca="false">1000*(E327-$E$215)/(B327-$B$215)</f>
        <v>24.052409183677</v>
      </c>
      <c r="K327" s="732" t="n">
        <f aca="false">AVERAGE($E$216:E327)</f>
        <v>5.52661145879754</v>
      </c>
      <c r="L327" s="819" t="n">
        <f aca="false">L326+1</f>
        <v>112</v>
      </c>
      <c r="M327" s="820" t="n">
        <f aca="false">IF(B327&lt;$E$104,$E$105,$E$106)</f>
        <v>3</v>
      </c>
      <c r="N327" s="821" t="n">
        <f aca="false">IF(B327&lt;$E$104,$E$105,$E$111)</f>
        <v>2.5</v>
      </c>
      <c r="O327" s="822" t="n">
        <f aca="false">E327*$E$205*N327</f>
        <v>80.8040174257423</v>
      </c>
      <c r="P327" s="823" t="n">
        <f aca="false">P326+O327</f>
        <v>7926.68115017839</v>
      </c>
      <c r="Q327" s="606" t="n">
        <f aca="false">Q326+1</f>
        <v>112</v>
      </c>
      <c r="R327" s="824" t="n">
        <f aca="false">R326-1</f>
        <v>-112</v>
      </c>
      <c r="S327" s="825" t="n">
        <f aca="false">D327</f>
        <v>96.9648209108908</v>
      </c>
      <c r="T327" s="825" t="n">
        <f aca="false">O327</f>
        <v>80.8040174257423</v>
      </c>
      <c r="U327" s="5"/>
      <c r="V327" s="10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02"/>
      <c r="AU327" s="502"/>
      <c r="AV327" s="606"/>
      <c r="AW327" s="502"/>
      <c r="AX327" s="502"/>
      <c r="AY327" s="502"/>
      <c r="AZ327" s="502"/>
      <c r="BA327" s="502"/>
      <c r="BB327" s="502"/>
      <c r="BC327" s="502"/>
      <c r="BD327" s="502"/>
      <c r="BE327" s="502"/>
      <c r="BF327" s="502"/>
      <c r="BG327" s="502"/>
      <c r="BH327" s="502"/>
      <c r="BI327" s="502"/>
      <c r="BJ327" s="502"/>
      <c r="BK327" s="502"/>
      <c r="BL327" s="502"/>
      <c r="BM327" s="502"/>
      <c r="BN327" s="502"/>
      <c r="BO327" s="502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</row>
    <row r="328" s="504" customFormat="true" ht="12.75" hidden="true" customHeight="true" outlineLevel="0" collapsed="false">
      <c r="A328" s="5"/>
      <c r="B328" s="813" t="n">
        <f aca="false">B327+1</f>
        <v>113</v>
      </c>
      <c r="C328" s="814" t="n">
        <f aca="false">C327+D328</f>
        <v>9547.12316067353</v>
      </c>
      <c r="D328" s="815" t="n">
        <f aca="false">E328*$E$205*M328</f>
        <v>97.1225009108908</v>
      </c>
      <c r="E328" s="601" t="n">
        <f aca="false">E327+$C$204</f>
        <v>6.15946860165467</v>
      </c>
      <c r="F328" s="816" t="n">
        <f aca="false">F327+1</f>
        <v>113</v>
      </c>
      <c r="G328" s="775" t="n">
        <f aca="false">C328</f>
        <v>9547.12316067353</v>
      </c>
      <c r="H328" s="817" t="n">
        <f aca="false">1000*(E328-E327)</f>
        <v>9.99999999999979</v>
      </c>
      <c r="I328" s="5"/>
      <c r="J328" s="818" t="n">
        <f aca="false">1000*(E328-$E$215)/(B328-$B$215)</f>
        <v>23.9280515802816</v>
      </c>
      <c r="K328" s="732" t="n">
        <f aca="false">AVERAGE($E$216:E328)</f>
        <v>5.53221196448654</v>
      </c>
      <c r="L328" s="819" t="n">
        <f aca="false">L327+1</f>
        <v>113</v>
      </c>
      <c r="M328" s="820" t="n">
        <f aca="false">IF(B328&lt;$E$104,$E$105,$E$106)</f>
        <v>3</v>
      </c>
      <c r="N328" s="821" t="n">
        <f aca="false">IF(B328&lt;$E$104,$E$105,$E$111)</f>
        <v>2.5</v>
      </c>
      <c r="O328" s="822" t="n">
        <f aca="false">E328*$E$205*N328</f>
        <v>80.9354174257423</v>
      </c>
      <c r="P328" s="823" t="n">
        <f aca="false">P327+O328</f>
        <v>8007.61656760413</v>
      </c>
      <c r="Q328" s="606" t="n">
        <f aca="false">Q327+1</f>
        <v>113</v>
      </c>
      <c r="R328" s="824" t="n">
        <f aca="false">R327-1</f>
        <v>-113</v>
      </c>
      <c r="S328" s="825" t="n">
        <f aca="false">D328</f>
        <v>97.1225009108908</v>
      </c>
      <c r="T328" s="825" t="n">
        <f aca="false">O328</f>
        <v>80.9354174257423</v>
      </c>
      <c r="U328" s="5"/>
      <c r="V328" s="10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02"/>
      <c r="AU328" s="502"/>
      <c r="AV328" s="606"/>
      <c r="AW328" s="502"/>
      <c r="AX328" s="502"/>
      <c r="AY328" s="502"/>
      <c r="AZ328" s="502"/>
      <c r="BA328" s="502"/>
      <c r="BB328" s="502"/>
      <c r="BC328" s="502"/>
      <c r="BD328" s="502"/>
      <c r="BE328" s="502"/>
      <c r="BF328" s="502"/>
      <c r="BG328" s="502"/>
      <c r="BH328" s="502"/>
      <c r="BI328" s="502"/>
      <c r="BJ328" s="502"/>
      <c r="BK328" s="502"/>
      <c r="BL328" s="502"/>
      <c r="BM328" s="502"/>
      <c r="BN328" s="502"/>
      <c r="BO328" s="502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</row>
    <row r="329" s="504" customFormat="true" ht="12.75" hidden="true" customHeight="true" outlineLevel="0" collapsed="false">
      <c r="A329" s="5"/>
      <c r="B329" s="813" t="n">
        <f aca="false">B328+1</f>
        <v>114</v>
      </c>
      <c r="C329" s="814" t="n">
        <f aca="false">C328+D329</f>
        <v>9644.40334158442</v>
      </c>
      <c r="D329" s="815" t="n">
        <f aca="false">E329*$E$205*M329</f>
        <v>97.2801809108908</v>
      </c>
      <c r="E329" s="601" t="n">
        <f aca="false">E328+$C$204</f>
        <v>6.16946860165467</v>
      </c>
      <c r="F329" s="816" t="n">
        <f aca="false">F328+1</f>
        <v>114</v>
      </c>
      <c r="G329" s="775" t="n">
        <f aca="false">C329</f>
        <v>9644.40334158442</v>
      </c>
      <c r="H329" s="817" t="n">
        <f aca="false">1000*(E329-E328)</f>
        <v>9.99999999999979</v>
      </c>
      <c r="I329" s="5"/>
      <c r="J329" s="818" t="n">
        <f aca="false">1000*(E329-$E$215)/(B329-$B$215)</f>
        <v>23.8058756892265</v>
      </c>
      <c r="K329" s="732" t="n">
        <f aca="false">AVERAGE($E$216:E329)</f>
        <v>5.53780193498801</v>
      </c>
      <c r="L329" s="819" t="n">
        <f aca="false">L328+1</f>
        <v>114</v>
      </c>
      <c r="M329" s="820" t="n">
        <f aca="false">IF(B329&lt;$E$104,$E$105,$E$106)</f>
        <v>3</v>
      </c>
      <c r="N329" s="821" t="n">
        <f aca="false">IF(B329&lt;$E$104,$E$105,$E$111)</f>
        <v>2.5</v>
      </c>
      <c r="O329" s="822" t="n">
        <f aca="false">E329*$E$205*N329</f>
        <v>81.0668174257423</v>
      </c>
      <c r="P329" s="823" t="n">
        <f aca="false">P328+O329</f>
        <v>8088.68338502987</v>
      </c>
      <c r="Q329" s="606" t="n">
        <f aca="false">Q328+1</f>
        <v>114</v>
      </c>
      <c r="R329" s="824" t="n">
        <f aca="false">R328-1</f>
        <v>-114</v>
      </c>
      <c r="S329" s="825" t="n">
        <f aca="false">D329</f>
        <v>97.2801809108908</v>
      </c>
      <c r="T329" s="825" t="n">
        <f aca="false">O329</f>
        <v>81.0668174257423</v>
      </c>
      <c r="U329" s="5"/>
      <c r="V329" s="10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02"/>
      <c r="AU329" s="502"/>
      <c r="AV329" s="606"/>
      <c r="AW329" s="502"/>
      <c r="AX329" s="502"/>
      <c r="AY329" s="502"/>
      <c r="AZ329" s="502"/>
      <c r="BA329" s="502"/>
      <c r="BB329" s="502"/>
      <c r="BC329" s="502"/>
      <c r="BD329" s="502"/>
      <c r="BE329" s="502"/>
      <c r="BF329" s="502"/>
      <c r="BG329" s="502"/>
      <c r="BH329" s="502"/>
      <c r="BI329" s="502"/>
      <c r="BJ329" s="502"/>
      <c r="BK329" s="502"/>
      <c r="BL329" s="502"/>
      <c r="BM329" s="502"/>
      <c r="BN329" s="502"/>
      <c r="BO329" s="502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</row>
    <row r="330" s="504" customFormat="true" ht="12.75" hidden="true" customHeight="true" outlineLevel="0" collapsed="false">
      <c r="A330" s="5"/>
      <c r="B330" s="813" t="n">
        <f aca="false">B329+1</f>
        <v>115</v>
      </c>
      <c r="C330" s="814" t="n">
        <f aca="false">C329+D330</f>
        <v>9741.84120249531</v>
      </c>
      <c r="D330" s="815" t="n">
        <f aca="false">E330*$E$205*M330</f>
        <v>97.4378609108908</v>
      </c>
      <c r="E330" s="601" t="n">
        <f aca="false">E329+$C$204</f>
        <v>6.17946860165467</v>
      </c>
      <c r="F330" s="816" t="n">
        <f aca="false">F329+1</f>
        <v>115</v>
      </c>
      <c r="G330" s="775" t="n">
        <f aca="false">C330</f>
        <v>9741.84120249531</v>
      </c>
      <c r="H330" s="817" t="n">
        <f aca="false">1000*(E330-E329)</f>
        <v>9.99999999999979</v>
      </c>
      <c r="I330" s="5"/>
      <c r="J330" s="818" t="n">
        <f aca="false">1000*(E330-$E$215)/(B330-$B$215)</f>
        <v>23.6858245962767</v>
      </c>
      <c r="K330" s="732" t="n">
        <f aca="false">AVERAGE($E$216:E330)</f>
        <v>5.54338164513294</v>
      </c>
      <c r="L330" s="819" t="n">
        <f aca="false">L329+1</f>
        <v>115</v>
      </c>
      <c r="M330" s="820" t="n">
        <f aca="false">IF(B330&lt;$E$104,$E$105,$E$106)</f>
        <v>3</v>
      </c>
      <c r="N330" s="821" t="n">
        <f aca="false">IF(B330&lt;$E$104,$E$105,$E$111)</f>
        <v>2.5</v>
      </c>
      <c r="O330" s="822" t="n">
        <f aca="false">E330*$E$205*N330</f>
        <v>81.1982174257423</v>
      </c>
      <c r="P330" s="823" t="n">
        <f aca="false">P329+O330</f>
        <v>8169.88160245562</v>
      </c>
      <c r="Q330" s="606" t="n">
        <f aca="false">Q329+1</f>
        <v>115</v>
      </c>
      <c r="R330" s="824" t="n">
        <f aca="false">R329-1</f>
        <v>-115</v>
      </c>
      <c r="S330" s="825" t="n">
        <f aca="false">D330</f>
        <v>97.4378609108908</v>
      </c>
      <c r="T330" s="825" t="n">
        <f aca="false">O330</f>
        <v>81.1982174257423</v>
      </c>
      <c r="U330" s="5"/>
      <c r="V330" s="10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02"/>
      <c r="AU330" s="502"/>
      <c r="AV330" s="606"/>
      <c r="AW330" s="502"/>
      <c r="AX330" s="502"/>
      <c r="AY330" s="502"/>
      <c r="AZ330" s="502"/>
      <c r="BA330" s="502"/>
      <c r="BB330" s="502"/>
      <c r="BC330" s="502"/>
      <c r="BD330" s="502"/>
      <c r="BE330" s="502"/>
      <c r="BF330" s="502"/>
      <c r="BG330" s="502"/>
      <c r="BH330" s="502"/>
      <c r="BI330" s="502"/>
      <c r="BJ330" s="502"/>
      <c r="BK330" s="502"/>
      <c r="BL330" s="502"/>
      <c r="BM330" s="502"/>
      <c r="BN330" s="502"/>
      <c r="BO330" s="502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</row>
    <row r="331" s="504" customFormat="true" ht="12.75" hidden="true" customHeight="true" outlineLevel="0" collapsed="false">
      <c r="A331" s="5"/>
      <c r="B331" s="813" t="n">
        <f aca="false">B330+1</f>
        <v>116</v>
      </c>
      <c r="C331" s="814" t="n">
        <f aca="false">C330+D331</f>
        <v>9839.4367434062</v>
      </c>
      <c r="D331" s="815" t="n">
        <f aca="false">E331*$E$205*M331</f>
        <v>97.5955409108908</v>
      </c>
      <c r="E331" s="601" t="n">
        <f aca="false">E330+$C$204</f>
        <v>6.18946860165467</v>
      </c>
      <c r="F331" s="816" t="n">
        <f aca="false">F330+1</f>
        <v>116</v>
      </c>
      <c r="G331" s="775" t="n">
        <f aca="false">C331</f>
        <v>9839.4367434062</v>
      </c>
      <c r="H331" s="817" t="n">
        <f aca="false">1000*(E331-E330)</f>
        <v>9.99999999999979</v>
      </c>
      <c r="I331" s="5"/>
      <c r="J331" s="818" t="n">
        <f aca="false">1000*(E331-$E$215)/(B331-$B$215)</f>
        <v>23.5678433497571</v>
      </c>
      <c r="K331" s="732" t="n">
        <f aca="false">AVERAGE($E$216:E331)</f>
        <v>5.54895136027537</v>
      </c>
      <c r="L331" s="819" t="n">
        <f aca="false">L330+1</f>
        <v>116</v>
      </c>
      <c r="M331" s="820" t="n">
        <f aca="false">IF(B331&lt;$E$104,$E$105,$E$106)</f>
        <v>3</v>
      </c>
      <c r="N331" s="821" t="n">
        <f aca="false">IF(B331&lt;$E$104,$E$105,$E$111)</f>
        <v>2.5</v>
      </c>
      <c r="O331" s="822" t="n">
        <f aca="false">E331*$E$205*N331</f>
        <v>81.3296174257423</v>
      </c>
      <c r="P331" s="823" t="n">
        <f aca="false">P330+O331</f>
        <v>8251.21121988136</v>
      </c>
      <c r="Q331" s="606" t="n">
        <f aca="false">Q330+1</f>
        <v>116</v>
      </c>
      <c r="R331" s="824" t="n">
        <f aca="false">R330-1</f>
        <v>-116</v>
      </c>
      <c r="S331" s="825" t="n">
        <f aca="false">D331</f>
        <v>97.5955409108908</v>
      </c>
      <c r="T331" s="825" t="n">
        <f aca="false">O331</f>
        <v>81.3296174257423</v>
      </c>
      <c r="U331" s="5"/>
      <c r="V331" s="10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02"/>
      <c r="AU331" s="502"/>
      <c r="AV331" s="606"/>
      <c r="AW331" s="502"/>
      <c r="AX331" s="502"/>
      <c r="AY331" s="502"/>
      <c r="AZ331" s="502"/>
      <c r="BA331" s="502"/>
      <c r="BB331" s="502"/>
      <c r="BC331" s="502"/>
      <c r="BD331" s="502"/>
      <c r="BE331" s="502"/>
      <c r="BF331" s="502"/>
      <c r="BG331" s="502"/>
      <c r="BH331" s="502"/>
      <c r="BI331" s="502"/>
      <c r="BJ331" s="502"/>
      <c r="BK331" s="502"/>
      <c r="BL331" s="502"/>
      <c r="BM331" s="502"/>
      <c r="BN331" s="502"/>
      <c r="BO331" s="502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</row>
    <row r="332" s="504" customFormat="true" ht="12.75" hidden="true" customHeight="true" outlineLevel="0" collapsed="false">
      <c r="A332" s="5"/>
      <c r="B332" s="813" t="n">
        <f aca="false">B331+1</f>
        <v>117</v>
      </c>
      <c r="C332" s="814" t="n">
        <f aca="false">C331+D332</f>
        <v>9937.18996431709</v>
      </c>
      <c r="D332" s="815" t="n">
        <f aca="false">E332*$E$205*M332</f>
        <v>97.7532209108908</v>
      </c>
      <c r="E332" s="601" t="n">
        <f aca="false">E331+$C$204</f>
        <v>6.19946860165467</v>
      </c>
      <c r="F332" s="816" t="n">
        <f aca="false">F331+1</f>
        <v>117</v>
      </c>
      <c r="G332" s="775" t="n">
        <f aca="false">C332</f>
        <v>9937.18996431709</v>
      </c>
      <c r="H332" s="817" t="n">
        <f aca="false">1000*(E332-E331)</f>
        <v>9.99999999999979</v>
      </c>
      <c r="I332" s="5"/>
      <c r="J332" s="818" t="n">
        <f aca="false">1000*(E332-$E$215)/(B332-$B$215)</f>
        <v>23.4518788766822</v>
      </c>
      <c r="K332" s="732" t="n">
        <f aca="false">AVERAGE($E$216:E332)</f>
        <v>5.55451133669741</v>
      </c>
      <c r="L332" s="819" t="n">
        <f aca="false">L331+1</f>
        <v>117</v>
      </c>
      <c r="M332" s="820" t="n">
        <f aca="false">IF(B332&lt;$E$104,$E$105,$E$106)</f>
        <v>3</v>
      </c>
      <c r="N332" s="821" t="n">
        <f aca="false">IF(B332&lt;$E$104,$E$105,$E$111)</f>
        <v>2.5</v>
      </c>
      <c r="O332" s="822" t="n">
        <f aca="false">E332*$E$205*N332</f>
        <v>81.4610174257423</v>
      </c>
      <c r="P332" s="823" t="n">
        <f aca="false">P331+O332</f>
        <v>8332.6722373071</v>
      </c>
      <c r="Q332" s="606" t="n">
        <f aca="false">Q331+1</f>
        <v>117</v>
      </c>
      <c r="R332" s="824" t="n">
        <f aca="false">R331-1</f>
        <v>-117</v>
      </c>
      <c r="S332" s="825" t="n">
        <f aca="false">D332</f>
        <v>97.7532209108908</v>
      </c>
      <c r="T332" s="825" t="n">
        <f aca="false">O332</f>
        <v>81.4610174257423</v>
      </c>
      <c r="U332" s="5"/>
      <c r="V332" s="10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02"/>
      <c r="AU332" s="502"/>
      <c r="AV332" s="606"/>
      <c r="AW332" s="502"/>
      <c r="AX332" s="502"/>
      <c r="AY332" s="502"/>
      <c r="AZ332" s="502"/>
      <c r="BA332" s="502"/>
      <c r="BB332" s="502"/>
      <c r="BC332" s="502"/>
      <c r="BD332" s="502"/>
      <c r="BE332" s="502"/>
      <c r="BF332" s="502"/>
      <c r="BG332" s="502"/>
      <c r="BH332" s="502"/>
      <c r="BI332" s="502"/>
      <c r="BJ332" s="502"/>
      <c r="BK332" s="502"/>
      <c r="BL332" s="502"/>
      <c r="BM332" s="502"/>
      <c r="BN332" s="502"/>
      <c r="BO332" s="502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</row>
    <row r="333" s="504" customFormat="true" ht="12.75" hidden="true" customHeight="true" outlineLevel="0" collapsed="false">
      <c r="A333" s="5"/>
      <c r="B333" s="813" t="n">
        <f aca="false">B332+1</f>
        <v>118</v>
      </c>
      <c r="C333" s="814" t="n">
        <f aca="false">C332+D333</f>
        <v>10035.100865228</v>
      </c>
      <c r="D333" s="815" t="n">
        <f aca="false">E333*$E$205*M333</f>
        <v>97.9109009108907</v>
      </c>
      <c r="E333" s="601" t="n">
        <f aca="false">E332+$C$204</f>
        <v>6.20946860165467</v>
      </c>
      <c r="F333" s="816" t="n">
        <f aca="false">F332+1</f>
        <v>118</v>
      </c>
      <c r="G333" s="775" t="n">
        <f aca="false">C333</f>
        <v>10035.100865228</v>
      </c>
      <c r="H333" s="817" t="n">
        <f aca="false">1000*(E333-E332)</f>
        <v>9.99999999999979</v>
      </c>
      <c r="I333" s="5"/>
      <c r="J333" s="818" t="n">
        <f aca="false">1000*(E333-$E$215)/(B333-$B$215)</f>
        <v>23.337879903151</v>
      </c>
      <c r="K333" s="732" t="n">
        <f aca="false">AVERAGE($E$216:E333)</f>
        <v>5.56006182199366</v>
      </c>
      <c r="L333" s="819" t="n">
        <f aca="false">L332+1</f>
        <v>118</v>
      </c>
      <c r="M333" s="820" t="n">
        <f aca="false">IF(B333&lt;$E$104,$E$105,$E$106)</f>
        <v>3</v>
      </c>
      <c r="N333" s="821" t="n">
        <f aca="false">IF(B333&lt;$E$104,$E$105,$E$111)</f>
        <v>2.5</v>
      </c>
      <c r="O333" s="822" t="n">
        <f aca="false">E333*$E$205*N333</f>
        <v>81.5924174257423</v>
      </c>
      <c r="P333" s="823" t="n">
        <f aca="false">P332+O333</f>
        <v>8414.26465473284</v>
      </c>
      <c r="Q333" s="606" t="n">
        <f aca="false">Q332+1</f>
        <v>118</v>
      </c>
      <c r="R333" s="824" t="n">
        <f aca="false">R332-1</f>
        <v>-118</v>
      </c>
      <c r="S333" s="825" t="n">
        <f aca="false">D333</f>
        <v>97.9109009108907</v>
      </c>
      <c r="T333" s="825" t="n">
        <f aca="false">O333</f>
        <v>81.5924174257423</v>
      </c>
      <c r="U333" s="5"/>
      <c r="V333" s="10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02"/>
      <c r="AU333" s="502"/>
      <c r="AV333" s="606"/>
      <c r="AW333" s="502"/>
      <c r="AX333" s="502"/>
      <c r="AY333" s="502"/>
      <c r="AZ333" s="502"/>
      <c r="BA333" s="502"/>
      <c r="BB333" s="502"/>
      <c r="BC333" s="502"/>
      <c r="BD333" s="502"/>
      <c r="BE333" s="502"/>
      <c r="BF333" s="502"/>
      <c r="BG333" s="502"/>
      <c r="BH333" s="502"/>
      <c r="BI333" s="502"/>
      <c r="BJ333" s="502"/>
      <c r="BK333" s="502"/>
      <c r="BL333" s="502"/>
      <c r="BM333" s="502"/>
      <c r="BN333" s="502"/>
      <c r="BO333" s="502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</row>
    <row r="334" s="504" customFormat="true" ht="12.75" hidden="true" customHeight="true" outlineLevel="0" collapsed="false">
      <c r="A334" s="5"/>
      <c r="B334" s="813" t="n">
        <f aca="false">B333+1</f>
        <v>119</v>
      </c>
      <c r="C334" s="814" t="n">
        <f aca="false">C333+D334</f>
        <v>10133.1694461389</v>
      </c>
      <c r="D334" s="815" t="n">
        <f aca="false">E334*$E$205*M334</f>
        <v>98.0685809108907</v>
      </c>
      <c r="E334" s="601" t="n">
        <f aca="false">E333+$C$204</f>
        <v>6.21946860165467</v>
      </c>
      <c r="F334" s="816" t="n">
        <f aca="false">F333+1</f>
        <v>119</v>
      </c>
      <c r="G334" s="775" t="n">
        <f aca="false">C334</f>
        <v>10133.1694461389</v>
      </c>
      <c r="H334" s="817" t="n">
        <f aca="false">1000*(E334-E333)</f>
        <v>9.99999999999979</v>
      </c>
      <c r="I334" s="5"/>
      <c r="J334" s="818" t="n">
        <f aca="false">1000*(E334-$E$215)/(B334-$B$215)</f>
        <v>23.2257968787548</v>
      </c>
      <c r="K334" s="732" t="n">
        <f aca="false">AVERAGE($E$216:E334)</f>
        <v>5.56560305543619</v>
      </c>
      <c r="L334" s="819" t="n">
        <f aca="false">L333+1</f>
        <v>119</v>
      </c>
      <c r="M334" s="820" t="n">
        <f aca="false">IF(B334&lt;$E$104,$E$105,$E$106)</f>
        <v>3</v>
      </c>
      <c r="N334" s="821" t="n">
        <f aca="false">IF(B334&lt;$E$104,$E$105,$E$111)</f>
        <v>2.5</v>
      </c>
      <c r="O334" s="822" t="n">
        <f aca="false">E334*$E$205*N334</f>
        <v>81.7238174257423</v>
      </c>
      <c r="P334" s="823" t="n">
        <f aca="false">P333+O334</f>
        <v>8495.98847215859</v>
      </c>
      <c r="Q334" s="606" t="n">
        <f aca="false">Q333+1</f>
        <v>119</v>
      </c>
      <c r="R334" s="824" t="n">
        <f aca="false">R333-1</f>
        <v>-119</v>
      </c>
      <c r="S334" s="825" t="n">
        <f aca="false">D334</f>
        <v>98.0685809108907</v>
      </c>
      <c r="T334" s="825" t="n">
        <f aca="false">O334</f>
        <v>81.7238174257423</v>
      </c>
      <c r="U334" s="5"/>
      <c r="V334" s="10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02"/>
      <c r="AU334" s="502"/>
      <c r="AV334" s="606"/>
      <c r="AW334" s="502"/>
      <c r="AX334" s="502"/>
      <c r="AY334" s="502"/>
      <c r="AZ334" s="502"/>
      <c r="BA334" s="502"/>
      <c r="BB334" s="502"/>
      <c r="BC334" s="502"/>
      <c r="BD334" s="502"/>
      <c r="BE334" s="502"/>
      <c r="BF334" s="502"/>
      <c r="BG334" s="502"/>
      <c r="BH334" s="502"/>
      <c r="BI334" s="502"/>
      <c r="BJ334" s="502"/>
      <c r="BK334" s="502"/>
      <c r="BL334" s="502"/>
      <c r="BM334" s="502"/>
      <c r="BN334" s="502"/>
      <c r="BO334" s="502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</row>
    <row r="335" s="504" customFormat="true" ht="12.75" hidden="true" customHeight="true" outlineLevel="0" collapsed="false">
      <c r="A335" s="5"/>
      <c r="B335" s="813" t="n">
        <f aca="false">B334+1</f>
        <v>120</v>
      </c>
      <c r="C335" s="814" t="n">
        <f aca="false">C334+D335</f>
        <v>10231.3957070498</v>
      </c>
      <c r="D335" s="815" t="n">
        <f aca="false">E335*$E$205*M335</f>
        <v>98.2262609108907</v>
      </c>
      <c r="E335" s="601" t="n">
        <f aca="false">E334+$C$204</f>
        <v>6.22946860165466</v>
      </c>
      <c r="F335" s="816" t="n">
        <f aca="false">F334+1</f>
        <v>120</v>
      </c>
      <c r="G335" s="775" t="n">
        <f aca="false">C335</f>
        <v>10231.3957070498</v>
      </c>
      <c r="H335" s="817" t="n">
        <f aca="false">1000*(E335-E334)</f>
        <v>9.99999999999979</v>
      </c>
      <c r="I335" s="5"/>
      <c r="J335" s="818" t="n">
        <f aca="false">1000*(E335-$E$215)/(B335-$B$215)</f>
        <v>23.1155819047652</v>
      </c>
      <c r="K335" s="732" t="n">
        <f aca="false">AVERAGE($E$216:E335)</f>
        <v>5.57113526832134</v>
      </c>
      <c r="L335" s="819" t="n">
        <f aca="false">L334+1</f>
        <v>120</v>
      </c>
      <c r="M335" s="820" t="n">
        <f aca="false">IF(B335&lt;$E$104,$E$105,$E$106)</f>
        <v>3</v>
      </c>
      <c r="N335" s="821" t="n">
        <f aca="false">IF(B335&lt;$E$104,$E$105,$E$111)</f>
        <v>2.5</v>
      </c>
      <c r="O335" s="822" t="n">
        <f aca="false">E335*$E$205*N335</f>
        <v>81.8552174257423</v>
      </c>
      <c r="P335" s="823" t="n">
        <f aca="false">P334+O335</f>
        <v>8577.84368958433</v>
      </c>
      <c r="Q335" s="606" t="n">
        <f aca="false">Q334+1</f>
        <v>120</v>
      </c>
      <c r="R335" s="824" t="n">
        <f aca="false">R334-1</f>
        <v>-120</v>
      </c>
      <c r="S335" s="825" t="n">
        <f aca="false">D335</f>
        <v>98.2262609108907</v>
      </c>
      <c r="T335" s="825" t="n">
        <f aca="false">O335</f>
        <v>81.8552174257423</v>
      </c>
      <c r="U335" s="5"/>
      <c r="V335" s="10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02"/>
      <c r="AU335" s="502"/>
      <c r="AV335" s="606"/>
      <c r="AW335" s="502"/>
      <c r="AX335" s="502"/>
      <c r="AY335" s="502"/>
      <c r="AZ335" s="502"/>
      <c r="BA335" s="502"/>
      <c r="BB335" s="502"/>
      <c r="BC335" s="502"/>
      <c r="BD335" s="502"/>
      <c r="BE335" s="502"/>
      <c r="BF335" s="502"/>
      <c r="BG335" s="502"/>
      <c r="BH335" s="502"/>
      <c r="BI335" s="502"/>
      <c r="BJ335" s="502"/>
      <c r="BK335" s="502"/>
      <c r="BL335" s="502"/>
      <c r="BM335" s="502"/>
      <c r="BN335" s="502"/>
      <c r="BO335" s="502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</row>
    <row r="336" s="504" customFormat="true" ht="12.75" hidden="true" customHeight="true" outlineLevel="0" collapsed="false">
      <c r="A336" s="5"/>
      <c r="B336" s="813" t="n">
        <f aca="false">B335+1</f>
        <v>121</v>
      </c>
      <c r="C336" s="814" t="n">
        <f aca="false">C335+D336</f>
        <v>10329.7796479607</v>
      </c>
      <c r="D336" s="815" t="n">
        <f aca="false">E336*$E$205*M336</f>
        <v>98.3839409108908</v>
      </c>
      <c r="E336" s="601" t="n">
        <f aca="false">E335+$C$204</f>
        <v>6.23946860165466</v>
      </c>
      <c r="F336" s="816" t="n">
        <f aca="false">F335+1</f>
        <v>121</v>
      </c>
      <c r="G336" s="775" t="n">
        <f aca="false">C336</f>
        <v>10329.7796479607</v>
      </c>
      <c r="H336" s="817" t="n">
        <f aca="false">1000*(E336-E335)</f>
        <v>9.99999999999979</v>
      </c>
      <c r="I336" s="5"/>
      <c r="J336" s="818" t="n">
        <f aca="false">1000*(E336-$E$215)/(B336-$B$215)</f>
        <v>23.0071886658828</v>
      </c>
      <c r="K336" s="732" t="n">
        <f aca="false">AVERAGE($E$216:E336)</f>
        <v>5.57665868429931</v>
      </c>
      <c r="L336" s="819" t="n">
        <f aca="false">L335+1</f>
        <v>121</v>
      </c>
      <c r="M336" s="820" t="n">
        <f aca="false">IF(B336&lt;$E$104,$E$105,$E$106)</f>
        <v>3</v>
      </c>
      <c r="N336" s="821" t="n">
        <f aca="false">IF(B336&lt;$E$104,$E$105,$E$111)</f>
        <v>2.5</v>
      </c>
      <c r="O336" s="822" t="n">
        <f aca="false">E336*$E$205*N336</f>
        <v>81.9866174257423</v>
      </c>
      <c r="P336" s="823" t="n">
        <f aca="false">P335+O336</f>
        <v>8659.83030701007</v>
      </c>
      <c r="Q336" s="606" t="n">
        <f aca="false">Q335+1</f>
        <v>121</v>
      </c>
      <c r="R336" s="824" t="n">
        <f aca="false">R335-1</f>
        <v>-121</v>
      </c>
      <c r="S336" s="825" t="n">
        <f aca="false">D336</f>
        <v>98.3839409108908</v>
      </c>
      <c r="T336" s="825" t="n">
        <f aca="false">O336</f>
        <v>81.9866174257423</v>
      </c>
      <c r="U336" s="5"/>
      <c r="V336" s="10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02"/>
      <c r="AU336" s="502"/>
      <c r="AV336" s="606"/>
      <c r="AW336" s="502"/>
      <c r="AX336" s="502"/>
      <c r="AY336" s="502"/>
      <c r="AZ336" s="502"/>
      <c r="BA336" s="502"/>
      <c r="BB336" s="502"/>
      <c r="BC336" s="502"/>
      <c r="BD336" s="502"/>
      <c r="BE336" s="502"/>
      <c r="BF336" s="502"/>
      <c r="BG336" s="502"/>
      <c r="BH336" s="502"/>
      <c r="BI336" s="502"/>
      <c r="BJ336" s="502"/>
      <c r="BK336" s="502"/>
      <c r="BL336" s="502"/>
      <c r="BM336" s="502"/>
      <c r="BN336" s="502"/>
      <c r="BO336" s="502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</row>
    <row r="337" s="504" customFormat="true" ht="12.75" hidden="true" customHeight="true" outlineLevel="0" collapsed="false">
      <c r="A337" s="5"/>
      <c r="B337" s="813" t="n">
        <f aca="false">B336+1</f>
        <v>122</v>
      </c>
      <c r="C337" s="814" t="n">
        <f aca="false">C336+D337</f>
        <v>10428.3212688715</v>
      </c>
      <c r="D337" s="815" t="n">
        <f aca="false">E337*$E$205*M337</f>
        <v>98.5416209108907</v>
      </c>
      <c r="E337" s="601" t="n">
        <f aca="false">E336+$C$204</f>
        <v>6.24946860165466</v>
      </c>
      <c r="F337" s="816" t="n">
        <f aca="false">F336+1</f>
        <v>122</v>
      </c>
      <c r="G337" s="775" t="n">
        <f aca="false">C337</f>
        <v>10428.3212688715</v>
      </c>
      <c r="H337" s="817" t="n">
        <f aca="false">1000*(E337-E336)</f>
        <v>9.99999999999979</v>
      </c>
      <c r="I337" s="5"/>
      <c r="J337" s="818" t="n">
        <f aca="false">1000*(E337-$E$215)/(B337-$B$215)</f>
        <v>22.9005723653428</v>
      </c>
      <c r="K337" s="732" t="n">
        <f aca="false">AVERAGE($E$216:E337)</f>
        <v>5.58217351968746</v>
      </c>
      <c r="L337" s="819" t="n">
        <f aca="false">L336+1</f>
        <v>122</v>
      </c>
      <c r="M337" s="820" t="n">
        <f aca="false">IF(B337&lt;$E$104,$E$105,$E$106)</f>
        <v>3</v>
      </c>
      <c r="N337" s="821" t="n">
        <f aca="false">IF(B337&lt;$E$104,$E$105,$E$111)</f>
        <v>2.5</v>
      </c>
      <c r="O337" s="822" t="n">
        <f aca="false">E337*$E$205*N337</f>
        <v>82.1180174257423</v>
      </c>
      <c r="P337" s="823" t="n">
        <f aca="false">P336+O337</f>
        <v>8741.94832443581</v>
      </c>
      <c r="Q337" s="606" t="n">
        <f aca="false">Q336+1</f>
        <v>122</v>
      </c>
      <c r="R337" s="824" t="n">
        <f aca="false">R336-1</f>
        <v>-122</v>
      </c>
      <c r="S337" s="825" t="n">
        <f aca="false">D337</f>
        <v>98.5416209108907</v>
      </c>
      <c r="T337" s="825" t="n">
        <f aca="false">O337</f>
        <v>82.1180174257423</v>
      </c>
      <c r="U337" s="5"/>
      <c r="V337" s="10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02"/>
      <c r="AU337" s="502"/>
      <c r="AV337" s="606"/>
      <c r="AW337" s="502"/>
      <c r="AX337" s="502"/>
      <c r="AY337" s="502"/>
      <c r="AZ337" s="502"/>
      <c r="BA337" s="502"/>
      <c r="BB337" s="502"/>
      <c r="BC337" s="502"/>
      <c r="BD337" s="502"/>
      <c r="BE337" s="502"/>
      <c r="BF337" s="502"/>
      <c r="BG337" s="502"/>
      <c r="BH337" s="502"/>
      <c r="BI337" s="502"/>
      <c r="BJ337" s="502"/>
      <c r="BK337" s="502"/>
      <c r="BL337" s="502"/>
      <c r="BM337" s="502"/>
      <c r="BN337" s="502"/>
      <c r="BO337" s="502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</row>
    <row r="338" s="504" customFormat="true" ht="12.75" hidden="true" customHeight="true" outlineLevel="0" collapsed="false">
      <c r="A338" s="5"/>
      <c r="B338" s="813" t="n">
        <f aca="false">B337+1</f>
        <v>123</v>
      </c>
      <c r="C338" s="814" t="n">
        <f aca="false">C337+D338</f>
        <v>10527.0205697824</v>
      </c>
      <c r="D338" s="815" t="n">
        <f aca="false">E338*$E$205*M338</f>
        <v>98.6993009108907</v>
      </c>
      <c r="E338" s="601" t="n">
        <f aca="false">E337+$C$204</f>
        <v>6.25946860165466</v>
      </c>
      <c r="F338" s="816" t="n">
        <f aca="false">F337+1</f>
        <v>123</v>
      </c>
      <c r="G338" s="775" t="n">
        <f aca="false">C338</f>
        <v>10527.0205697824</v>
      </c>
      <c r="H338" s="817" t="n">
        <f aca="false">1000*(E338-E337)</f>
        <v>9.99999999999979</v>
      </c>
      <c r="I338" s="5"/>
      <c r="J338" s="818" t="n">
        <f aca="false">1000*(E338-$E$215)/(B338-$B$215)</f>
        <v>22.7956896631855</v>
      </c>
      <c r="K338" s="732" t="n">
        <f aca="false">AVERAGE($E$216:E338)</f>
        <v>5.5876799837685</v>
      </c>
      <c r="L338" s="819" t="n">
        <f aca="false">L337+1</f>
        <v>123</v>
      </c>
      <c r="M338" s="820" t="n">
        <f aca="false">IF(B338&lt;$E$104,$E$105,$E$106)</f>
        <v>3</v>
      </c>
      <c r="N338" s="821" t="n">
        <f aca="false">IF(B338&lt;$E$104,$E$105,$E$111)</f>
        <v>2.5</v>
      </c>
      <c r="O338" s="822" t="n">
        <f aca="false">E338*$E$205*N338</f>
        <v>82.2494174257423</v>
      </c>
      <c r="P338" s="823" t="n">
        <f aca="false">P337+O338</f>
        <v>8824.19774186156</v>
      </c>
      <c r="Q338" s="606" t="n">
        <f aca="false">Q337+1</f>
        <v>123</v>
      </c>
      <c r="R338" s="824" t="n">
        <f aca="false">R337-1</f>
        <v>-123</v>
      </c>
      <c r="S338" s="825" t="n">
        <f aca="false">D338</f>
        <v>98.6993009108907</v>
      </c>
      <c r="T338" s="825" t="n">
        <f aca="false">O338</f>
        <v>82.2494174257423</v>
      </c>
      <c r="U338" s="5"/>
      <c r="V338" s="10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02"/>
      <c r="AU338" s="502"/>
      <c r="AV338" s="606"/>
      <c r="AW338" s="502"/>
      <c r="AX338" s="502"/>
      <c r="AY338" s="502"/>
      <c r="AZ338" s="502"/>
      <c r="BA338" s="502"/>
      <c r="BB338" s="502"/>
      <c r="BC338" s="502"/>
      <c r="BD338" s="502"/>
      <c r="BE338" s="502"/>
      <c r="BF338" s="502"/>
      <c r="BG338" s="502"/>
      <c r="BH338" s="502"/>
      <c r="BI338" s="502"/>
      <c r="BJ338" s="502"/>
      <c r="BK338" s="502"/>
      <c r="BL338" s="502"/>
      <c r="BM338" s="502"/>
      <c r="BN338" s="502"/>
      <c r="BO338" s="502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</row>
    <row r="339" s="504" customFormat="true" ht="12.75" hidden="true" customHeight="true" outlineLevel="0" collapsed="false">
      <c r="A339" s="5"/>
      <c r="B339" s="813" t="n">
        <f aca="false">B338+1</f>
        <v>124</v>
      </c>
      <c r="C339" s="814" t="n">
        <f aca="false">C338+D339</f>
        <v>10625.8775506933</v>
      </c>
      <c r="D339" s="815" t="n">
        <f aca="false">E339*$E$205*M339</f>
        <v>98.8569809108907</v>
      </c>
      <c r="E339" s="601" t="n">
        <f aca="false">E338+$C$204</f>
        <v>6.26946860165466</v>
      </c>
      <c r="F339" s="816" t="n">
        <f aca="false">F338+1</f>
        <v>124</v>
      </c>
      <c r="G339" s="775" t="n">
        <f aca="false">C339</f>
        <v>10625.8775506933</v>
      </c>
      <c r="H339" s="817" t="n">
        <f aca="false">1000*(E339-E338)</f>
        <v>9.99999999999979</v>
      </c>
      <c r="I339" s="5"/>
      <c r="J339" s="818" t="n">
        <f aca="false">1000*(E339-$E$215)/(B339-$B$215)</f>
        <v>22.6924986175147</v>
      </c>
      <c r="K339" s="732" t="n">
        <f aca="false">AVERAGE($E$216:E339)</f>
        <v>5.59317827907403</v>
      </c>
      <c r="L339" s="819" t="n">
        <f aca="false">L338+1</f>
        <v>124</v>
      </c>
      <c r="M339" s="820" t="n">
        <f aca="false">IF(B339&lt;$E$104,$E$105,$E$106)</f>
        <v>3</v>
      </c>
      <c r="N339" s="821" t="n">
        <f aca="false">IF(B339&lt;$E$104,$E$105,$E$111)</f>
        <v>2.5</v>
      </c>
      <c r="O339" s="822" t="n">
        <f aca="false">E339*$E$205*N339</f>
        <v>82.3808174257423</v>
      </c>
      <c r="P339" s="823" t="n">
        <f aca="false">P338+O339</f>
        <v>8906.5785592873</v>
      </c>
      <c r="Q339" s="606" t="n">
        <f aca="false">Q338+1</f>
        <v>124</v>
      </c>
      <c r="R339" s="824" t="n">
        <f aca="false">R338-1</f>
        <v>-124</v>
      </c>
      <c r="S339" s="825" t="n">
        <f aca="false">D339</f>
        <v>98.8569809108907</v>
      </c>
      <c r="T339" s="825" t="n">
        <f aca="false">O339</f>
        <v>82.3808174257423</v>
      </c>
      <c r="U339" s="5"/>
      <c r="V339" s="10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02"/>
      <c r="AU339" s="502"/>
      <c r="AV339" s="606"/>
      <c r="AW339" s="502"/>
      <c r="AX339" s="502"/>
      <c r="AY339" s="502"/>
      <c r="AZ339" s="502"/>
      <c r="BA339" s="502"/>
      <c r="BB339" s="502"/>
      <c r="BC339" s="502"/>
      <c r="BD339" s="502"/>
      <c r="BE339" s="502"/>
      <c r="BF339" s="502"/>
      <c r="BG339" s="502"/>
      <c r="BH339" s="502"/>
      <c r="BI339" s="502"/>
      <c r="BJ339" s="502"/>
      <c r="BK339" s="502"/>
      <c r="BL339" s="502"/>
      <c r="BM339" s="502"/>
      <c r="BN339" s="502"/>
      <c r="BO339" s="502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</row>
    <row r="340" s="504" customFormat="true" ht="12.75" hidden="true" customHeight="true" outlineLevel="0" collapsed="false">
      <c r="A340" s="5"/>
      <c r="B340" s="813" t="n">
        <f aca="false">B339+1</f>
        <v>125</v>
      </c>
      <c r="C340" s="814" t="n">
        <f aca="false">C339+D340</f>
        <v>10724.8922116042</v>
      </c>
      <c r="D340" s="815" t="n">
        <f aca="false">E340*$E$205*M340</f>
        <v>99.0146609108907</v>
      </c>
      <c r="E340" s="601" t="n">
        <f aca="false">E339+$C$204</f>
        <v>6.27946860165466</v>
      </c>
      <c r="F340" s="816" t="n">
        <f aca="false">F339+1</f>
        <v>125</v>
      </c>
      <c r="G340" s="775" t="n">
        <f aca="false">C340</f>
        <v>10724.8922116042</v>
      </c>
      <c r="H340" s="817" t="n">
        <f aca="false">1000*(E340-E339)</f>
        <v>9.99999999999979</v>
      </c>
      <c r="I340" s="5"/>
      <c r="J340" s="818" t="n">
        <f aca="false">1000*(E340-$E$215)/(B340-$B$215)</f>
        <v>22.5909586285745</v>
      </c>
      <c r="K340" s="732" t="n">
        <f aca="false">AVERAGE($E$216:E340)</f>
        <v>5.59866860165468</v>
      </c>
      <c r="L340" s="819" t="n">
        <f aca="false">L339+1</f>
        <v>125</v>
      </c>
      <c r="M340" s="820" t="n">
        <f aca="false">IF(B340&lt;$E$104,$E$105,$E$106)</f>
        <v>3</v>
      </c>
      <c r="N340" s="821" t="n">
        <f aca="false">IF(B340&lt;$E$104,$E$105,$E$111)</f>
        <v>2.5</v>
      </c>
      <c r="O340" s="822" t="n">
        <f aca="false">E340*$E$205*N340</f>
        <v>82.5122174257423</v>
      </c>
      <c r="P340" s="823" t="n">
        <f aca="false">P339+O340</f>
        <v>8989.09077671304</v>
      </c>
      <c r="Q340" s="606" t="n">
        <f aca="false">Q339+1</f>
        <v>125</v>
      </c>
      <c r="R340" s="824" t="n">
        <f aca="false">R339-1</f>
        <v>-125</v>
      </c>
      <c r="S340" s="825" t="n">
        <f aca="false">D340</f>
        <v>99.0146609108907</v>
      </c>
      <c r="T340" s="825" t="n">
        <f aca="false">O340</f>
        <v>82.5122174257423</v>
      </c>
      <c r="U340" s="5"/>
      <c r="V340" s="10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02"/>
      <c r="AU340" s="502"/>
      <c r="AV340" s="606"/>
      <c r="AW340" s="502"/>
      <c r="AX340" s="502"/>
      <c r="AY340" s="502"/>
      <c r="AZ340" s="502"/>
      <c r="BA340" s="502"/>
      <c r="BB340" s="502"/>
      <c r="BC340" s="502"/>
      <c r="BD340" s="502"/>
      <c r="BE340" s="502"/>
      <c r="BF340" s="502"/>
      <c r="BG340" s="502"/>
      <c r="BH340" s="502"/>
      <c r="BI340" s="502"/>
      <c r="BJ340" s="502"/>
      <c r="BK340" s="502"/>
      <c r="BL340" s="502"/>
      <c r="BM340" s="502"/>
      <c r="BN340" s="502"/>
      <c r="BO340" s="502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</row>
    <row r="341" s="504" customFormat="true" ht="12.75" hidden="true" customHeight="true" outlineLevel="0" collapsed="false">
      <c r="A341" s="5"/>
      <c r="B341" s="813" t="n">
        <f aca="false">B340+1</f>
        <v>126</v>
      </c>
      <c r="C341" s="814" t="n">
        <f aca="false">C340+D341</f>
        <v>10824.0645525151</v>
      </c>
      <c r="D341" s="815" t="n">
        <f aca="false">E341*$E$205*M341</f>
        <v>99.1723409108907</v>
      </c>
      <c r="E341" s="601" t="n">
        <f aca="false">E340+$C$204</f>
        <v>6.28946860165466</v>
      </c>
      <c r="F341" s="816" t="n">
        <f aca="false">F340+1</f>
        <v>126</v>
      </c>
      <c r="G341" s="775" t="n">
        <f aca="false">C341</f>
        <v>10824.0645525151</v>
      </c>
      <c r="H341" s="817" t="n">
        <f aca="false">1000*(E341-E340)</f>
        <v>9.99999999999979</v>
      </c>
      <c r="I341" s="5"/>
      <c r="J341" s="818" t="n">
        <f aca="false">1000*(E341-$E$215)/(B341-$B$215)</f>
        <v>22.4910303854906</v>
      </c>
      <c r="K341" s="732" t="n">
        <f aca="false">AVERAGE($E$216:E341)</f>
        <v>5.60415114133722</v>
      </c>
      <c r="L341" s="819" t="n">
        <f aca="false">L340+1</f>
        <v>126</v>
      </c>
      <c r="M341" s="820" t="n">
        <f aca="false">IF(B341&lt;$E$104,$E$105,$E$106)</f>
        <v>3</v>
      </c>
      <c r="N341" s="821" t="n">
        <f aca="false">IF(B341&lt;$E$104,$E$105,$E$111)</f>
        <v>2.5</v>
      </c>
      <c r="O341" s="822" t="n">
        <f aca="false">E341*$E$205*N341</f>
        <v>82.6436174257423</v>
      </c>
      <c r="P341" s="823" t="n">
        <f aca="false">P340+O341</f>
        <v>9071.73439413878</v>
      </c>
      <c r="Q341" s="606" t="n">
        <f aca="false">Q340+1</f>
        <v>126</v>
      </c>
      <c r="R341" s="824" t="n">
        <f aca="false">R340-1</f>
        <v>-126</v>
      </c>
      <c r="S341" s="825" t="n">
        <f aca="false">D341</f>
        <v>99.1723409108907</v>
      </c>
      <c r="T341" s="825" t="n">
        <f aca="false">O341</f>
        <v>82.6436174257423</v>
      </c>
      <c r="U341" s="5"/>
      <c r="V341" s="10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02"/>
      <c r="AU341" s="502"/>
      <c r="AV341" s="606"/>
      <c r="AW341" s="502"/>
      <c r="AX341" s="502"/>
      <c r="AY341" s="502"/>
      <c r="AZ341" s="502"/>
      <c r="BA341" s="502"/>
      <c r="BB341" s="502"/>
      <c r="BC341" s="502"/>
      <c r="BD341" s="502"/>
      <c r="BE341" s="502"/>
      <c r="BF341" s="502"/>
      <c r="BG341" s="502"/>
      <c r="BH341" s="502"/>
      <c r="BI341" s="502"/>
      <c r="BJ341" s="502"/>
      <c r="BK341" s="502"/>
      <c r="BL341" s="502"/>
      <c r="BM341" s="502"/>
      <c r="BN341" s="502"/>
      <c r="BO341" s="502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</row>
    <row r="342" s="504" customFormat="true" ht="12.75" hidden="true" customHeight="true" outlineLevel="0" collapsed="false">
      <c r="A342" s="5"/>
      <c r="B342" s="813" t="n">
        <f aca="false">B341+1</f>
        <v>127</v>
      </c>
      <c r="C342" s="814" t="n">
        <f aca="false">C341+D342</f>
        <v>10923.394573426</v>
      </c>
      <c r="D342" s="815" t="n">
        <f aca="false">E342*$E$205*M342</f>
        <v>99.3300209108907</v>
      </c>
      <c r="E342" s="601" t="n">
        <f aca="false">E341+$C$204</f>
        <v>6.29946860165466</v>
      </c>
      <c r="F342" s="816" t="n">
        <f aca="false">F341+1</f>
        <v>127</v>
      </c>
      <c r="G342" s="775" t="n">
        <f aca="false">C342</f>
        <v>10923.394573426</v>
      </c>
      <c r="H342" s="817" t="n">
        <f aca="false">1000*(E342-E341)</f>
        <v>9.99999999999979</v>
      </c>
      <c r="I342" s="5"/>
      <c r="J342" s="818" t="n">
        <f aca="false">1000*(E342-$E$215)/(B342-$B$215)</f>
        <v>22.3926758155261</v>
      </c>
      <c r="K342" s="732" t="n">
        <f aca="false">AVERAGE($E$216:E342)</f>
        <v>5.60962608196964</v>
      </c>
      <c r="L342" s="819" t="n">
        <f aca="false">L341+1</f>
        <v>127</v>
      </c>
      <c r="M342" s="820" t="n">
        <f aca="false">IF(B342&lt;$E$104,$E$105,$E$106)</f>
        <v>3</v>
      </c>
      <c r="N342" s="821" t="n">
        <f aca="false">IF(B342&lt;$E$104,$E$105,$E$111)</f>
        <v>2.5</v>
      </c>
      <c r="O342" s="822" t="n">
        <f aca="false">E342*$E$205*N342</f>
        <v>82.7750174257423</v>
      </c>
      <c r="P342" s="823" t="n">
        <f aca="false">P341+O342</f>
        <v>9154.50941156452</v>
      </c>
      <c r="Q342" s="606" t="n">
        <f aca="false">Q341+1</f>
        <v>127</v>
      </c>
      <c r="R342" s="824" t="n">
        <f aca="false">R341-1</f>
        <v>-127</v>
      </c>
      <c r="S342" s="825" t="n">
        <f aca="false">D342</f>
        <v>99.3300209108907</v>
      </c>
      <c r="T342" s="825" t="n">
        <f aca="false">O342</f>
        <v>82.7750174257423</v>
      </c>
      <c r="U342" s="5"/>
      <c r="V342" s="10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02"/>
      <c r="AU342" s="502"/>
      <c r="AV342" s="606"/>
      <c r="AW342" s="502"/>
      <c r="AX342" s="502"/>
      <c r="AY342" s="502"/>
      <c r="AZ342" s="502"/>
      <c r="BA342" s="502"/>
      <c r="BB342" s="502"/>
      <c r="BC342" s="502"/>
      <c r="BD342" s="502"/>
      <c r="BE342" s="502"/>
      <c r="BF342" s="502"/>
      <c r="BG342" s="502"/>
      <c r="BH342" s="502"/>
      <c r="BI342" s="502"/>
      <c r="BJ342" s="502"/>
      <c r="BK342" s="502"/>
      <c r="BL342" s="502"/>
      <c r="BM342" s="502"/>
      <c r="BN342" s="502"/>
      <c r="BO342" s="502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</row>
    <row r="343" s="504" customFormat="true" ht="12.75" hidden="true" customHeight="true" outlineLevel="0" collapsed="false">
      <c r="A343" s="5"/>
      <c r="B343" s="813" t="n">
        <f aca="false">B342+1</f>
        <v>128</v>
      </c>
      <c r="C343" s="814" t="n">
        <f aca="false">C342+D343</f>
        <v>11022.8822743369</v>
      </c>
      <c r="D343" s="815" t="n">
        <f aca="false">E343*$E$205*M343</f>
        <v>99.4877009108907</v>
      </c>
      <c r="E343" s="601" t="n">
        <f aca="false">E342+$C$204</f>
        <v>6.30946860165466</v>
      </c>
      <c r="F343" s="816" t="n">
        <f aca="false">F342+1</f>
        <v>128</v>
      </c>
      <c r="G343" s="775" t="n">
        <f aca="false">C343</f>
        <v>11022.8822743369</v>
      </c>
      <c r="H343" s="817" t="n">
        <f aca="false">1000*(E343-E342)</f>
        <v>9.99999999999979</v>
      </c>
      <c r="I343" s="5"/>
      <c r="J343" s="818" t="n">
        <f aca="false">1000*(E343-$E$215)/(B343-$B$215)</f>
        <v>22.2958580357173</v>
      </c>
      <c r="K343" s="732" t="n">
        <f aca="false">AVERAGE($E$216:E343)</f>
        <v>5.61509360165468</v>
      </c>
      <c r="L343" s="819" t="n">
        <f aca="false">L342+1</f>
        <v>128</v>
      </c>
      <c r="M343" s="820" t="n">
        <f aca="false">IF(B343&lt;$E$104,$E$105,$E$106)</f>
        <v>3</v>
      </c>
      <c r="N343" s="821" t="n">
        <f aca="false">IF(B343&lt;$E$104,$E$105,$E$111)</f>
        <v>2.5</v>
      </c>
      <c r="O343" s="822" t="n">
        <f aca="false">E343*$E$205*N343</f>
        <v>82.9064174257423</v>
      </c>
      <c r="P343" s="823" t="n">
        <f aca="false">P342+O343</f>
        <v>9237.41582899027</v>
      </c>
      <c r="Q343" s="606" t="n">
        <f aca="false">Q342+1</f>
        <v>128</v>
      </c>
      <c r="R343" s="824" t="n">
        <f aca="false">R342-1</f>
        <v>-128</v>
      </c>
      <c r="S343" s="825" t="n">
        <f aca="false">D343</f>
        <v>99.4877009108907</v>
      </c>
      <c r="T343" s="825" t="n">
        <f aca="false">O343</f>
        <v>82.9064174257423</v>
      </c>
      <c r="U343" s="5"/>
      <c r="V343" s="10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02"/>
      <c r="AU343" s="502"/>
      <c r="AV343" s="606"/>
      <c r="AW343" s="502"/>
      <c r="AX343" s="502"/>
      <c r="AY343" s="502"/>
      <c r="AZ343" s="502"/>
      <c r="BA343" s="502"/>
      <c r="BB343" s="502"/>
      <c r="BC343" s="502"/>
      <c r="BD343" s="502"/>
      <c r="BE343" s="502"/>
      <c r="BF343" s="502"/>
      <c r="BG343" s="502"/>
      <c r="BH343" s="502"/>
      <c r="BI343" s="502"/>
      <c r="BJ343" s="502"/>
      <c r="BK343" s="502"/>
      <c r="BL343" s="502"/>
      <c r="BM343" s="502"/>
      <c r="BN343" s="502"/>
      <c r="BO343" s="502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</row>
    <row r="344" s="504" customFormat="true" ht="12.75" hidden="true" customHeight="true" outlineLevel="0" collapsed="false">
      <c r="A344" s="5"/>
      <c r="B344" s="813" t="n">
        <f aca="false">B343+1</f>
        <v>129</v>
      </c>
      <c r="C344" s="814" t="n">
        <f aca="false">C343+D344</f>
        <v>11122.5276552478</v>
      </c>
      <c r="D344" s="815" t="n">
        <f aca="false">E344*$E$205*M344</f>
        <v>99.6453809108907</v>
      </c>
      <c r="E344" s="601" t="n">
        <f aca="false">E343+$C$204</f>
        <v>6.31946860165466</v>
      </c>
      <c r="F344" s="816" t="n">
        <f aca="false">F343+1</f>
        <v>129</v>
      </c>
      <c r="G344" s="775" t="n">
        <f aca="false">C344</f>
        <v>11122.5276552478</v>
      </c>
      <c r="H344" s="817" t="n">
        <f aca="false">1000*(E344-E343)</f>
        <v>9.99999999999979</v>
      </c>
      <c r="I344" s="5"/>
      <c r="J344" s="818" t="n">
        <f aca="false">1000*(E344-$E$215)/(B344-$B$215)</f>
        <v>22.2005413067583</v>
      </c>
      <c r="K344" s="732" t="n">
        <f aca="false">AVERAGE($E$216:E344)</f>
        <v>5.62055387297251</v>
      </c>
      <c r="L344" s="819" t="n">
        <f aca="false">L343+1</f>
        <v>129</v>
      </c>
      <c r="M344" s="820" t="n">
        <f aca="false">IF(B344&lt;$E$104,$E$105,$E$106)</f>
        <v>3</v>
      </c>
      <c r="N344" s="821" t="n">
        <f aca="false">IF(B344&lt;$E$104,$E$105,$E$111)</f>
        <v>2.5</v>
      </c>
      <c r="O344" s="822" t="n">
        <f aca="false">E344*$E$205*N344</f>
        <v>83.0378174257423</v>
      </c>
      <c r="P344" s="823" t="n">
        <f aca="false">P343+O344</f>
        <v>9320.45364641601</v>
      </c>
      <c r="Q344" s="606" t="n">
        <f aca="false">Q343+1</f>
        <v>129</v>
      </c>
      <c r="R344" s="824" t="n">
        <f aca="false">R343-1</f>
        <v>-129</v>
      </c>
      <c r="S344" s="825" t="n">
        <f aca="false">D344</f>
        <v>99.6453809108907</v>
      </c>
      <c r="T344" s="825" t="n">
        <f aca="false">O344</f>
        <v>83.0378174257423</v>
      </c>
      <c r="U344" s="5"/>
      <c r="V344" s="10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02"/>
      <c r="AU344" s="502"/>
      <c r="AV344" s="606"/>
      <c r="AW344" s="502"/>
      <c r="AX344" s="502"/>
      <c r="AY344" s="502"/>
      <c r="AZ344" s="502"/>
      <c r="BA344" s="502"/>
      <c r="BB344" s="502"/>
      <c r="BC344" s="502"/>
      <c r="BD344" s="502"/>
      <c r="BE344" s="502"/>
      <c r="BF344" s="502"/>
      <c r="BG344" s="502"/>
      <c r="BH344" s="502"/>
      <c r="BI344" s="502"/>
      <c r="BJ344" s="502"/>
      <c r="BK344" s="502"/>
      <c r="BL344" s="502"/>
      <c r="BM344" s="502"/>
      <c r="BN344" s="502"/>
      <c r="BO344" s="502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</row>
    <row r="345" s="504" customFormat="true" ht="12.75" hidden="true" customHeight="true" outlineLevel="0" collapsed="false">
      <c r="A345" s="5"/>
      <c r="B345" s="813" t="n">
        <f aca="false">B344+1</f>
        <v>130</v>
      </c>
      <c r="C345" s="814" t="n">
        <f aca="false">C344+D345</f>
        <v>11222.3307161587</v>
      </c>
      <c r="D345" s="815" t="n">
        <f aca="false">E345*$E$205*M345</f>
        <v>99.8030609108907</v>
      </c>
      <c r="E345" s="601" t="n">
        <f aca="false">E344+$C$204</f>
        <v>6.32946860165466</v>
      </c>
      <c r="F345" s="816" t="n">
        <f aca="false">F344+1</f>
        <v>130</v>
      </c>
      <c r="G345" s="775" t="n">
        <f aca="false">C345</f>
        <v>11222.3307161587</v>
      </c>
      <c r="H345" s="817" t="n">
        <f aca="false">1000*(E345-E344)</f>
        <v>9.99999999999979</v>
      </c>
      <c r="I345" s="5"/>
      <c r="J345" s="818" t="n">
        <f aca="false">1000*(E345-$E$215)/(B345-$B$215)</f>
        <v>22.106690989014</v>
      </c>
      <c r="K345" s="732" t="n">
        <f aca="false">AVERAGE($E$216:E345)</f>
        <v>5.62600706319314</v>
      </c>
      <c r="L345" s="819" t="n">
        <f aca="false">L344+1</f>
        <v>130</v>
      </c>
      <c r="M345" s="820" t="n">
        <f aca="false">IF(B345&lt;$E$104,$E$105,$E$106)</f>
        <v>3</v>
      </c>
      <c r="N345" s="821" t="n">
        <f aca="false">IF(B345&lt;$E$104,$E$105,$E$111)</f>
        <v>2.5</v>
      </c>
      <c r="O345" s="822" t="n">
        <f aca="false">E345*$E$205*N345</f>
        <v>83.1692174257423</v>
      </c>
      <c r="P345" s="823" t="n">
        <f aca="false">P344+O345</f>
        <v>9403.62286384175</v>
      </c>
      <c r="Q345" s="606" t="n">
        <f aca="false">Q344+1</f>
        <v>130</v>
      </c>
      <c r="R345" s="824" t="n">
        <f aca="false">R344-1</f>
        <v>-130</v>
      </c>
      <c r="S345" s="825" t="n">
        <f aca="false">D345</f>
        <v>99.8030609108907</v>
      </c>
      <c r="T345" s="825" t="n">
        <f aca="false">O345</f>
        <v>83.1692174257423</v>
      </c>
      <c r="U345" s="5"/>
      <c r="V345" s="10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02"/>
      <c r="AU345" s="502"/>
      <c r="AV345" s="606"/>
      <c r="AW345" s="502"/>
      <c r="AX345" s="502"/>
      <c r="AY345" s="502"/>
      <c r="AZ345" s="502"/>
      <c r="BA345" s="502"/>
      <c r="BB345" s="502"/>
      <c r="BC345" s="502"/>
      <c r="BD345" s="502"/>
      <c r="BE345" s="502"/>
      <c r="BF345" s="502"/>
      <c r="BG345" s="502"/>
      <c r="BH345" s="502"/>
      <c r="BI345" s="502"/>
      <c r="BJ345" s="502"/>
      <c r="BK345" s="502"/>
      <c r="BL345" s="502"/>
      <c r="BM345" s="502"/>
      <c r="BN345" s="502"/>
      <c r="BO345" s="502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</row>
    <row r="346" s="504" customFormat="true" ht="12.75" hidden="true" customHeight="true" outlineLevel="0" collapsed="false">
      <c r="A346" s="5"/>
      <c r="B346" s="813" t="n">
        <f aca="false">B345+1</f>
        <v>131</v>
      </c>
      <c r="C346" s="814" t="n">
        <f aca="false">C345+D346</f>
        <v>11322.2914570696</v>
      </c>
      <c r="D346" s="815" t="n">
        <f aca="false">E346*$E$205*M346</f>
        <v>99.9607409108907</v>
      </c>
      <c r="E346" s="601" t="n">
        <f aca="false">E345+$C$204</f>
        <v>6.33946860165466</v>
      </c>
      <c r="F346" s="816" t="n">
        <f aca="false">F345+1</f>
        <v>131</v>
      </c>
      <c r="G346" s="775" t="n">
        <f aca="false">C346</f>
        <v>11322.2914570696</v>
      </c>
      <c r="H346" s="817" t="n">
        <f aca="false">1000*(E346-E345)</f>
        <v>9.99999999999979</v>
      </c>
      <c r="I346" s="5"/>
      <c r="J346" s="818" t="n">
        <f aca="false">1000*(E346-$E$215)/(B346-$B$215)</f>
        <v>22.0142735005482</v>
      </c>
      <c r="K346" s="732" t="n">
        <f aca="false">AVERAGE($E$216:E346)</f>
        <v>5.6314533344791</v>
      </c>
      <c r="L346" s="819" t="n">
        <f aca="false">L345+1</f>
        <v>131</v>
      </c>
      <c r="M346" s="820" t="n">
        <f aca="false">IF(B346&lt;$E$104,$E$105,$E$106)</f>
        <v>3</v>
      </c>
      <c r="N346" s="821" t="n">
        <f aca="false">IF(B346&lt;$E$104,$E$105,$E$111)</f>
        <v>2.5</v>
      </c>
      <c r="O346" s="822" t="n">
        <f aca="false">E346*$E$205*N346</f>
        <v>83.3006174257423</v>
      </c>
      <c r="P346" s="823" t="n">
        <f aca="false">P345+O346</f>
        <v>9486.92348126749</v>
      </c>
      <c r="Q346" s="606" t="n">
        <f aca="false">Q345+1</f>
        <v>131</v>
      </c>
      <c r="R346" s="824" t="n">
        <f aca="false">R345-1</f>
        <v>-131</v>
      </c>
      <c r="S346" s="825" t="n">
        <f aca="false">D346</f>
        <v>99.9607409108907</v>
      </c>
      <c r="T346" s="825" t="n">
        <f aca="false">O346</f>
        <v>83.3006174257423</v>
      </c>
      <c r="U346" s="5"/>
      <c r="V346" s="10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02"/>
      <c r="AU346" s="502"/>
      <c r="AV346" s="606"/>
      <c r="AW346" s="502"/>
      <c r="AX346" s="502"/>
      <c r="AY346" s="502"/>
      <c r="AZ346" s="502"/>
      <c r="BA346" s="502"/>
      <c r="BB346" s="502"/>
      <c r="BC346" s="502"/>
      <c r="BD346" s="502"/>
      <c r="BE346" s="502"/>
      <c r="BF346" s="502"/>
      <c r="BG346" s="502"/>
      <c r="BH346" s="502"/>
      <c r="BI346" s="502"/>
      <c r="BJ346" s="502"/>
      <c r="BK346" s="502"/>
      <c r="BL346" s="502"/>
      <c r="BM346" s="502"/>
      <c r="BN346" s="502"/>
      <c r="BO346" s="502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</row>
    <row r="347" s="504" customFormat="true" ht="12.75" hidden="true" customHeight="true" outlineLevel="0" collapsed="false">
      <c r="A347" s="5"/>
      <c r="B347" s="813" t="n">
        <f aca="false">B346+1</f>
        <v>132</v>
      </c>
      <c r="C347" s="814" t="n">
        <f aca="false">C346+D347</f>
        <v>11422.4098779805</v>
      </c>
      <c r="D347" s="815" t="n">
        <f aca="false">E347*$E$205*M347</f>
        <v>100.118420910891</v>
      </c>
      <c r="E347" s="601" t="n">
        <f aca="false">E346+$C$204</f>
        <v>6.34946860165466</v>
      </c>
      <c r="F347" s="816" t="n">
        <f aca="false">F346+1</f>
        <v>132</v>
      </c>
      <c r="G347" s="775" t="n">
        <f aca="false">C347</f>
        <v>11422.4098779805</v>
      </c>
      <c r="H347" s="817" t="n">
        <f aca="false">1000*(E347-E346)</f>
        <v>9.99999999999979</v>
      </c>
      <c r="I347" s="5"/>
      <c r="J347" s="818" t="n">
        <f aca="false">1000*(E347-$E$215)/(B347-$B$215)</f>
        <v>21.9232562770592</v>
      </c>
      <c r="K347" s="732" t="n">
        <f aca="false">AVERAGE($E$216:E347)</f>
        <v>5.63689284407892</v>
      </c>
      <c r="L347" s="819" t="n">
        <f aca="false">L346+1</f>
        <v>132</v>
      </c>
      <c r="M347" s="820" t="n">
        <f aca="false">IF(B347&lt;$E$104,$E$105,$E$106)</f>
        <v>3</v>
      </c>
      <c r="N347" s="821" t="n">
        <f aca="false">IF(B347&lt;$E$104,$E$105,$E$111)</f>
        <v>2.5</v>
      </c>
      <c r="O347" s="822" t="n">
        <f aca="false">E347*$E$205*N347</f>
        <v>83.4320174257423</v>
      </c>
      <c r="P347" s="823" t="n">
        <f aca="false">P346+O347</f>
        <v>9570.35549869324</v>
      </c>
      <c r="Q347" s="606" t="n">
        <f aca="false">Q346+1</f>
        <v>132</v>
      </c>
      <c r="R347" s="824" t="n">
        <f aca="false">R346-1</f>
        <v>-132</v>
      </c>
      <c r="S347" s="825" t="n">
        <f aca="false">D347</f>
        <v>100.118420910891</v>
      </c>
      <c r="T347" s="825" t="n">
        <f aca="false">O347</f>
        <v>83.4320174257423</v>
      </c>
      <c r="U347" s="5"/>
      <c r="V347" s="10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02"/>
      <c r="AU347" s="502"/>
      <c r="AV347" s="606"/>
      <c r="AW347" s="502"/>
      <c r="AX347" s="502"/>
      <c r="AY347" s="502"/>
      <c r="AZ347" s="502"/>
      <c r="BA347" s="502"/>
      <c r="BB347" s="502"/>
      <c r="BC347" s="502"/>
      <c r="BD347" s="502"/>
      <c r="BE347" s="502"/>
      <c r="BF347" s="502"/>
      <c r="BG347" s="502"/>
      <c r="BH347" s="502"/>
      <c r="BI347" s="502"/>
      <c r="BJ347" s="502"/>
      <c r="BK347" s="502"/>
      <c r="BL347" s="502"/>
      <c r="BM347" s="502"/>
      <c r="BN347" s="502"/>
      <c r="BO347" s="502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</row>
    <row r="348" s="504" customFormat="true" ht="12.75" hidden="true" customHeight="true" outlineLevel="0" collapsed="false">
      <c r="A348" s="5"/>
      <c r="B348" s="813" t="n">
        <f aca="false">B347+1</f>
        <v>133</v>
      </c>
      <c r="C348" s="814" t="n">
        <f aca="false">C347+D348</f>
        <v>11522.6859788913</v>
      </c>
      <c r="D348" s="815" t="n">
        <f aca="false">E348*$E$205*M348</f>
        <v>100.276100910891</v>
      </c>
      <c r="E348" s="601" t="n">
        <f aca="false">E347+$C$204</f>
        <v>6.35946860165466</v>
      </c>
      <c r="F348" s="816" t="n">
        <f aca="false">F347+1</f>
        <v>133</v>
      </c>
      <c r="G348" s="775" t="n">
        <f aca="false">C348</f>
        <v>11522.6859788913</v>
      </c>
      <c r="H348" s="817" t="n">
        <f aca="false">1000*(E348-E347)</f>
        <v>9.99999999999979</v>
      </c>
      <c r="I348" s="5"/>
      <c r="J348" s="818" t="n">
        <f aca="false">1000*(E348-$E$215)/(B348-$B$215)</f>
        <v>21.8336077336227</v>
      </c>
      <c r="K348" s="732" t="n">
        <f aca="false">AVERAGE($E$216:E348)</f>
        <v>5.64232574451182</v>
      </c>
      <c r="L348" s="819" t="n">
        <f aca="false">L347+1</f>
        <v>133</v>
      </c>
      <c r="M348" s="820" t="n">
        <f aca="false">IF(B348&lt;$E$104,$E$105,$E$106)</f>
        <v>3</v>
      </c>
      <c r="N348" s="821" t="n">
        <f aca="false">IF(B348&lt;$E$104,$E$105,$E$111)</f>
        <v>2.5</v>
      </c>
      <c r="O348" s="822" t="n">
        <f aca="false">E348*$E$205*N348</f>
        <v>83.5634174257423</v>
      </c>
      <c r="P348" s="823" t="n">
        <f aca="false">P347+O348</f>
        <v>9653.91891611898</v>
      </c>
      <c r="Q348" s="606" t="n">
        <f aca="false">Q347+1</f>
        <v>133</v>
      </c>
      <c r="R348" s="824" t="n">
        <f aca="false">R347-1</f>
        <v>-133</v>
      </c>
      <c r="S348" s="825" t="n">
        <f aca="false">D348</f>
        <v>100.276100910891</v>
      </c>
      <c r="T348" s="825" t="n">
        <f aca="false">O348</f>
        <v>83.5634174257423</v>
      </c>
      <c r="U348" s="5"/>
      <c r="V348" s="10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02"/>
      <c r="AU348" s="502"/>
      <c r="AV348" s="606"/>
      <c r="AW348" s="502"/>
      <c r="AX348" s="502"/>
      <c r="AY348" s="502"/>
      <c r="AZ348" s="502"/>
      <c r="BA348" s="502"/>
      <c r="BB348" s="502"/>
      <c r="BC348" s="502"/>
      <c r="BD348" s="502"/>
      <c r="BE348" s="502"/>
      <c r="BF348" s="502"/>
      <c r="BG348" s="502"/>
      <c r="BH348" s="502"/>
      <c r="BI348" s="502"/>
      <c r="BJ348" s="502"/>
      <c r="BK348" s="502"/>
      <c r="BL348" s="502"/>
      <c r="BM348" s="502"/>
      <c r="BN348" s="502"/>
      <c r="BO348" s="502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</row>
    <row r="349" s="504" customFormat="true" ht="12.75" hidden="true" customHeight="true" outlineLevel="0" collapsed="false">
      <c r="A349" s="5"/>
      <c r="B349" s="813" t="n">
        <f aca="false">B348+1</f>
        <v>134</v>
      </c>
      <c r="C349" s="814" t="n">
        <f aca="false">C348+D349</f>
        <v>11623.1197598022</v>
      </c>
      <c r="D349" s="815" t="n">
        <f aca="false">E349*$E$205*M349</f>
        <v>100.433780910891</v>
      </c>
      <c r="E349" s="601" t="n">
        <f aca="false">E348+$C$204</f>
        <v>6.36946860165466</v>
      </c>
      <c r="F349" s="816" t="n">
        <f aca="false">F348+1</f>
        <v>134</v>
      </c>
      <c r="G349" s="775" t="n">
        <f aca="false">C349</f>
        <v>11623.1197598022</v>
      </c>
      <c r="H349" s="817" t="n">
        <f aca="false">1000*(E349-E348)</f>
        <v>9.99999999999979</v>
      </c>
      <c r="I349" s="5"/>
      <c r="J349" s="818" t="n">
        <f aca="false">1000*(E349-$E$215)/(B349-$B$215)</f>
        <v>21.7452972281479</v>
      </c>
      <c r="K349" s="732" t="n">
        <f aca="false">AVERAGE($E$216:E349)</f>
        <v>5.64775218374423</v>
      </c>
      <c r="L349" s="819" t="n">
        <f aca="false">L348+1</f>
        <v>134</v>
      </c>
      <c r="M349" s="820" t="n">
        <f aca="false">IF(B349&lt;$E$104,$E$105,$E$106)</f>
        <v>3</v>
      </c>
      <c r="N349" s="821" t="n">
        <f aca="false">IF(B349&lt;$E$104,$E$105,$E$111)</f>
        <v>2.5</v>
      </c>
      <c r="O349" s="822" t="n">
        <f aca="false">E349*$E$205*N349</f>
        <v>83.6948174257423</v>
      </c>
      <c r="P349" s="823" t="n">
        <f aca="false">P348+O349</f>
        <v>9737.61373354472</v>
      </c>
      <c r="Q349" s="606" t="n">
        <f aca="false">Q348+1</f>
        <v>134</v>
      </c>
      <c r="R349" s="824" t="n">
        <f aca="false">R348-1</f>
        <v>-134</v>
      </c>
      <c r="S349" s="825" t="n">
        <f aca="false">D349</f>
        <v>100.433780910891</v>
      </c>
      <c r="T349" s="825" t="n">
        <f aca="false">O349</f>
        <v>83.6948174257423</v>
      </c>
      <c r="U349" s="5"/>
      <c r="V349" s="10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02"/>
      <c r="AU349" s="502"/>
      <c r="AV349" s="606"/>
      <c r="AW349" s="502"/>
      <c r="AX349" s="502"/>
      <c r="AY349" s="502"/>
      <c r="AZ349" s="502"/>
      <c r="BA349" s="502"/>
      <c r="BB349" s="502"/>
      <c r="BC349" s="502"/>
      <c r="BD349" s="502"/>
      <c r="BE349" s="502"/>
      <c r="BF349" s="502"/>
      <c r="BG349" s="502"/>
      <c r="BH349" s="502"/>
      <c r="BI349" s="502"/>
      <c r="BJ349" s="502"/>
      <c r="BK349" s="502"/>
      <c r="BL349" s="502"/>
      <c r="BM349" s="502"/>
      <c r="BN349" s="502"/>
      <c r="BO349" s="502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</row>
    <row r="350" s="504" customFormat="true" ht="12.75" hidden="true" customHeight="true" outlineLevel="0" collapsed="false">
      <c r="A350" s="5"/>
      <c r="B350" s="813" t="n">
        <f aca="false">B349+1</f>
        <v>135</v>
      </c>
      <c r="C350" s="814" t="n">
        <f aca="false">C349+D350</f>
        <v>11723.7112207131</v>
      </c>
      <c r="D350" s="815" t="n">
        <f aca="false">E350*$E$205*M350</f>
        <v>100.591460910891</v>
      </c>
      <c r="E350" s="601" t="n">
        <f aca="false">E349+$C$204</f>
        <v>6.37946860165466</v>
      </c>
      <c r="F350" s="816" t="n">
        <f aca="false">F349+1</f>
        <v>135</v>
      </c>
      <c r="G350" s="775" t="n">
        <f aca="false">C350</f>
        <v>11723.7112207131</v>
      </c>
      <c r="H350" s="817" t="n">
        <f aca="false">1000*(E350-E349)</f>
        <v>9.99999999999979</v>
      </c>
      <c r="I350" s="5"/>
      <c r="J350" s="818" t="n">
        <f aca="false">1000*(E350-$E$215)/(B350-$B$215)</f>
        <v>21.6582950264579</v>
      </c>
      <c r="K350" s="732" t="n">
        <f aca="false">AVERAGE($E$216:E350)</f>
        <v>5.65317230535838</v>
      </c>
      <c r="L350" s="819" t="n">
        <f aca="false">L349+1</f>
        <v>135</v>
      </c>
      <c r="M350" s="820" t="n">
        <f aca="false">IF(B350&lt;$E$104,$E$105,$E$106)</f>
        <v>3</v>
      </c>
      <c r="N350" s="821" t="n">
        <f aca="false">IF(B350&lt;$E$104,$E$105,$E$111)</f>
        <v>2.5</v>
      </c>
      <c r="O350" s="822" t="n">
        <f aca="false">E350*$E$205*N350</f>
        <v>83.8262174257422</v>
      </c>
      <c r="P350" s="823" t="n">
        <f aca="false">P349+O350</f>
        <v>9821.43995097046</v>
      </c>
      <c r="Q350" s="606" t="n">
        <f aca="false">Q349+1</f>
        <v>135</v>
      </c>
      <c r="R350" s="824" t="n">
        <f aca="false">R349-1</f>
        <v>-135</v>
      </c>
      <c r="S350" s="825" t="n">
        <f aca="false">D350</f>
        <v>100.591460910891</v>
      </c>
      <c r="T350" s="825" t="n">
        <f aca="false">O350</f>
        <v>83.8262174257422</v>
      </c>
      <c r="U350" s="5"/>
      <c r="V350" s="10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02"/>
      <c r="AU350" s="502"/>
      <c r="AV350" s="606"/>
      <c r="AW350" s="502"/>
      <c r="AX350" s="502"/>
      <c r="AY350" s="502"/>
      <c r="AZ350" s="502"/>
      <c r="BA350" s="502"/>
      <c r="BB350" s="502"/>
      <c r="BC350" s="502"/>
      <c r="BD350" s="502"/>
      <c r="BE350" s="502"/>
      <c r="BF350" s="502"/>
      <c r="BG350" s="502"/>
      <c r="BH350" s="502"/>
      <c r="BI350" s="502"/>
      <c r="BJ350" s="502"/>
      <c r="BK350" s="502"/>
      <c r="BL350" s="502"/>
      <c r="BM350" s="502"/>
      <c r="BN350" s="502"/>
      <c r="BO350" s="502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</row>
    <row r="351" s="504" customFormat="true" ht="12.75" hidden="true" customHeight="true" outlineLevel="0" collapsed="false">
      <c r="A351" s="5"/>
      <c r="B351" s="813" t="n">
        <f aca="false">B350+1</f>
        <v>136</v>
      </c>
      <c r="C351" s="814" t="n">
        <f aca="false">C350+D351</f>
        <v>11824.460361624</v>
      </c>
      <c r="D351" s="815" t="n">
        <f aca="false">E351*$E$205*M351</f>
        <v>100.749140910891</v>
      </c>
      <c r="E351" s="601" t="n">
        <f aca="false">E350+$C$204</f>
        <v>6.38946860165466</v>
      </c>
      <c r="F351" s="816" t="n">
        <f aca="false">F350+1</f>
        <v>136</v>
      </c>
      <c r="G351" s="775" t="n">
        <f aca="false">C351</f>
        <v>11824.460361624</v>
      </c>
      <c r="H351" s="817" t="n">
        <f aca="false">1000*(E351-E350)</f>
        <v>9.99999999999979</v>
      </c>
      <c r="I351" s="5"/>
      <c r="J351" s="818" t="n">
        <f aca="false">1000*(E351-$E$215)/(B351-$B$215)</f>
        <v>21.5725722689104</v>
      </c>
      <c r="K351" s="732" t="n">
        <f aca="false">AVERAGE($E$216:E351)</f>
        <v>5.6585862487135</v>
      </c>
      <c r="L351" s="819" t="n">
        <f aca="false">L350+1</f>
        <v>136</v>
      </c>
      <c r="M351" s="820" t="n">
        <f aca="false">IF(B351&lt;$E$104,$E$105,$E$106)</f>
        <v>3</v>
      </c>
      <c r="N351" s="821" t="n">
        <f aca="false">IF(B351&lt;$E$104,$E$105,$E$111)</f>
        <v>2.5</v>
      </c>
      <c r="O351" s="822" t="n">
        <f aca="false">E351*$E$205*N351</f>
        <v>83.9576174257422</v>
      </c>
      <c r="P351" s="823" t="n">
        <f aca="false">P350+O351</f>
        <v>9905.3975683962</v>
      </c>
      <c r="Q351" s="606" t="n">
        <f aca="false">Q350+1</f>
        <v>136</v>
      </c>
      <c r="R351" s="824" t="n">
        <f aca="false">R350-1</f>
        <v>-136</v>
      </c>
      <c r="S351" s="825" t="n">
        <f aca="false">D351</f>
        <v>100.749140910891</v>
      </c>
      <c r="T351" s="825" t="n">
        <f aca="false">O351</f>
        <v>83.9576174257422</v>
      </c>
      <c r="U351" s="5"/>
      <c r="V351" s="10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02"/>
      <c r="AU351" s="502"/>
      <c r="AV351" s="606"/>
      <c r="AW351" s="502"/>
      <c r="AX351" s="502"/>
      <c r="AY351" s="502"/>
      <c r="AZ351" s="502"/>
      <c r="BA351" s="502"/>
      <c r="BB351" s="502"/>
      <c r="BC351" s="502"/>
      <c r="BD351" s="502"/>
      <c r="BE351" s="502"/>
      <c r="BF351" s="502"/>
      <c r="BG351" s="502"/>
      <c r="BH351" s="502"/>
      <c r="BI351" s="502"/>
      <c r="BJ351" s="502"/>
      <c r="BK351" s="502"/>
      <c r="BL351" s="502"/>
      <c r="BM351" s="502"/>
      <c r="BN351" s="502"/>
      <c r="BO351" s="502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</row>
    <row r="352" s="504" customFormat="true" ht="12.75" hidden="true" customHeight="true" outlineLevel="0" collapsed="false">
      <c r="A352" s="5"/>
      <c r="B352" s="813" t="n">
        <f aca="false">B351+1</f>
        <v>137</v>
      </c>
      <c r="C352" s="814" t="n">
        <f aca="false">C351+D352</f>
        <v>11925.3671825349</v>
      </c>
      <c r="D352" s="815" t="n">
        <f aca="false">E352*$E$205*M352</f>
        <v>100.906820910891</v>
      </c>
      <c r="E352" s="601" t="n">
        <f aca="false">E351+$C$204</f>
        <v>6.39946860165466</v>
      </c>
      <c r="F352" s="816" t="n">
        <f aca="false">F351+1</f>
        <v>137</v>
      </c>
      <c r="G352" s="775" t="n">
        <f aca="false">C352</f>
        <v>11925.3671825349</v>
      </c>
      <c r="H352" s="817" t="n">
        <f aca="false">1000*(E352-E351)</f>
        <v>9.99999999999979</v>
      </c>
      <c r="I352" s="5"/>
      <c r="J352" s="818" t="n">
        <f aca="false">1000*(E352-$E$215)/(B352-$B$215)</f>
        <v>21.4881009384804</v>
      </c>
      <c r="K352" s="732" t="n">
        <f aca="false">AVERAGE($E$216:E352)</f>
        <v>5.66399414909993</v>
      </c>
      <c r="L352" s="819" t="n">
        <f aca="false">L351+1</f>
        <v>137</v>
      </c>
      <c r="M352" s="820" t="n">
        <f aca="false">IF(B352&lt;$E$104,$E$105,$E$106)</f>
        <v>3</v>
      </c>
      <c r="N352" s="821" t="n">
        <f aca="false">IF(B352&lt;$E$104,$E$105,$E$111)</f>
        <v>2.5</v>
      </c>
      <c r="O352" s="822" t="n">
        <f aca="false">E352*$E$205*N352</f>
        <v>84.0890174257422</v>
      </c>
      <c r="P352" s="823" t="n">
        <f aca="false">P351+O352</f>
        <v>9989.48658582195</v>
      </c>
      <c r="Q352" s="606" t="n">
        <f aca="false">Q351+1</f>
        <v>137</v>
      </c>
      <c r="R352" s="824" t="n">
        <f aca="false">R351-1</f>
        <v>-137</v>
      </c>
      <c r="S352" s="825" t="n">
        <f aca="false">D352</f>
        <v>100.906820910891</v>
      </c>
      <c r="T352" s="825" t="n">
        <f aca="false">O352</f>
        <v>84.0890174257422</v>
      </c>
      <c r="U352" s="5"/>
      <c r="V352" s="10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02"/>
      <c r="AU352" s="502"/>
      <c r="AV352" s="606"/>
      <c r="AW352" s="502"/>
      <c r="AX352" s="502"/>
      <c r="AY352" s="502"/>
      <c r="AZ352" s="502"/>
      <c r="BA352" s="502"/>
      <c r="BB352" s="502"/>
      <c r="BC352" s="502"/>
      <c r="BD352" s="502"/>
      <c r="BE352" s="502"/>
      <c r="BF352" s="502"/>
      <c r="BG352" s="502"/>
      <c r="BH352" s="502"/>
      <c r="BI352" s="502"/>
      <c r="BJ352" s="502"/>
      <c r="BK352" s="502"/>
      <c r="BL352" s="502"/>
      <c r="BM352" s="502"/>
      <c r="BN352" s="502"/>
      <c r="BO352" s="502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</row>
    <row r="353" s="504" customFormat="true" ht="12.75" hidden="true" customHeight="true" outlineLevel="0" collapsed="false">
      <c r="A353" s="5"/>
      <c r="B353" s="813" t="n">
        <f aca="false">B352+1</f>
        <v>138</v>
      </c>
      <c r="C353" s="814" t="n">
        <f aca="false">C352+D353</f>
        <v>12026.4316834458</v>
      </c>
      <c r="D353" s="815" t="n">
        <f aca="false">E353*$E$205*M353</f>
        <v>101.064500910891</v>
      </c>
      <c r="E353" s="601" t="n">
        <f aca="false">E352+$C$204</f>
        <v>6.40946860165466</v>
      </c>
      <c r="F353" s="816" t="n">
        <f aca="false">F352+1</f>
        <v>138</v>
      </c>
      <c r="G353" s="775" t="n">
        <f aca="false">C353</f>
        <v>12026.4316834458</v>
      </c>
      <c r="H353" s="817" t="n">
        <f aca="false">1000*(E353-E352)</f>
        <v>9.99999999999979</v>
      </c>
      <c r="I353" s="5"/>
      <c r="J353" s="818" t="n">
        <f aca="false">1000*(E353-$E$215)/(B353-$B$215)</f>
        <v>21.4048538302305</v>
      </c>
      <c r="K353" s="732" t="n">
        <f aca="false">AVERAGE($E$216:E353)</f>
        <v>5.66939613788656</v>
      </c>
      <c r="L353" s="819" t="n">
        <f aca="false">L352+1</f>
        <v>138</v>
      </c>
      <c r="M353" s="820" t="n">
        <f aca="false">IF(B353&lt;$E$104,$E$105,$E$106)</f>
        <v>3</v>
      </c>
      <c r="N353" s="821" t="n">
        <f aca="false">IF(B353&lt;$E$104,$E$105,$E$111)</f>
        <v>2.5</v>
      </c>
      <c r="O353" s="822" t="n">
        <f aca="false">E353*$E$205*N353</f>
        <v>84.2204174257422</v>
      </c>
      <c r="P353" s="823" t="n">
        <f aca="false">P352+O353</f>
        <v>10073.7070032477</v>
      </c>
      <c r="Q353" s="606" t="n">
        <f aca="false">Q352+1</f>
        <v>138</v>
      </c>
      <c r="R353" s="824" t="n">
        <f aca="false">R352-1</f>
        <v>-138</v>
      </c>
      <c r="S353" s="825" t="n">
        <f aca="false">D353</f>
        <v>101.064500910891</v>
      </c>
      <c r="T353" s="825" t="n">
        <f aca="false">O353</f>
        <v>84.2204174257422</v>
      </c>
      <c r="U353" s="5"/>
      <c r="V353" s="10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02"/>
      <c r="AU353" s="502"/>
      <c r="AV353" s="606"/>
      <c r="AW353" s="502"/>
      <c r="AX353" s="502"/>
      <c r="AY353" s="502"/>
      <c r="AZ353" s="502"/>
      <c r="BA353" s="502"/>
      <c r="BB353" s="502"/>
      <c r="BC353" s="502"/>
      <c r="BD353" s="502"/>
      <c r="BE353" s="502"/>
      <c r="BF353" s="502"/>
      <c r="BG353" s="502"/>
      <c r="BH353" s="502"/>
      <c r="BI353" s="502"/>
      <c r="BJ353" s="502"/>
      <c r="BK353" s="502"/>
      <c r="BL353" s="502"/>
      <c r="BM353" s="502"/>
      <c r="BN353" s="502"/>
      <c r="BO353" s="502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</row>
    <row r="354" s="504" customFormat="true" ht="12.75" hidden="true" customHeight="true" outlineLevel="0" collapsed="false">
      <c r="A354" s="5"/>
      <c r="B354" s="813" t="n">
        <f aca="false">B353+1</f>
        <v>139</v>
      </c>
      <c r="C354" s="814" t="n">
        <f aca="false">C353+D354</f>
        <v>12127.6538643567</v>
      </c>
      <c r="D354" s="815" t="n">
        <f aca="false">E354*$E$205*M354</f>
        <v>101.222180910891</v>
      </c>
      <c r="E354" s="601" t="n">
        <f aca="false">E353+$C$204</f>
        <v>6.41946860165466</v>
      </c>
      <c r="F354" s="816" t="n">
        <f aca="false">F353+1</f>
        <v>139</v>
      </c>
      <c r="G354" s="775" t="n">
        <f aca="false">C354</f>
        <v>12127.6538643567</v>
      </c>
      <c r="H354" s="817" t="n">
        <f aca="false">1000*(E354-E353)</f>
        <v>9.99999999999979</v>
      </c>
      <c r="I354" s="5"/>
      <c r="J354" s="818" t="n">
        <f aca="false">1000*(E354-$E$215)/(B354-$B$215)</f>
        <v>21.3228045220994</v>
      </c>
      <c r="K354" s="732" t="n">
        <f aca="false">AVERAGE($E$216:E354)</f>
        <v>5.67479234266187</v>
      </c>
      <c r="L354" s="819" t="n">
        <f aca="false">L353+1</f>
        <v>139</v>
      </c>
      <c r="M354" s="820" t="n">
        <f aca="false">IF(B354&lt;$E$104,$E$105,$E$106)</f>
        <v>3</v>
      </c>
      <c r="N354" s="821" t="n">
        <f aca="false">IF(B354&lt;$E$104,$E$105,$E$111)</f>
        <v>2.5</v>
      </c>
      <c r="O354" s="822" t="n">
        <f aca="false">E354*$E$205*N354</f>
        <v>84.3518174257422</v>
      </c>
      <c r="P354" s="823" t="n">
        <f aca="false">P353+O354</f>
        <v>10158.0588206734</v>
      </c>
      <c r="Q354" s="606" t="n">
        <f aca="false">Q353+1</f>
        <v>139</v>
      </c>
      <c r="R354" s="824" t="n">
        <f aca="false">R353-1</f>
        <v>-139</v>
      </c>
      <c r="S354" s="825" t="n">
        <f aca="false">D354</f>
        <v>101.222180910891</v>
      </c>
      <c r="T354" s="825" t="n">
        <f aca="false">O354</f>
        <v>84.3518174257422</v>
      </c>
      <c r="U354" s="5"/>
      <c r="V354" s="10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02"/>
      <c r="AU354" s="502"/>
      <c r="AV354" s="606"/>
      <c r="AW354" s="502"/>
      <c r="AX354" s="502"/>
      <c r="AY354" s="502"/>
      <c r="AZ354" s="502"/>
      <c r="BA354" s="502"/>
      <c r="BB354" s="502"/>
      <c r="BC354" s="502"/>
      <c r="BD354" s="502"/>
      <c r="BE354" s="502"/>
      <c r="BF354" s="502"/>
      <c r="BG354" s="502"/>
      <c r="BH354" s="502"/>
      <c r="BI354" s="502"/>
      <c r="BJ354" s="502"/>
      <c r="BK354" s="502"/>
      <c r="BL354" s="502"/>
      <c r="BM354" s="502"/>
      <c r="BN354" s="502"/>
      <c r="BO354" s="502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</row>
    <row r="355" s="504" customFormat="true" ht="12.75" hidden="true" customHeight="true" outlineLevel="0" collapsed="false">
      <c r="A355" s="5"/>
      <c r="B355" s="813" t="n">
        <f aca="false">B354+1</f>
        <v>140</v>
      </c>
      <c r="C355" s="814" t="n">
        <f aca="false">C354+D355</f>
        <v>12229.0337252676</v>
      </c>
      <c r="D355" s="815" t="n">
        <f aca="false">E355*$E$205*M355</f>
        <v>101.379860910891</v>
      </c>
      <c r="E355" s="601" t="n">
        <f aca="false">E354+$C$204</f>
        <v>6.42946860165466</v>
      </c>
      <c r="F355" s="816" t="n">
        <f aca="false">F354+1</f>
        <v>140</v>
      </c>
      <c r="G355" s="775" t="n">
        <f aca="false">C355</f>
        <v>12229.0337252676</v>
      </c>
      <c r="H355" s="817" t="n">
        <f aca="false">1000*(E355-E354)</f>
        <v>9.99999999999979</v>
      </c>
      <c r="I355" s="5"/>
      <c r="J355" s="818" t="n">
        <f aca="false">1000*(E355-$E$215)/(B355-$B$215)</f>
        <v>21.2419273469415</v>
      </c>
      <c r="K355" s="732" t="n">
        <f aca="false">AVERAGE($E$216:E355)</f>
        <v>5.68018288736896</v>
      </c>
      <c r="L355" s="819" t="n">
        <f aca="false">L354+1</f>
        <v>140</v>
      </c>
      <c r="M355" s="820" t="n">
        <f aca="false">IF(B355&lt;$E$104,$E$105,$E$106)</f>
        <v>3</v>
      </c>
      <c r="N355" s="821" t="n">
        <f aca="false">IF(B355&lt;$E$104,$E$105,$E$111)</f>
        <v>2.5</v>
      </c>
      <c r="O355" s="822" t="n">
        <f aca="false">E355*$E$205*N355</f>
        <v>84.4832174257422</v>
      </c>
      <c r="P355" s="823" t="n">
        <f aca="false">P354+O355</f>
        <v>10242.5420380992</v>
      </c>
      <c r="Q355" s="606" t="n">
        <f aca="false">Q354+1</f>
        <v>140</v>
      </c>
      <c r="R355" s="824" t="n">
        <f aca="false">R354-1</f>
        <v>-140</v>
      </c>
      <c r="S355" s="825" t="n">
        <f aca="false">D355</f>
        <v>101.379860910891</v>
      </c>
      <c r="T355" s="825" t="n">
        <f aca="false">O355</f>
        <v>84.4832174257422</v>
      </c>
      <c r="U355" s="5"/>
      <c r="V355" s="10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02"/>
      <c r="AU355" s="502"/>
      <c r="AV355" s="606"/>
      <c r="AW355" s="502"/>
      <c r="AX355" s="502"/>
      <c r="AY355" s="502"/>
      <c r="AZ355" s="502"/>
      <c r="BA355" s="502"/>
      <c r="BB355" s="502"/>
      <c r="BC355" s="502"/>
      <c r="BD355" s="502"/>
      <c r="BE355" s="502"/>
      <c r="BF355" s="502"/>
      <c r="BG355" s="502"/>
      <c r="BH355" s="502"/>
      <c r="BI355" s="502"/>
      <c r="BJ355" s="502"/>
      <c r="BK355" s="502"/>
      <c r="BL355" s="502"/>
      <c r="BM355" s="502"/>
      <c r="BN355" s="502"/>
      <c r="BO355" s="502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</row>
    <row r="356" s="504" customFormat="true" ht="12.75" hidden="true" customHeight="true" outlineLevel="0" collapsed="false">
      <c r="A356" s="5"/>
      <c r="B356" s="813" t="n">
        <f aca="false">B355+1</f>
        <v>141</v>
      </c>
      <c r="C356" s="814" t="n">
        <f aca="false">C355+D356</f>
        <v>12330.5712661785</v>
      </c>
      <c r="D356" s="815" t="n">
        <f aca="false">E356*$E$205*M356</f>
        <v>101.537540910891</v>
      </c>
      <c r="E356" s="601" t="n">
        <f aca="false">E355+$C$204</f>
        <v>6.43946860165466</v>
      </c>
      <c r="F356" s="816" t="n">
        <f aca="false">F355+1</f>
        <v>141</v>
      </c>
      <c r="G356" s="775" t="n">
        <f aca="false">C356</f>
        <v>12330.5712661785</v>
      </c>
      <c r="H356" s="817" t="n">
        <f aca="false">1000*(E356-E355)</f>
        <v>9.99999999999979</v>
      </c>
      <c r="I356" s="5"/>
      <c r="J356" s="818" t="n">
        <f aca="false">1000*(E356-$E$215)/(B356-$B$215)</f>
        <v>21.1621973657575</v>
      </c>
      <c r="K356" s="732" t="n">
        <f aca="false">AVERAGE($E$216:E356)</f>
        <v>5.68556789243482</v>
      </c>
      <c r="L356" s="819" t="n">
        <f aca="false">L355+1</f>
        <v>141</v>
      </c>
      <c r="M356" s="820" t="n">
        <f aca="false">IF(B356&lt;$E$104,$E$105,$E$106)</f>
        <v>3</v>
      </c>
      <c r="N356" s="821" t="n">
        <f aca="false">IF(B356&lt;$E$104,$E$105,$E$111)</f>
        <v>2.5</v>
      </c>
      <c r="O356" s="822" t="n">
        <f aca="false">E356*$E$205*N356</f>
        <v>84.6146174257422</v>
      </c>
      <c r="P356" s="823" t="n">
        <f aca="false">P355+O356</f>
        <v>10327.1566555249</v>
      </c>
      <c r="Q356" s="606" t="n">
        <f aca="false">Q355+1</f>
        <v>141</v>
      </c>
      <c r="R356" s="824" t="n">
        <f aca="false">R355-1</f>
        <v>-141</v>
      </c>
      <c r="S356" s="825" t="n">
        <f aca="false">D356</f>
        <v>101.537540910891</v>
      </c>
      <c r="T356" s="825" t="n">
        <f aca="false">O356</f>
        <v>84.6146174257422</v>
      </c>
      <c r="U356" s="5"/>
      <c r="V356" s="10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02"/>
      <c r="AU356" s="502"/>
      <c r="AV356" s="606"/>
      <c r="AW356" s="502"/>
      <c r="AX356" s="502"/>
      <c r="AY356" s="502"/>
      <c r="AZ356" s="502"/>
      <c r="BA356" s="502"/>
      <c r="BB356" s="502"/>
      <c r="BC356" s="502"/>
      <c r="BD356" s="502"/>
      <c r="BE356" s="502"/>
      <c r="BF356" s="502"/>
      <c r="BG356" s="502"/>
      <c r="BH356" s="502"/>
      <c r="BI356" s="502"/>
      <c r="BJ356" s="502"/>
      <c r="BK356" s="502"/>
      <c r="BL356" s="502"/>
      <c r="BM356" s="502"/>
      <c r="BN356" s="502"/>
      <c r="BO356" s="502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</row>
    <row r="357" s="504" customFormat="true" ht="12.75" hidden="true" customHeight="true" outlineLevel="0" collapsed="false">
      <c r="A357" s="5"/>
      <c r="B357" s="813" t="n">
        <f aca="false">B356+1</f>
        <v>142</v>
      </c>
      <c r="C357" s="814" t="n">
        <f aca="false">C356+D357</f>
        <v>12432.2664870894</v>
      </c>
      <c r="D357" s="815" t="n">
        <f aca="false">E357*$E$205*M357</f>
        <v>101.695220910891</v>
      </c>
      <c r="E357" s="601" t="n">
        <f aca="false">E356+$C$204</f>
        <v>6.44946860165466</v>
      </c>
      <c r="F357" s="816" t="n">
        <f aca="false">F356+1</f>
        <v>142</v>
      </c>
      <c r="G357" s="775" t="n">
        <f aca="false">C357</f>
        <v>12432.2664870894</v>
      </c>
      <c r="H357" s="817" t="n">
        <f aca="false">1000*(E357-E356)</f>
        <v>9.99999999999979</v>
      </c>
      <c r="I357" s="5"/>
      <c r="J357" s="818" t="n">
        <f aca="false">1000*(E357-$E$215)/(B357-$B$215)</f>
        <v>21.083590342055</v>
      </c>
      <c r="K357" s="732" t="n">
        <f aca="false">AVERAGE($E$216:E357)</f>
        <v>5.69094747489411</v>
      </c>
      <c r="L357" s="819" t="n">
        <f aca="false">L356+1</f>
        <v>142</v>
      </c>
      <c r="M357" s="820" t="n">
        <f aca="false">IF(B357&lt;$E$104,$E$105,$E$106)</f>
        <v>3</v>
      </c>
      <c r="N357" s="821" t="n">
        <f aca="false">IF(B357&lt;$E$104,$E$105,$E$111)</f>
        <v>2.5</v>
      </c>
      <c r="O357" s="822" t="n">
        <f aca="false">E357*$E$205*N357</f>
        <v>84.7460174257422</v>
      </c>
      <c r="P357" s="823" t="n">
        <f aca="false">P356+O357</f>
        <v>10411.9026729507</v>
      </c>
      <c r="Q357" s="606" t="n">
        <f aca="false">Q356+1</f>
        <v>142</v>
      </c>
      <c r="R357" s="824" t="n">
        <f aca="false">R356-1</f>
        <v>-142</v>
      </c>
      <c r="S357" s="825" t="n">
        <f aca="false">D357</f>
        <v>101.695220910891</v>
      </c>
      <c r="T357" s="825" t="n">
        <f aca="false">O357</f>
        <v>84.7460174257422</v>
      </c>
      <c r="U357" s="5"/>
      <c r="V357" s="10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02"/>
      <c r="AU357" s="502"/>
      <c r="AV357" s="606"/>
      <c r="AW357" s="502"/>
      <c r="AX357" s="502"/>
      <c r="AY357" s="502"/>
      <c r="AZ357" s="502"/>
      <c r="BA357" s="502"/>
      <c r="BB357" s="502"/>
      <c r="BC357" s="502"/>
      <c r="BD357" s="502"/>
      <c r="BE357" s="502"/>
      <c r="BF357" s="502"/>
      <c r="BG357" s="502"/>
      <c r="BH357" s="502"/>
      <c r="BI357" s="502"/>
      <c r="BJ357" s="502"/>
      <c r="BK357" s="502"/>
      <c r="BL357" s="502"/>
      <c r="BM357" s="502"/>
      <c r="BN357" s="502"/>
      <c r="BO357" s="502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</row>
    <row r="358" s="504" customFormat="true" ht="12.75" hidden="true" customHeight="true" outlineLevel="0" collapsed="false">
      <c r="A358" s="5"/>
      <c r="B358" s="813" t="n">
        <f aca="false">B357+1</f>
        <v>143</v>
      </c>
      <c r="C358" s="814" t="n">
        <f aca="false">C357+D358</f>
        <v>12534.1193880003</v>
      </c>
      <c r="D358" s="815" t="n">
        <f aca="false">E358*$E$205*M358</f>
        <v>101.852900910891</v>
      </c>
      <c r="E358" s="601" t="n">
        <f aca="false">E357+$C$204</f>
        <v>6.45946860165466</v>
      </c>
      <c r="F358" s="816" t="n">
        <f aca="false">F357+1</f>
        <v>143</v>
      </c>
      <c r="G358" s="775" t="n">
        <f aca="false">C358</f>
        <v>12534.1193880003</v>
      </c>
      <c r="H358" s="817" t="n">
        <f aca="false">1000*(E358-E357)</f>
        <v>9.99999999999979</v>
      </c>
      <c r="I358" s="5"/>
      <c r="J358" s="818" t="n">
        <f aca="false">1000*(E358-$E$215)/(B358-$B$215)</f>
        <v>21.0060827172854</v>
      </c>
      <c r="K358" s="732" t="n">
        <f aca="false">AVERAGE($E$216:E358)</f>
        <v>5.69632174850782</v>
      </c>
      <c r="L358" s="819" t="n">
        <f aca="false">L357+1</f>
        <v>143</v>
      </c>
      <c r="M358" s="820" t="n">
        <f aca="false">IF(B358&lt;$E$104,$E$105,$E$106)</f>
        <v>3</v>
      </c>
      <c r="N358" s="821" t="n">
        <f aca="false">IF(B358&lt;$E$104,$E$105,$E$111)</f>
        <v>2.5</v>
      </c>
      <c r="O358" s="822" t="n">
        <f aca="false">E358*$E$205*N358</f>
        <v>84.8774174257422</v>
      </c>
      <c r="P358" s="823" t="n">
        <f aca="false">P357+O358</f>
        <v>10496.7800903764</v>
      </c>
      <c r="Q358" s="606" t="n">
        <f aca="false">Q357+1</f>
        <v>143</v>
      </c>
      <c r="R358" s="824" t="n">
        <f aca="false">R357-1</f>
        <v>-143</v>
      </c>
      <c r="S358" s="825" t="n">
        <f aca="false">D358</f>
        <v>101.852900910891</v>
      </c>
      <c r="T358" s="825" t="n">
        <f aca="false">O358</f>
        <v>84.8774174257422</v>
      </c>
      <c r="U358" s="5"/>
      <c r="V358" s="10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02"/>
      <c r="AU358" s="502"/>
      <c r="AV358" s="606"/>
      <c r="AW358" s="502"/>
      <c r="AX358" s="502"/>
      <c r="AY358" s="502"/>
      <c r="AZ358" s="502"/>
      <c r="BA358" s="502"/>
      <c r="BB358" s="502"/>
      <c r="BC358" s="502"/>
      <c r="BD358" s="502"/>
      <c r="BE358" s="502"/>
      <c r="BF358" s="502"/>
      <c r="BG358" s="502"/>
      <c r="BH358" s="502"/>
      <c r="BI358" s="502"/>
      <c r="BJ358" s="502"/>
      <c r="BK358" s="502"/>
      <c r="BL358" s="502"/>
      <c r="BM358" s="502"/>
      <c r="BN358" s="502"/>
      <c r="BO358" s="502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</row>
    <row r="359" s="504" customFormat="true" ht="12.75" hidden="true" customHeight="true" outlineLevel="0" collapsed="false">
      <c r="A359" s="5"/>
      <c r="B359" s="813" t="n">
        <f aca="false">B358+1</f>
        <v>144</v>
      </c>
      <c r="C359" s="814" t="n">
        <f aca="false">C358+D359</f>
        <v>12636.1299689111</v>
      </c>
      <c r="D359" s="815" t="n">
        <f aca="false">E359*$E$205*M359</f>
        <v>102.010580910891</v>
      </c>
      <c r="E359" s="601" t="n">
        <f aca="false">E358+$C$204</f>
        <v>6.46946860165466</v>
      </c>
      <c r="F359" s="816" t="n">
        <f aca="false">F358+1</f>
        <v>144</v>
      </c>
      <c r="G359" s="775" t="n">
        <f aca="false">C359</f>
        <v>12636.1299689111</v>
      </c>
      <c r="H359" s="817" t="n">
        <f aca="false">1000*(E359-E358)</f>
        <v>9.99999999999979</v>
      </c>
      <c r="I359" s="5"/>
      <c r="J359" s="818" t="n">
        <f aca="false">1000*(E359-$E$215)/(B359-$B$215)</f>
        <v>20.9296515873043</v>
      </c>
      <c r="K359" s="732" t="n">
        <f aca="false">AVERAGE($E$216:E359)</f>
        <v>5.7016908238769</v>
      </c>
      <c r="L359" s="819" t="n">
        <f aca="false">L358+1</f>
        <v>144</v>
      </c>
      <c r="M359" s="820" t="n">
        <f aca="false">IF(B359&lt;$E$104,$E$105,$E$106)</f>
        <v>3</v>
      </c>
      <c r="N359" s="821" t="n">
        <f aca="false">IF(B359&lt;$E$104,$E$105,$E$111)</f>
        <v>2.5</v>
      </c>
      <c r="O359" s="822" t="n">
        <f aca="false">E359*$E$205*N359</f>
        <v>85.0088174257422</v>
      </c>
      <c r="P359" s="823" t="n">
        <f aca="false">P358+O359</f>
        <v>10581.7889078021</v>
      </c>
      <c r="Q359" s="606" t="n">
        <f aca="false">Q358+1</f>
        <v>144</v>
      </c>
      <c r="R359" s="824" t="n">
        <f aca="false">R358-1</f>
        <v>-144</v>
      </c>
      <c r="S359" s="825" t="n">
        <f aca="false">D359</f>
        <v>102.010580910891</v>
      </c>
      <c r="T359" s="825" t="n">
        <f aca="false">O359</f>
        <v>85.0088174257422</v>
      </c>
      <c r="U359" s="5"/>
      <c r="V359" s="10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02"/>
      <c r="AU359" s="502"/>
      <c r="AV359" s="606"/>
      <c r="AW359" s="502"/>
      <c r="AX359" s="502"/>
      <c r="AY359" s="502"/>
      <c r="AZ359" s="502"/>
      <c r="BA359" s="502"/>
      <c r="BB359" s="502"/>
      <c r="BC359" s="502"/>
      <c r="BD359" s="502"/>
      <c r="BE359" s="502"/>
      <c r="BF359" s="502"/>
      <c r="BG359" s="502"/>
      <c r="BH359" s="502"/>
      <c r="BI359" s="502"/>
      <c r="BJ359" s="502"/>
      <c r="BK359" s="502"/>
      <c r="BL359" s="502"/>
      <c r="BM359" s="502"/>
      <c r="BN359" s="502"/>
      <c r="BO359" s="502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</row>
    <row r="360" s="504" customFormat="true" ht="12.75" hidden="true" customHeight="true" outlineLevel="0" collapsed="false">
      <c r="A360" s="5"/>
      <c r="B360" s="813" t="n">
        <f aca="false">B359+1</f>
        <v>145</v>
      </c>
      <c r="C360" s="814" t="n">
        <f aca="false">C359+D360</f>
        <v>12738.298229822</v>
      </c>
      <c r="D360" s="815" t="n">
        <f aca="false">E360*$E$205*M360</f>
        <v>102.168260910891</v>
      </c>
      <c r="E360" s="601" t="n">
        <f aca="false">E359+$C$204</f>
        <v>6.47946860165466</v>
      </c>
      <c r="F360" s="816" t="n">
        <f aca="false">F359+1</f>
        <v>145</v>
      </c>
      <c r="G360" s="775" t="n">
        <f aca="false">C360</f>
        <v>12738.298229822</v>
      </c>
      <c r="H360" s="817" t="n">
        <f aca="false">1000*(E360-E359)</f>
        <v>9.99999999999979</v>
      </c>
      <c r="I360" s="5"/>
      <c r="J360" s="818" t="n">
        <f aca="false">1000*(E360-$E$215)/(B360-$B$215)</f>
        <v>20.8542746798056</v>
      </c>
      <c r="K360" s="732" t="n">
        <f aca="false">AVERAGE($E$216:E360)</f>
        <v>5.70705480855123</v>
      </c>
      <c r="L360" s="819" t="n">
        <f aca="false">L359+1</f>
        <v>145</v>
      </c>
      <c r="M360" s="820" t="n">
        <f aca="false">IF(B360&lt;$E$104,$E$105,$E$106)</f>
        <v>3</v>
      </c>
      <c r="N360" s="821" t="n">
        <f aca="false">IF(B360&lt;$E$104,$E$105,$E$111)</f>
        <v>2.5</v>
      </c>
      <c r="O360" s="822" t="n">
        <f aca="false">E360*$E$205*N360</f>
        <v>85.1402174257422</v>
      </c>
      <c r="P360" s="823" t="n">
        <f aca="false">P359+O360</f>
        <v>10666.9291252279</v>
      </c>
      <c r="Q360" s="606" t="n">
        <f aca="false">Q359+1</f>
        <v>145</v>
      </c>
      <c r="R360" s="824" t="n">
        <f aca="false">R359-1</f>
        <v>-145</v>
      </c>
      <c r="S360" s="825" t="n">
        <f aca="false">D360</f>
        <v>102.168260910891</v>
      </c>
      <c r="T360" s="825" t="n">
        <f aca="false">O360</f>
        <v>85.1402174257422</v>
      </c>
      <c r="U360" s="5"/>
      <c r="V360" s="10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02"/>
      <c r="AU360" s="502"/>
      <c r="AV360" s="606"/>
      <c r="AW360" s="502"/>
      <c r="AX360" s="502"/>
      <c r="AY360" s="502"/>
      <c r="AZ360" s="502"/>
      <c r="BA360" s="502"/>
      <c r="BB360" s="502"/>
      <c r="BC360" s="502"/>
      <c r="BD360" s="502"/>
      <c r="BE360" s="502"/>
      <c r="BF360" s="502"/>
      <c r="BG360" s="502"/>
      <c r="BH360" s="502"/>
      <c r="BI360" s="502"/>
      <c r="BJ360" s="502"/>
      <c r="BK360" s="502"/>
      <c r="BL360" s="502"/>
      <c r="BM360" s="502"/>
      <c r="BN360" s="502"/>
      <c r="BO360" s="502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</row>
    <row r="361" s="504" customFormat="true" ht="12.75" hidden="true" customHeight="true" outlineLevel="0" collapsed="false">
      <c r="A361" s="5"/>
      <c r="B361" s="813" t="n">
        <f aca="false">B360+1</f>
        <v>146</v>
      </c>
      <c r="C361" s="814" t="n">
        <f aca="false">C360+D361</f>
        <v>12840.6241707329</v>
      </c>
      <c r="D361" s="815" t="n">
        <f aca="false">E361*$E$205*M361</f>
        <v>102.325940910891</v>
      </c>
      <c r="E361" s="601" t="n">
        <f aca="false">E360+$C$204</f>
        <v>6.48946860165466</v>
      </c>
      <c r="F361" s="816" t="n">
        <f aca="false">F360+1</f>
        <v>146</v>
      </c>
      <c r="G361" s="775" t="n">
        <f aca="false">C361</f>
        <v>12840.6241707329</v>
      </c>
      <c r="H361" s="817" t="n">
        <f aca="false">1000*(E361-E360)</f>
        <v>9.99999999999979</v>
      </c>
      <c r="I361" s="5"/>
      <c r="J361" s="818" t="n">
        <f aca="false">1000*(E361-$E$215)/(B361-$B$215)</f>
        <v>20.7799303326837</v>
      </c>
      <c r="K361" s="732" t="n">
        <f aca="false">AVERAGE($E$216:E361)</f>
        <v>5.71241380713413</v>
      </c>
      <c r="L361" s="819" t="n">
        <f aca="false">L360+1</f>
        <v>146</v>
      </c>
      <c r="M361" s="820" t="n">
        <f aca="false">IF(B361&lt;$E$104,$E$105,$E$106)</f>
        <v>3</v>
      </c>
      <c r="N361" s="821" t="n">
        <f aca="false">IF(B361&lt;$E$104,$E$105,$E$111)</f>
        <v>2.5</v>
      </c>
      <c r="O361" s="822" t="n">
        <f aca="false">E361*$E$205*N361</f>
        <v>85.2716174257422</v>
      </c>
      <c r="P361" s="823" t="n">
        <f aca="false">P360+O361</f>
        <v>10752.2007426536</v>
      </c>
      <c r="Q361" s="606" t="n">
        <f aca="false">Q360+1</f>
        <v>146</v>
      </c>
      <c r="R361" s="824" t="n">
        <f aca="false">R360-1</f>
        <v>-146</v>
      </c>
      <c r="S361" s="825" t="n">
        <f aca="false">D361</f>
        <v>102.325940910891</v>
      </c>
      <c r="T361" s="825" t="n">
        <f aca="false">O361</f>
        <v>85.2716174257422</v>
      </c>
      <c r="U361" s="5"/>
      <c r="V361" s="10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02"/>
      <c r="AU361" s="502"/>
      <c r="AV361" s="606"/>
      <c r="AW361" s="502"/>
      <c r="AX361" s="502"/>
      <c r="AY361" s="502"/>
      <c r="AZ361" s="502"/>
      <c r="BA361" s="502"/>
      <c r="BB361" s="502"/>
      <c r="BC361" s="502"/>
      <c r="BD361" s="502"/>
      <c r="BE361" s="502"/>
      <c r="BF361" s="502"/>
      <c r="BG361" s="502"/>
      <c r="BH361" s="502"/>
      <c r="BI361" s="502"/>
      <c r="BJ361" s="502"/>
      <c r="BK361" s="502"/>
      <c r="BL361" s="502"/>
      <c r="BM361" s="502"/>
      <c r="BN361" s="502"/>
      <c r="BO361" s="502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</row>
    <row r="362" s="504" customFormat="true" ht="12.75" hidden="true" customHeight="true" outlineLevel="0" collapsed="false">
      <c r="A362" s="5"/>
      <c r="B362" s="813" t="n">
        <f aca="false">B361+1</f>
        <v>147</v>
      </c>
      <c r="C362" s="814" t="n">
        <f aca="false">C361+D362</f>
        <v>12943.1077916438</v>
      </c>
      <c r="D362" s="815" t="n">
        <f aca="false">E362*$E$205*M362</f>
        <v>102.483620910891</v>
      </c>
      <c r="E362" s="601" t="n">
        <f aca="false">E361+$C$204</f>
        <v>6.49946860165466</v>
      </c>
      <c r="F362" s="816" t="n">
        <f aca="false">F361+1</f>
        <v>147</v>
      </c>
      <c r="G362" s="775" t="n">
        <f aca="false">C362</f>
        <v>12943.1077916438</v>
      </c>
      <c r="H362" s="817" t="n">
        <f aca="false">1000*(E362-E361)</f>
        <v>9.99999999999979</v>
      </c>
      <c r="I362" s="5"/>
      <c r="J362" s="818" t="n">
        <f aca="false">1000*(E362-$E$215)/(B362-$B$215)</f>
        <v>20.7065974732776</v>
      </c>
      <c r="K362" s="732" t="n">
        <f aca="false">AVERAGE($E$216:E362)</f>
        <v>5.71776792138257</v>
      </c>
      <c r="L362" s="819" t="n">
        <f aca="false">L361+1</f>
        <v>147</v>
      </c>
      <c r="M362" s="820" t="n">
        <f aca="false">IF(B362&lt;$E$104,$E$105,$E$106)</f>
        <v>3</v>
      </c>
      <c r="N362" s="821" t="n">
        <f aca="false">IF(B362&lt;$E$104,$E$105,$E$111)</f>
        <v>2.5</v>
      </c>
      <c r="O362" s="822" t="n">
        <f aca="false">E362*$E$205*N362</f>
        <v>85.4030174257422</v>
      </c>
      <c r="P362" s="823" t="n">
        <f aca="false">P361+O362</f>
        <v>10837.6037600794</v>
      </c>
      <c r="Q362" s="606" t="n">
        <f aca="false">Q361+1</f>
        <v>147</v>
      </c>
      <c r="R362" s="824" t="n">
        <f aca="false">R361-1</f>
        <v>-147</v>
      </c>
      <c r="S362" s="825" t="n">
        <f aca="false">D362</f>
        <v>102.483620910891</v>
      </c>
      <c r="T362" s="825" t="n">
        <f aca="false">O362</f>
        <v>85.4030174257422</v>
      </c>
      <c r="U362" s="5"/>
      <c r="V362" s="10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02"/>
      <c r="AU362" s="502"/>
      <c r="AV362" s="606"/>
      <c r="AW362" s="502"/>
      <c r="AX362" s="502"/>
      <c r="AY362" s="502"/>
      <c r="AZ362" s="502"/>
      <c r="BA362" s="502"/>
      <c r="BB362" s="502"/>
      <c r="BC362" s="502"/>
      <c r="BD362" s="502"/>
      <c r="BE362" s="502"/>
      <c r="BF362" s="502"/>
      <c r="BG362" s="502"/>
      <c r="BH362" s="502"/>
      <c r="BI362" s="502"/>
      <c r="BJ362" s="502"/>
      <c r="BK362" s="502"/>
      <c r="BL362" s="502"/>
      <c r="BM362" s="502"/>
      <c r="BN362" s="502"/>
      <c r="BO362" s="502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</row>
    <row r="363" s="504" customFormat="true" ht="12.75" hidden="true" customHeight="true" outlineLevel="0" collapsed="false">
      <c r="A363" s="5"/>
      <c r="B363" s="813" t="n">
        <f aca="false">B362+1</f>
        <v>148</v>
      </c>
      <c r="C363" s="814" t="n">
        <f aca="false">C362+D363</f>
        <v>13045.7490925547</v>
      </c>
      <c r="D363" s="815" t="n">
        <f aca="false">E363*$E$205*M363</f>
        <v>102.641300910891</v>
      </c>
      <c r="E363" s="601" t="n">
        <f aca="false">E362+$C$204</f>
        <v>6.50946860165466</v>
      </c>
      <c r="F363" s="816" t="n">
        <f aca="false">F362+1</f>
        <v>148</v>
      </c>
      <c r="G363" s="775" t="n">
        <f aca="false">C363</f>
        <v>13045.7490925547</v>
      </c>
      <c r="H363" s="817" t="n">
        <f aca="false">1000*(E363-E362)</f>
        <v>9.99999999999979</v>
      </c>
      <c r="I363" s="5"/>
      <c r="J363" s="818" t="n">
        <f aca="false">1000*(E363-$E$215)/(B363-$B$215)</f>
        <v>20.6342555984582</v>
      </c>
      <c r="K363" s="732" t="n">
        <f aca="false">AVERAGE($E$216:E363)</f>
        <v>5.72311725030332</v>
      </c>
      <c r="L363" s="819" t="n">
        <f aca="false">L362+1</f>
        <v>148</v>
      </c>
      <c r="M363" s="820" t="n">
        <f aca="false">IF(B363&lt;$E$104,$E$105,$E$106)</f>
        <v>3</v>
      </c>
      <c r="N363" s="821" t="n">
        <f aca="false">IF(B363&lt;$E$104,$E$105,$E$111)</f>
        <v>2.5</v>
      </c>
      <c r="O363" s="822" t="n">
        <f aca="false">E363*$E$205*N363</f>
        <v>85.5344174257422</v>
      </c>
      <c r="P363" s="823" t="n">
        <f aca="false">P362+O363</f>
        <v>10923.1381775051</v>
      </c>
      <c r="Q363" s="606" t="n">
        <f aca="false">Q362+1</f>
        <v>148</v>
      </c>
      <c r="R363" s="824" t="n">
        <f aca="false">R362-1</f>
        <v>-148</v>
      </c>
      <c r="S363" s="825" t="n">
        <f aca="false">D363</f>
        <v>102.641300910891</v>
      </c>
      <c r="T363" s="825" t="n">
        <f aca="false">O363</f>
        <v>85.5344174257422</v>
      </c>
      <c r="U363" s="5"/>
      <c r="V363" s="10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02"/>
      <c r="AU363" s="502"/>
      <c r="AV363" s="606"/>
      <c r="AW363" s="502"/>
      <c r="AX363" s="502"/>
      <c r="AY363" s="502"/>
      <c r="AZ363" s="502"/>
      <c r="BA363" s="502"/>
      <c r="BB363" s="502"/>
      <c r="BC363" s="502"/>
      <c r="BD363" s="502"/>
      <c r="BE363" s="502"/>
      <c r="BF363" s="502"/>
      <c r="BG363" s="502"/>
      <c r="BH363" s="502"/>
      <c r="BI363" s="502"/>
      <c r="BJ363" s="502"/>
      <c r="BK363" s="502"/>
      <c r="BL363" s="502"/>
      <c r="BM363" s="502"/>
      <c r="BN363" s="502"/>
      <c r="BO363" s="502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</row>
    <row r="364" s="504" customFormat="true" ht="12.75" hidden="true" customHeight="true" outlineLevel="0" collapsed="false">
      <c r="A364" s="5"/>
      <c r="B364" s="813" t="n">
        <f aca="false">B363+1</f>
        <v>149</v>
      </c>
      <c r="C364" s="814" t="n">
        <f aca="false">C363+D364</f>
        <v>13148.5480734656</v>
      </c>
      <c r="D364" s="815" t="n">
        <f aca="false">E364*$E$205*M364</f>
        <v>102.798980910891</v>
      </c>
      <c r="E364" s="601" t="n">
        <f aca="false">E363+$C$204</f>
        <v>6.51946860165466</v>
      </c>
      <c r="F364" s="816" t="n">
        <f aca="false">F363+1</f>
        <v>149</v>
      </c>
      <c r="G364" s="775" t="n">
        <f aca="false">C364</f>
        <v>13148.5480734656</v>
      </c>
      <c r="H364" s="817" t="n">
        <f aca="false">1000*(E364-E363)</f>
        <v>9.99999999999979</v>
      </c>
      <c r="I364" s="5"/>
      <c r="J364" s="818" t="n">
        <f aca="false">1000*(E364-$E$215)/(B364-$B$215)</f>
        <v>20.5628847555155</v>
      </c>
      <c r="K364" s="732" t="n">
        <f aca="false">AVERAGE($E$216:E364)</f>
        <v>5.72846189024528</v>
      </c>
      <c r="L364" s="819" t="n">
        <f aca="false">L363+1</f>
        <v>149</v>
      </c>
      <c r="M364" s="820" t="n">
        <f aca="false">IF(B364&lt;$E$104,$E$105,$E$106)</f>
        <v>3</v>
      </c>
      <c r="N364" s="821" t="n">
        <f aca="false">IF(B364&lt;$E$104,$E$105,$E$111)</f>
        <v>2.5</v>
      </c>
      <c r="O364" s="822" t="n">
        <f aca="false">E364*$E$205*N364</f>
        <v>85.6658174257422</v>
      </c>
      <c r="P364" s="823" t="n">
        <f aca="false">P363+O364</f>
        <v>11008.8039949309</v>
      </c>
      <c r="Q364" s="606" t="n">
        <f aca="false">Q363+1</f>
        <v>149</v>
      </c>
      <c r="R364" s="824" t="n">
        <f aca="false">R363-1</f>
        <v>-149</v>
      </c>
      <c r="S364" s="825" t="n">
        <f aca="false">D364</f>
        <v>102.798980910891</v>
      </c>
      <c r="T364" s="825" t="n">
        <f aca="false">O364</f>
        <v>85.6658174257422</v>
      </c>
      <c r="U364" s="5"/>
      <c r="V364" s="10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02"/>
      <c r="AU364" s="502"/>
      <c r="AV364" s="606"/>
      <c r="AW364" s="502"/>
      <c r="AX364" s="502"/>
      <c r="AY364" s="502"/>
      <c r="AZ364" s="502"/>
      <c r="BA364" s="502"/>
      <c r="BB364" s="502"/>
      <c r="BC364" s="502"/>
      <c r="BD364" s="502"/>
      <c r="BE364" s="502"/>
      <c r="BF364" s="502"/>
      <c r="BG364" s="502"/>
      <c r="BH364" s="502"/>
      <c r="BI364" s="502"/>
      <c r="BJ364" s="502"/>
      <c r="BK364" s="502"/>
      <c r="BL364" s="502"/>
      <c r="BM364" s="502"/>
      <c r="BN364" s="502"/>
      <c r="BO364" s="502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</row>
    <row r="365" s="504" customFormat="true" ht="12.75" hidden="true" customHeight="true" outlineLevel="0" collapsed="false">
      <c r="A365" s="5"/>
      <c r="B365" s="827" t="n">
        <f aca="false">B364+1</f>
        <v>150</v>
      </c>
      <c r="C365" s="768" t="n">
        <f aca="false">C364+D365</f>
        <v>13251.5047343765</v>
      </c>
      <c r="D365" s="828" t="n">
        <f aca="false">E365*$E$205*M365</f>
        <v>102.956660910891</v>
      </c>
      <c r="E365" s="787" t="n">
        <f aca="false">E364+$C$204</f>
        <v>6.52946860165466</v>
      </c>
      <c r="F365" s="829" t="n">
        <f aca="false">F364+1</f>
        <v>150</v>
      </c>
      <c r="G365" s="830" t="n">
        <f aca="false">C365</f>
        <v>13251.5047343765</v>
      </c>
      <c r="H365" s="831" t="n">
        <f aca="false">1000*(E365-E364)</f>
        <v>9.99999999999979</v>
      </c>
      <c r="I365" s="785"/>
      <c r="J365" s="832" t="n">
        <f aca="false">1000*(E365-$E$215)/(B365-$B$215)</f>
        <v>20.4924655238121</v>
      </c>
      <c r="K365" s="787" t="n">
        <f aca="false">AVERAGE($E$216:E365)</f>
        <v>5.73380193498801</v>
      </c>
      <c r="L365" s="833" t="n">
        <f aca="false">L364+1</f>
        <v>150</v>
      </c>
      <c r="M365" s="834" t="n">
        <f aca="false">IF(B365&lt;$E$104,$E$105,$E$106)</f>
        <v>3</v>
      </c>
      <c r="N365" s="835" t="n">
        <f aca="false">IF(B365&lt;$E$104,$E$105,$E$111)</f>
        <v>2.5</v>
      </c>
      <c r="O365" s="836" t="n">
        <f aca="false">E365*$E$205*N365</f>
        <v>85.7972174257422</v>
      </c>
      <c r="P365" s="837" t="n">
        <f aca="false">P364+O365</f>
        <v>11094.6012123566</v>
      </c>
      <c r="Q365" s="742" t="n">
        <f aca="false">Q364+1</f>
        <v>150</v>
      </c>
      <c r="R365" s="840" t="n">
        <f aca="false">R364-1</f>
        <v>-150</v>
      </c>
      <c r="S365" s="841" t="n">
        <f aca="false">D365</f>
        <v>102.956660910891</v>
      </c>
      <c r="T365" s="841" t="n">
        <f aca="false">O365</f>
        <v>85.7972174257422</v>
      </c>
      <c r="U365" s="5"/>
      <c r="V365" s="10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02"/>
      <c r="AU365" s="502"/>
      <c r="AV365" s="606"/>
      <c r="AW365" s="502"/>
      <c r="AX365" s="502"/>
      <c r="AY365" s="502"/>
      <c r="AZ365" s="502"/>
      <c r="BA365" s="502"/>
      <c r="BB365" s="502"/>
      <c r="BC365" s="502"/>
      <c r="BD365" s="502"/>
      <c r="BE365" s="502"/>
      <c r="BF365" s="502"/>
      <c r="BG365" s="502"/>
      <c r="BH365" s="502"/>
      <c r="BI365" s="502"/>
      <c r="BJ365" s="502"/>
      <c r="BK365" s="502"/>
      <c r="BL365" s="502"/>
      <c r="BM365" s="502"/>
      <c r="BN365" s="502"/>
      <c r="BO365" s="502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</row>
    <row r="366" s="504" customFormat="true" ht="12.75" hidden="true" customHeight="true" outlineLevel="0" collapsed="false">
      <c r="A366" s="5"/>
      <c r="B366" s="813" t="n">
        <f aca="false">B365+1</f>
        <v>151</v>
      </c>
      <c r="C366" s="814" t="n">
        <f aca="false">C365+D366</f>
        <v>13354.6190752874</v>
      </c>
      <c r="D366" s="815" t="n">
        <f aca="false">E366*$E$205*M366</f>
        <v>103.114340910891</v>
      </c>
      <c r="E366" s="601" t="n">
        <f aca="false">E365+$C$204</f>
        <v>6.53946860165466</v>
      </c>
      <c r="F366" s="816" t="n">
        <f aca="false">F365+1</f>
        <v>151</v>
      </c>
      <c r="G366" s="775" t="n">
        <f aca="false">C366</f>
        <v>13354.6190752874</v>
      </c>
      <c r="H366" s="817" t="n">
        <f aca="false">1000*(E366-E365)</f>
        <v>9.99999999999979</v>
      </c>
      <c r="I366" s="5"/>
      <c r="J366" s="818" t="n">
        <f aca="false">1000*(E366-$E$215)/(B366-$B$215)</f>
        <v>20.4229789971643</v>
      </c>
      <c r="K366" s="732" t="n">
        <f aca="false">AVERAGE($E$216:E366)</f>
        <v>5.73913747582686</v>
      </c>
      <c r="L366" s="819" t="n">
        <f aca="false">L365+1</f>
        <v>151</v>
      </c>
      <c r="M366" s="820" t="n">
        <f aca="false">IF(B366&lt;$E$104,$E$105,$E$106)</f>
        <v>3</v>
      </c>
      <c r="N366" s="821" t="n">
        <f aca="false">IF(B366&lt;$E$104,$E$105,$E$111)</f>
        <v>2.5</v>
      </c>
      <c r="O366" s="822" t="n">
        <f aca="false">E366*$E$205*N366</f>
        <v>85.9286174257422</v>
      </c>
      <c r="P366" s="823" t="n">
        <f aca="false">P365+O366</f>
        <v>11180.5298297823</v>
      </c>
      <c r="Q366" s="606" t="n">
        <f aca="false">Q365+1</f>
        <v>151</v>
      </c>
      <c r="R366" s="824" t="n">
        <f aca="false">R365-1</f>
        <v>-151</v>
      </c>
      <c r="S366" s="5"/>
      <c r="T366" s="5"/>
      <c r="U366" s="5"/>
      <c r="V366" s="10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02"/>
      <c r="AU366" s="502"/>
      <c r="AV366" s="606"/>
      <c r="AW366" s="502"/>
      <c r="AX366" s="502"/>
      <c r="AY366" s="502"/>
      <c r="AZ366" s="502"/>
      <c r="BA366" s="502"/>
      <c r="BB366" s="502"/>
      <c r="BC366" s="502"/>
      <c r="BD366" s="502"/>
      <c r="BE366" s="502"/>
      <c r="BF366" s="502"/>
      <c r="BG366" s="502"/>
      <c r="BH366" s="502"/>
      <c r="BI366" s="502"/>
      <c r="BJ366" s="502"/>
      <c r="BK366" s="502"/>
      <c r="BL366" s="502"/>
      <c r="BM366" s="502"/>
      <c r="BN366" s="502"/>
      <c r="BO366" s="502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</row>
    <row r="367" s="504" customFormat="true" ht="12.75" hidden="true" customHeight="true" outlineLevel="0" collapsed="false">
      <c r="A367" s="5"/>
      <c r="B367" s="813" t="n">
        <f aca="false">B366+1</f>
        <v>152</v>
      </c>
      <c r="C367" s="814" t="n">
        <f aca="false">C366+D367</f>
        <v>13457.8910961983</v>
      </c>
      <c r="D367" s="815" t="n">
        <f aca="false">E367*$E$205*M367</f>
        <v>103.272020910891</v>
      </c>
      <c r="E367" s="601" t="n">
        <f aca="false">E366+$C$204</f>
        <v>6.54946860165466</v>
      </c>
      <c r="F367" s="816" t="n">
        <f aca="false">F366+1</f>
        <v>152</v>
      </c>
      <c r="G367" s="775" t="n">
        <f aca="false">C367</f>
        <v>13457.8910961983</v>
      </c>
      <c r="H367" s="817" t="n">
        <f aca="false">1000*(E367-E366)</f>
        <v>9.99999999999979</v>
      </c>
      <c r="I367" s="5"/>
      <c r="J367" s="818" t="n">
        <f aca="false">1000*(E367-$E$215)/(B367-$B$215)</f>
        <v>20.3544067669198</v>
      </c>
      <c r="K367" s="732" t="n">
        <f aca="false">AVERAGE($E$216:E367)</f>
        <v>5.74446860165468</v>
      </c>
      <c r="L367" s="819" t="n">
        <f aca="false">L366+1</f>
        <v>152</v>
      </c>
      <c r="M367" s="820" t="n">
        <f aca="false">IF(B367&lt;$E$104,$E$105,$E$106)</f>
        <v>3</v>
      </c>
      <c r="N367" s="821" t="n">
        <f aca="false">IF(B367&lt;$E$104,$E$105,$E$111)</f>
        <v>2.5</v>
      </c>
      <c r="O367" s="822" t="n">
        <f aca="false">E367*$E$205*N367</f>
        <v>86.0600174257422</v>
      </c>
      <c r="P367" s="823" t="n">
        <f aca="false">P366+O367</f>
        <v>11266.5898472081</v>
      </c>
      <c r="Q367" s="606" t="n">
        <f aca="false">Q366+1</f>
        <v>152</v>
      </c>
      <c r="R367" s="824" t="n">
        <f aca="false">R366-1</f>
        <v>-152</v>
      </c>
      <c r="S367" s="5"/>
      <c r="T367" s="5"/>
      <c r="U367" s="5"/>
      <c r="V367" s="10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02"/>
      <c r="AU367" s="502"/>
      <c r="AV367" s="606"/>
      <c r="AW367" s="502"/>
      <c r="AX367" s="502"/>
      <c r="AY367" s="502"/>
      <c r="AZ367" s="502"/>
      <c r="BA367" s="502"/>
      <c r="BB367" s="502"/>
      <c r="BC367" s="502"/>
      <c r="BD367" s="502"/>
      <c r="BE367" s="502"/>
      <c r="BF367" s="502"/>
      <c r="BG367" s="502"/>
      <c r="BH367" s="502"/>
      <c r="BI367" s="502"/>
      <c r="BJ367" s="502"/>
      <c r="BK367" s="502"/>
      <c r="BL367" s="502"/>
      <c r="BM367" s="502"/>
      <c r="BN367" s="502"/>
      <c r="BO367" s="502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</row>
    <row r="368" s="504" customFormat="true" ht="12.75" hidden="true" customHeight="true" outlineLevel="0" collapsed="false">
      <c r="A368" s="5"/>
      <c r="B368" s="813" t="n">
        <f aca="false">B367+1</f>
        <v>153</v>
      </c>
      <c r="C368" s="814" t="n">
        <f aca="false">C367+D368</f>
        <v>13561.3207971092</v>
      </c>
      <c r="D368" s="815" t="n">
        <f aca="false">E368*$E$205*M368</f>
        <v>103.429700910891</v>
      </c>
      <c r="E368" s="601" t="n">
        <f aca="false">E367+$C$204</f>
        <v>6.55946860165466</v>
      </c>
      <c r="F368" s="816" t="n">
        <f aca="false">F367+1</f>
        <v>153</v>
      </c>
      <c r="G368" s="775" t="n">
        <f aca="false">C368</f>
        <v>13561.3207971092</v>
      </c>
      <c r="H368" s="817" t="n">
        <f aca="false">1000*(E368-E367)</f>
        <v>9.99999999999979</v>
      </c>
      <c r="I368" s="5"/>
      <c r="J368" s="818" t="n">
        <f aca="false">1000*(E368-$E$215)/(B368-$B$215)</f>
        <v>20.2867309056981</v>
      </c>
      <c r="K368" s="732" t="n">
        <f aca="false">AVERAGE($E$216:E368)</f>
        <v>5.7497953990403</v>
      </c>
      <c r="L368" s="819" t="n">
        <f aca="false">L367+1</f>
        <v>153</v>
      </c>
      <c r="M368" s="820" t="n">
        <f aca="false">IF(B368&lt;$E$104,$E$105,$E$106)</f>
        <v>3</v>
      </c>
      <c r="N368" s="821" t="n">
        <f aca="false">IF(B368&lt;$E$104,$E$105,$E$111)</f>
        <v>2.5</v>
      </c>
      <c r="O368" s="822" t="n">
        <f aca="false">E368*$E$205*N368</f>
        <v>86.1914174257422</v>
      </c>
      <c r="P368" s="823" t="n">
        <f aca="false">P367+O368</f>
        <v>11352.7812646338</v>
      </c>
      <c r="Q368" s="606" t="n">
        <f aca="false">Q367+1</f>
        <v>153</v>
      </c>
      <c r="R368" s="824" t="n">
        <f aca="false">R367-1</f>
        <v>-153</v>
      </c>
      <c r="S368" s="5"/>
      <c r="T368" s="5"/>
      <c r="U368" s="5"/>
      <c r="V368" s="10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02"/>
      <c r="AU368" s="502"/>
      <c r="AV368" s="606"/>
      <c r="AW368" s="502"/>
      <c r="AX368" s="502"/>
      <c r="AY368" s="502"/>
      <c r="AZ368" s="502"/>
      <c r="BA368" s="502"/>
      <c r="BB368" s="502"/>
      <c r="BC368" s="502"/>
      <c r="BD368" s="502"/>
      <c r="BE368" s="502"/>
      <c r="BF368" s="502"/>
      <c r="BG368" s="502"/>
      <c r="BH368" s="502"/>
      <c r="BI368" s="502"/>
      <c r="BJ368" s="502"/>
      <c r="BK368" s="502"/>
      <c r="BL368" s="502"/>
      <c r="BM368" s="502"/>
      <c r="BN368" s="502"/>
      <c r="BO368" s="502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</row>
    <row r="369" s="504" customFormat="true" ht="12.75" hidden="true" customHeight="true" outlineLevel="0" collapsed="false">
      <c r="A369" s="5"/>
      <c r="B369" s="813" t="n">
        <f aca="false">B368+1</f>
        <v>154</v>
      </c>
      <c r="C369" s="814" t="n">
        <f aca="false">C368+D369</f>
        <v>13664.90817802</v>
      </c>
      <c r="D369" s="815" t="n">
        <f aca="false">E369*$E$205*M369</f>
        <v>103.587380910891</v>
      </c>
      <c r="E369" s="601" t="n">
        <f aca="false">E368+$C$204</f>
        <v>6.56946860165466</v>
      </c>
      <c r="F369" s="816" t="n">
        <f aca="false">F368+1</f>
        <v>154</v>
      </c>
      <c r="G369" s="775" t="n">
        <f aca="false">C369</f>
        <v>13664.90817802</v>
      </c>
      <c r="H369" s="817" t="n">
        <f aca="false">1000*(E369-E368)</f>
        <v>9.99999999999979</v>
      </c>
      <c r="I369" s="5"/>
      <c r="J369" s="818" t="n">
        <f aca="false">1000*(E369-$E$215)/(B369-$B$215)</f>
        <v>20.219933951765</v>
      </c>
      <c r="K369" s="732" t="n">
        <f aca="false">AVERAGE($E$216:E369)</f>
        <v>5.75511795230403</v>
      </c>
      <c r="L369" s="819" t="n">
        <f aca="false">L368+1</f>
        <v>154</v>
      </c>
      <c r="M369" s="820" t="n">
        <f aca="false">IF(B369&lt;$E$104,$E$105,$E$106)</f>
        <v>3</v>
      </c>
      <c r="N369" s="821" t="n">
        <f aca="false">IF(B369&lt;$E$104,$E$105,$E$111)</f>
        <v>2.5</v>
      </c>
      <c r="O369" s="822" t="n">
        <f aca="false">E369*$E$205*N369</f>
        <v>86.3228174257422</v>
      </c>
      <c r="P369" s="823" t="n">
        <f aca="false">P368+O369</f>
        <v>11439.1040820596</v>
      </c>
      <c r="Q369" s="606" t="n">
        <f aca="false">Q368+1</f>
        <v>154</v>
      </c>
      <c r="R369" s="824" t="n">
        <f aca="false">R368-1</f>
        <v>-154</v>
      </c>
      <c r="S369" s="5"/>
      <c r="T369" s="5"/>
      <c r="U369" s="5"/>
      <c r="V369" s="10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02"/>
      <c r="AU369" s="502"/>
      <c r="AV369" s="606"/>
      <c r="AW369" s="502"/>
      <c r="AX369" s="502"/>
      <c r="AY369" s="502"/>
      <c r="AZ369" s="502"/>
      <c r="BA369" s="502"/>
      <c r="BB369" s="502"/>
      <c r="BC369" s="502"/>
      <c r="BD369" s="502"/>
      <c r="BE369" s="502"/>
      <c r="BF369" s="502"/>
      <c r="BG369" s="502"/>
      <c r="BH369" s="502"/>
      <c r="BI369" s="502"/>
      <c r="BJ369" s="502"/>
      <c r="BK369" s="502"/>
      <c r="BL369" s="502"/>
      <c r="BM369" s="502"/>
      <c r="BN369" s="502"/>
      <c r="BO369" s="502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</row>
    <row r="370" s="504" customFormat="true" ht="12.75" hidden="true" customHeight="true" outlineLevel="0" collapsed="false">
      <c r="A370" s="5"/>
      <c r="B370" s="813" t="n">
        <f aca="false">B369+1</f>
        <v>155</v>
      </c>
      <c r="C370" s="814" t="n">
        <f aca="false">C369+D370</f>
        <v>13768.6532389309</v>
      </c>
      <c r="D370" s="815" t="n">
        <f aca="false">E370*$E$205*M370</f>
        <v>103.745060910891</v>
      </c>
      <c r="E370" s="601" t="n">
        <f aca="false">E369+$C$204</f>
        <v>6.57946860165466</v>
      </c>
      <c r="F370" s="816" t="n">
        <f aca="false">F369+1</f>
        <v>155</v>
      </c>
      <c r="G370" s="775" t="n">
        <f aca="false">C370</f>
        <v>13768.6532389309</v>
      </c>
      <c r="H370" s="817" t="n">
        <f aca="false">1000*(E370-E369)</f>
        <v>9.99999999999979</v>
      </c>
      <c r="I370" s="5"/>
      <c r="J370" s="818" t="n">
        <f aca="false">1000*(E370-$E$215)/(B370-$B$215)</f>
        <v>20.1539988940117</v>
      </c>
      <c r="K370" s="732" t="n">
        <f aca="false">AVERAGE($E$216:E370)</f>
        <v>5.76043634359016</v>
      </c>
      <c r="L370" s="819" t="n">
        <f aca="false">L369+1</f>
        <v>155</v>
      </c>
      <c r="M370" s="820" t="n">
        <f aca="false">IF(B370&lt;$E$104,$E$105,$E$106)</f>
        <v>3</v>
      </c>
      <c r="N370" s="821" t="n">
        <f aca="false">IF(B370&lt;$E$104,$E$105,$E$111)</f>
        <v>2.5</v>
      </c>
      <c r="O370" s="822" t="n">
        <f aca="false">E370*$E$205*N370</f>
        <v>86.4542174257422</v>
      </c>
      <c r="P370" s="823" t="n">
        <f aca="false">P369+O370</f>
        <v>11525.5582994853</v>
      </c>
      <c r="Q370" s="606" t="n">
        <f aca="false">Q369+1</f>
        <v>155</v>
      </c>
      <c r="R370" s="824" t="n">
        <f aca="false">R369-1</f>
        <v>-155</v>
      </c>
      <c r="S370" s="5"/>
      <c r="T370" s="5"/>
      <c r="U370" s="5"/>
      <c r="V370" s="10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02"/>
      <c r="AU370" s="502"/>
      <c r="AV370" s="606"/>
      <c r="AW370" s="502"/>
      <c r="AX370" s="502"/>
      <c r="AY370" s="502"/>
      <c r="AZ370" s="502"/>
      <c r="BA370" s="502"/>
      <c r="BB370" s="502"/>
      <c r="BC370" s="502"/>
      <c r="BD370" s="502"/>
      <c r="BE370" s="502"/>
      <c r="BF370" s="502"/>
      <c r="BG370" s="502"/>
      <c r="BH370" s="502"/>
      <c r="BI370" s="502"/>
      <c r="BJ370" s="502"/>
      <c r="BK370" s="502"/>
      <c r="BL370" s="502"/>
      <c r="BM370" s="502"/>
      <c r="BN370" s="502"/>
      <c r="BO370" s="502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</row>
    <row r="371" s="504" customFormat="true" ht="12.75" hidden="true" customHeight="true" outlineLevel="0" collapsed="false">
      <c r="A371" s="5"/>
      <c r="B371" s="813" t="n">
        <f aca="false">B370+1</f>
        <v>156</v>
      </c>
      <c r="C371" s="814" t="n">
        <f aca="false">C370+D371</f>
        <v>13872.5559798418</v>
      </c>
      <c r="D371" s="815" t="n">
        <f aca="false">E371*$E$205*M371</f>
        <v>103.902740910891</v>
      </c>
      <c r="E371" s="601" t="n">
        <f aca="false">E370+$C$204</f>
        <v>6.58946860165466</v>
      </c>
      <c r="F371" s="816" t="n">
        <f aca="false">F370+1</f>
        <v>156</v>
      </c>
      <c r="G371" s="775" t="n">
        <f aca="false">C371</f>
        <v>13872.5559798418</v>
      </c>
      <c r="H371" s="817" t="n">
        <f aca="false">1000*(E371-E370)</f>
        <v>9.99999999999979</v>
      </c>
      <c r="I371" s="5"/>
      <c r="J371" s="818" t="n">
        <f aca="false">1000*(E371-$E$215)/(B371-$B$215)</f>
        <v>20.0889091575116</v>
      </c>
      <c r="K371" s="732" t="n">
        <f aca="false">AVERAGE($E$216:E371)</f>
        <v>5.76575065293673</v>
      </c>
      <c r="L371" s="819" t="n">
        <f aca="false">L370+1</f>
        <v>156</v>
      </c>
      <c r="M371" s="820" t="n">
        <f aca="false">IF(B371&lt;$E$104,$E$105,$E$106)</f>
        <v>3</v>
      </c>
      <c r="N371" s="821" t="n">
        <f aca="false">IF(B371&lt;$E$104,$E$105,$E$111)</f>
        <v>2.5</v>
      </c>
      <c r="O371" s="822" t="n">
        <f aca="false">E371*$E$205*N371</f>
        <v>86.5856174257422</v>
      </c>
      <c r="P371" s="823" t="n">
        <f aca="false">P370+O371</f>
        <v>11612.143916911</v>
      </c>
      <c r="Q371" s="606" t="n">
        <f aca="false">Q370+1</f>
        <v>156</v>
      </c>
      <c r="R371" s="824" t="n">
        <f aca="false">R370-1</f>
        <v>-156</v>
      </c>
      <c r="S371" s="5"/>
      <c r="T371" s="5"/>
      <c r="U371" s="5"/>
      <c r="V371" s="10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02"/>
      <c r="AU371" s="502"/>
      <c r="AV371" s="606"/>
      <c r="AW371" s="502"/>
      <c r="AX371" s="502"/>
      <c r="AY371" s="502"/>
      <c r="AZ371" s="502"/>
      <c r="BA371" s="502"/>
      <c r="BB371" s="502"/>
      <c r="BC371" s="502"/>
      <c r="BD371" s="502"/>
      <c r="BE371" s="502"/>
      <c r="BF371" s="502"/>
      <c r="BG371" s="502"/>
      <c r="BH371" s="502"/>
      <c r="BI371" s="502"/>
      <c r="BJ371" s="502"/>
      <c r="BK371" s="502"/>
      <c r="BL371" s="502"/>
      <c r="BM371" s="502"/>
      <c r="BN371" s="502"/>
      <c r="BO371" s="502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</row>
    <row r="372" s="504" customFormat="true" ht="12.75" hidden="true" customHeight="true" outlineLevel="0" collapsed="false">
      <c r="A372" s="5"/>
      <c r="B372" s="813" t="n">
        <f aca="false">B371+1</f>
        <v>157</v>
      </c>
      <c r="C372" s="814" t="n">
        <f aca="false">C371+D372</f>
        <v>13976.6164007527</v>
      </c>
      <c r="D372" s="815" t="n">
        <f aca="false">E372*$E$205*M372</f>
        <v>104.060420910891</v>
      </c>
      <c r="E372" s="601" t="n">
        <f aca="false">E371+$C$204</f>
        <v>6.59946860165466</v>
      </c>
      <c r="F372" s="816" t="n">
        <f aca="false">F371+1</f>
        <v>157</v>
      </c>
      <c r="G372" s="775" t="n">
        <f aca="false">C372</f>
        <v>13976.6164007527</v>
      </c>
      <c r="H372" s="817" t="n">
        <f aca="false">1000*(E372-E371)</f>
        <v>9.99999999999979</v>
      </c>
      <c r="I372" s="5"/>
      <c r="J372" s="818" t="n">
        <f aca="false">1000*(E372-$E$215)/(B372-$B$215)</f>
        <v>20.0246485896294</v>
      </c>
      <c r="K372" s="732" t="n">
        <f aca="false">AVERAGE($E$216:E372)</f>
        <v>5.77106095834257</v>
      </c>
      <c r="L372" s="819" t="n">
        <f aca="false">L371+1</f>
        <v>157</v>
      </c>
      <c r="M372" s="820" t="n">
        <f aca="false">IF(B372&lt;$E$104,$E$105,$E$106)</f>
        <v>3</v>
      </c>
      <c r="N372" s="821" t="n">
        <f aca="false">IF(B372&lt;$E$104,$E$105,$E$111)</f>
        <v>2.5</v>
      </c>
      <c r="O372" s="822" t="n">
        <f aca="false">E372*$E$205*N372</f>
        <v>86.7170174257422</v>
      </c>
      <c r="P372" s="823" t="n">
        <f aca="false">P371+O372</f>
        <v>11698.8609343368</v>
      </c>
      <c r="Q372" s="606" t="n">
        <f aca="false">Q371+1</f>
        <v>157</v>
      </c>
      <c r="R372" s="824" t="n">
        <f aca="false">R371-1</f>
        <v>-157</v>
      </c>
      <c r="S372" s="5"/>
      <c r="T372" s="5"/>
      <c r="U372" s="5"/>
      <c r="V372" s="10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02"/>
      <c r="AU372" s="502"/>
      <c r="AV372" s="606"/>
      <c r="AW372" s="502"/>
      <c r="AX372" s="502"/>
      <c r="AY372" s="502"/>
      <c r="AZ372" s="502"/>
      <c r="BA372" s="502"/>
      <c r="BB372" s="502"/>
      <c r="BC372" s="502"/>
      <c r="BD372" s="502"/>
      <c r="BE372" s="502"/>
      <c r="BF372" s="502"/>
      <c r="BG372" s="502"/>
      <c r="BH372" s="502"/>
      <c r="BI372" s="502"/>
      <c r="BJ372" s="502"/>
      <c r="BK372" s="502"/>
      <c r="BL372" s="502"/>
      <c r="BM372" s="502"/>
      <c r="BN372" s="502"/>
      <c r="BO372" s="502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</row>
    <row r="373" s="504" customFormat="true" ht="12.75" hidden="true" customHeight="true" outlineLevel="0" collapsed="false">
      <c r="A373" s="5"/>
      <c r="B373" s="813" t="n">
        <f aca="false">B372+1</f>
        <v>158</v>
      </c>
      <c r="C373" s="814" t="n">
        <f aca="false">C372+D373</f>
        <v>14080.8345016636</v>
      </c>
      <c r="D373" s="815" t="n">
        <f aca="false">E373*$E$205*M373</f>
        <v>104.218100910891</v>
      </c>
      <c r="E373" s="601" t="n">
        <f aca="false">E372+$C$204</f>
        <v>6.60946860165466</v>
      </c>
      <c r="F373" s="816" t="n">
        <f aca="false">F372+1</f>
        <v>158</v>
      </c>
      <c r="G373" s="775" t="n">
        <f aca="false">C373</f>
        <v>14080.8345016636</v>
      </c>
      <c r="H373" s="817" t="n">
        <f aca="false">1000*(E373-E372)</f>
        <v>9.99999999999979</v>
      </c>
      <c r="I373" s="5"/>
      <c r="J373" s="818" t="n">
        <f aca="false">1000*(E373-$E$215)/(B373-$B$215)</f>
        <v>19.961201446657</v>
      </c>
      <c r="K373" s="732" t="n">
        <f aca="false">AVERAGE($E$216:E373)</f>
        <v>5.77636733583189</v>
      </c>
      <c r="L373" s="819" t="n">
        <f aca="false">L372+1</f>
        <v>158</v>
      </c>
      <c r="M373" s="820" t="n">
        <f aca="false">IF(B373&lt;$E$104,$E$105,$E$106)</f>
        <v>3</v>
      </c>
      <c r="N373" s="821" t="n">
        <f aca="false">IF(B373&lt;$E$104,$E$105,$E$111)</f>
        <v>2.5</v>
      </c>
      <c r="O373" s="822" t="n">
        <f aca="false">E373*$E$205*N373</f>
        <v>86.8484174257422</v>
      </c>
      <c r="P373" s="823" t="n">
        <f aca="false">P372+O373</f>
        <v>11785.7093517625</v>
      </c>
      <c r="Q373" s="606" t="n">
        <f aca="false">Q372+1</f>
        <v>158</v>
      </c>
      <c r="R373" s="824" t="n">
        <f aca="false">R372-1</f>
        <v>-158</v>
      </c>
      <c r="S373" s="5"/>
      <c r="T373" s="5"/>
      <c r="U373" s="5"/>
      <c r="V373" s="10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02"/>
      <c r="AU373" s="502"/>
      <c r="AV373" s="606"/>
      <c r="AW373" s="502"/>
      <c r="AX373" s="502"/>
      <c r="AY373" s="502"/>
      <c r="AZ373" s="502"/>
      <c r="BA373" s="502"/>
      <c r="BB373" s="502"/>
      <c r="BC373" s="502"/>
      <c r="BD373" s="502"/>
      <c r="BE373" s="502"/>
      <c r="BF373" s="502"/>
      <c r="BG373" s="502"/>
      <c r="BH373" s="502"/>
      <c r="BI373" s="502"/>
      <c r="BJ373" s="502"/>
      <c r="BK373" s="502"/>
      <c r="BL373" s="502"/>
      <c r="BM373" s="502"/>
      <c r="BN373" s="502"/>
      <c r="BO373" s="502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</row>
    <row r="374" s="504" customFormat="true" ht="12.75" hidden="true" customHeight="true" outlineLevel="0" collapsed="false">
      <c r="A374" s="5"/>
      <c r="B374" s="813" t="n">
        <f aca="false">B373+1</f>
        <v>159</v>
      </c>
      <c r="C374" s="814" t="n">
        <f aca="false">C373+D374</f>
        <v>14185.2102825745</v>
      </c>
      <c r="D374" s="815" t="n">
        <f aca="false">E374*$E$205*M374</f>
        <v>104.375780910891</v>
      </c>
      <c r="E374" s="601" t="n">
        <f aca="false">E373+$C$204</f>
        <v>6.61946860165466</v>
      </c>
      <c r="F374" s="816" t="n">
        <f aca="false">F373+1</f>
        <v>159</v>
      </c>
      <c r="G374" s="775" t="n">
        <f aca="false">C374</f>
        <v>14185.2102825745</v>
      </c>
      <c r="H374" s="817" t="n">
        <f aca="false">1000*(E374-E373)</f>
        <v>9.99999999999979</v>
      </c>
      <c r="I374" s="5"/>
      <c r="J374" s="818" t="n">
        <f aca="false">1000*(E374-$E$215)/(B374-$B$215)</f>
        <v>19.8985523809548</v>
      </c>
      <c r="K374" s="732" t="n">
        <f aca="false">AVERAGE($E$216:E374)</f>
        <v>5.78166985951631</v>
      </c>
      <c r="L374" s="819" t="n">
        <f aca="false">L373+1</f>
        <v>159</v>
      </c>
      <c r="M374" s="820" t="n">
        <f aca="false">IF(B374&lt;$E$104,$E$105,$E$106)</f>
        <v>3</v>
      </c>
      <c r="N374" s="821" t="n">
        <f aca="false">IF(B374&lt;$E$104,$E$105,$E$111)</f>
        <v>2.5</v>
      </c>
      <c r="O374" s="822" t="n">
        <f aca="false">E374*$E$205*N374</f>
        <v>86.9798174257422</v>
      </c>
      <c r="P374" s="823" t="n">
        <f aca="false">P373+O374</f>
        <v>11872.6891691883</v>
      </c>
      <c r="Q374" s="606" t="n">
        <f aca="false">Q373+1</f>
        <v>159</v>
      </c>
      <c r="R374" s="824" t="n">
        <f aca="false">R373-1</f>
        <v>-159</v>
      </c>
      <c r="S374" s="5"/>
      <c r="T374" s="5"/>
      <c r="U374" s="5"/>
      <c r="V374" s="10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02"/>
      <c r="AU374" s="502"/>
      <c r="AV374" s="606"/>
      <c r="AW374" s="502"/>
      <c r="AX374" s="502"/>
      <c r="AY374" s="502"/>
      <c r="AZ374" s="502"/>
      <c r="BA374" s="502"/>
      <c r="BB374" s="502"/>
      <c r="BC374" s="502"/>
      <c r="BD374" s="502"/>
      <c r="BE374" s="502"/>
      <c r="BF374" s="502"/>
      <c r="BG374" s="502"/>
      <c r="BH374" s="502"/>
      <c r="BI374" s="502"/>
      <c r="BJ374" s="502"/>
      <c r="BK374" s="502"/>
      <c r="BL374" s="502"/>
      <c r="BM374" s="502"/>
      <c r="BN374" s="502"/>
      <c r="BO374" s="502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</row>
    <row r="375" s="504" customFormat="true" ht="12.75" hidden="true" customHeight="true" outlineLevel="0" collapsed="false">
      <c r="A375" s="5"/>
      <c r="B375" s="813" t="n">
        <f aca="false">B374+1</f>
        <v>160</v>
      </c>
      <c r="C375" s="814" t="n">
        <f aca="false">C374+D375</f>
        <v>14289.7437434854</v>
      </c>
      <c r="D375" s="815" t="n">
        <f aca="false">E375*$E$205*M375</f>
        <v>104.533460910891</v>
      </c>
      <c r="E375" s="601" t="n">
        <f aca="false">E374+$C$204</f>
        <v>6.62946860165466</v>
      </c>
      <c r="F375" s="816" t="n">
        <f aca="false">F374+1</f>
        <v>160</v>
      </c>
      <c r="G375" s="775" t="n">
        <f aca="false">C375</f>
        <v>14289.7437434854</v>
      </c>
      <c r="H375" s="817" t="n">
        <f aca="false">1000*(E375-E374)</f>
        <v>9.99999999999979</v>
      </c>
      <c r="I375" s="5"/>
      <c r="J375" s="818" t="n">
        <f aca="false">1000*(E375-$E$215)/(B375-$B$215)</f>
        <v>19.8366864285738</v>
      </c>
      <c r="K375" s="732" t="n">
        <f aca="false">AVERAGE($E$216:E375)</f>
        <v>5.78696860165467</v>
      </c>
      <c r="L375" s="819" t="n">
        <f aca="false">L374+1</f>
        <v>160</v>
      </c>
      <c r="M375" s="820" t="n">
        <f aca="false">IF(B375&lt;$E$104,$E$105,$E$106)</f>
        <v>3</v>
      </c>
      <c r="N375" s="821" t="n">
        <f aca="false">IF(B375&lt;$E$104,$E$105,$E$111)</f>
        <v>2.5</v>
      </c>
      <c r="O375" s="822" t="n">
        <f aca="false">E375*$E$205*N375</f>
        <v>87.1112174257422</v>
      </c>
      <c r="P375" s="823" t="n">
        <f aca="false">P374+O375</f>
        <v>11959.800386614</v>
      </c>
      <c r="Q375" s="606" t="n">
        <f aca="false">Q374+1</f>
        <v>160</v>
      </c>
      <c r="R375" s="824" t="n">
        <f aca="false">R374-1</f>
        <v>-160</v>
      </c>
      <c r="S375" s="5"/>
      <c r="T375" s="5"/>
      <c r="U375" s="5"/>
      <c r="V375" s="10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02"/>
      <c r="AU375" s="502"/>
      <c r="AV375" s="606"/>
      <c r="AW375" s="502"/>
      <c r="AX375" s="502"/>
      <c r="AY375" s="502"/>
      <c r="AZ375" s="502"/>
      <c r="BA375" s="502"/>
      <c r="BB375" s="502"/>
      <c r="BC375" s="502"/>
      <c r="BD375" s="502"/>
      <c r="BE375" s="502"/>
      <c r="BF375" s="502"/>
      <c r="BG375" s="502"/>
      <c r="BH375" s="502"/>
      <c r="BI375" s="502"/>
      <c r="BJ375" s="502"/>
      <c r="BK375" s="502"/>
      <c r="BL375" s="502"/>
      <c r="BM375" s="502"/>
      <c r="BN375" s="502"/>
      <c r="BO375" s="502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</row>
    <row r="376" s="504" customFormat="true" ht="12.75" hidden="true" customHeight="true" outlineLevel="0" collapsed="false">
      <c r="A376" s="5"/>
      <c r="B376" s="813" t="n">
        <f aca="false">B375+1</f>
        <v>161</v>
      </c>
      <c r="C376" s="814" t="n">
        <f aca="false">C375+D376</f>
        <v>14394.4348843963</v>
      </c>
      <c r="D376" s="815" t="n">
        <f aca="false">E376*$E$205*M376</f>
        <v>104.691140910891</v>
      </c>
      <c r="E376" s="601" t="n">
        <f aca="false">E375+$C$204</f>
        <v>6.63946860165466</v>
      </c>
      <c r="F376" s="816" t="n">
        <f aca="false">F375+1</f>
        <v>161</v>
      </c>
      <c r="G376" s="775" t="n">
        <f aca="false">C376</f>
        <v>14394.4348843963</v>
      </c>
      <c r="H376" s="817" t="n">
        <f aca="false">1000*(E376-E375)</f>
        <v>9.99999999999979</v>
      </c>
      <c r="I376" s="5"/>
      <c r="J376" s="818" t="n">
        <f aca="false">1000*(E376-$E$215)/(B376-$B$215)</f>
        <v>19.7755889973404</v>
      </c>
      <c r="K376" s="732" t="n">
        <f aca="false">AVERAGE($E$216:E376)</f>
        <v>5.79226363271058</v>
      </c>
      <c r="L376" s="819" t="n">
        <f aca="false">L375+1</f>
        <v>161</v>
      </c>
      <c r="M376" s="820" t="n">
        <f aca="false">IF(B376&lt;$E$104,$E$105,$E$106)</f>
        <v>3</v>
      </c>
      <c r="N376" s="821" t="n">
        <f aca="false">IF(B376&lt;$E$104,$E$105,$E$111)</f>
        <v>2.5</v>
      </c>
      <c r="O376" s="822" t="n">
        <f aca="false">E376*$E$205*N376</f>
        <v>87.2426174257422</v>
      </c>
      <c r="P376" s="823" t="n">
        <f aca="false">P375+O376</f>
        <v>12047.0430040398</v>
      </c>
      <c r="Q376" s="606" t="n">
        <f aca="false">Q375+1</f>
        <v>161</v>
      </c>
      <c r="R376" s="824" t="n">
        <f aca="false">R375-1</f>
        <v>-161</v>
      </c>
      <c r="S376" s="5"/>
      <c r="T376" s="5"/>
      <c r="U376" s="5"/>
      <c r="V376" s="10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02"/>
      <c r="AU376" s="502"/>
      <c r="AV376" s="606"/>
      <c r="AW376" s="502"/>
      <c r="AX376" s="502"/>
      <c r="AY376" s="502"/>
      <c r="AZ376" s="502"/>
      <c r="BA376" s="502"/>
      <c r="BB376" s="502"/>
      <c r="BC376" s="502"/>
      <c r="BD376" s="502"/>
      <c r="BE376" s="502"/>
      <c r="BF376" s="502"/>
      <c r="BG376" s="502"/>
      <c r="BH376" s="502"/>
      <c r="BI376" s="502"/>
      <c r="BJ376" s="502"/>
      <c r="BK376" s="502"/>
      <c r="BL376" s="502"/>
      <c r="BM376" s="502"/>
      <c r="BN376" s="502"/>
      <c r="BO376" s="502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</row>
    <row r="377" s="504" customFormat="true" ht="12.75" hidden="true" customHeight="true" outlineLevel="0" collapsed="false">
      <c r="A377" s="5"/>
      <c r="B377" s="813" t="n">
        <f aca="false">B376+1</f>
        <v>162</v>
      </c>
      <c r="C377" s="814" t="n">
        <f aca="false">C376+D377</f>
        <v>14499.2837053072</v>
      </c>
      <c r="D377" s="815" t="n">
        <f aca="false">E377*$E$205*M377</f>
        <v>104.848820910891</v>
      </c>
      <c r="E377" s="601" t="n">
        <f aca="false">E376+$C$204</f>
        <v>6.64946860165466</v>
      </c>
      <c r="F377" s="816" t="n">
        <f aca="false">F376+1</f>
        <v>162</v>
      </c>
      <c r="G377" s="775" t="n">
        <f aca="false">C377</f>
        <v>14499.2837053072</v>
      </c>
      <c r="H377" s="817" t="n">
        <f aca="false">1000*(E377-E376)</f>
        <v>9.99999999999979</v>
      </c>
      <c r="I377" s="5"/>
      <c r="J377" s="818" t="n">
        <f aca="false">1000*(E377-$E$215)/(B377-$B$215)</f>
        <v>19.7152458553815</v>
      </c>
      <c r="K377" s="732" t="n">
        <f aca="false">AVERAGE($E$216:E377)</f>
        <v>5.79755502140776</v>
      </c>
      <c r="L377" s="819" t="n">
        <f aca="false">L376+1</f>
        <v>162</v>
      </c>
      <c r="M377" s="820" t="n">
        <f aca="false">IF(B377&lt;$E$104,$E$105,$E$106)</f>
        <v>3</v>
      </c>
      <c r="N377" s="821" t="n">
        <f aca="false">IF(B377&lt;$E$104,$E$105,$E$111)</f>
        <v>2.5</v>
      </c>
      <c r="O377" s="822" t="n">
        <f aca="false">E377*$E$205*N377</f>
        <v>87.3740174257422</v>
      </c>
      <c r="P377" s="823" t="n">
        <f aca="false">P376+O377</f>
        <v>12134.4170214655</v>
      </c>
      <c r="Q377" s="606" t="n">
        <f aca="false">Q376+1</f>
        <v>162</v>
      </c>
      <c r="R377" s="824" t="n">
        <f aca="false">R376-1</f>
        <v>-162</v>
      </c>
      <c r="S377" s="5"/>
      <c r="T377" s="5"/>
      <c r="U377" s="5"/>
      <c r="V377" s="10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02"/>
      <c r="AU377" s="502"/>
      <c r="AV377" s="606"/>
      <c r="AW377" s="502"/>
      <c r="AX377" s="502"/>
      <c r="AY377" s="502"/>
      <c r="AZ377" s="502"/>
      <c r="BA377" s="502"/>
      <c r="BB377" s="502"/>
      <c r="BC377" s="502"/>
      <c r="BD377" s="502"/>
      <c r="BE377" s="502"/>
      <c r="BF377" s="502"/>
      <c r="BG377" s="502"/>
      <c r="BH377" s="502"/>
      <c r="BI377" s="502"/>
      <c r="BJ377" s="502"/>
      <c r="BK377" s="502"/>
      <c r="BL377" s="502"/>
      <c r="BM377" s="502"/>
      <c r="BN377" s="502"/>
      <c r="BO377" s="502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</row>
    <row r="378" s="504" customFormat="true" ht="12.75" hidden="true" customHeight="true" outlineLevel="0" collapsed="false">
      <c r="A378" s="5"/>
      <c r="B378" s="813" t="n">
        <f aca="false">B377+1</f>
        <v>163</v>
      </c>
      <c r="C378" s="814" t="n">
        <f aca="false">C377+D378</f>
        <v>14604.2902062181</v>
      </c>
      <c r="D378" s="815" t="n">
        <f aca="false">E378*$E$205*M378</f>
        <v>105.006500910891</v>
      </c>
      <c r="E378" s="601" t="n">
        <f aca="false">E377+$C$204</f>
        <v>6.65946860165466</v>
      </c>
      <c r="F378" s="816" t="n">
        <f aca="false">F377+1</f>
        <v>163</v>
      </c>
      <c r="G378" s="775" t="n">
        <f aca="false">C378</f>
        <v>14604.2902062181</v>
      </c>
      <c r="H378" s="817" t="n">
        <f aca="false">1000*(E378-E377)</f>
        <v>9.99999999999979</v>
      </c>
      <c r="I378" s="5"/>
      <c r="J378" s="818" t="n">
        <f aca="false">1000*(E378-$E$215)/(B378-$B$215)</f>
        <v>19.6556431200725</v>
      </c>
      <c r="K378" s="732" t="n">
        <f aca="false">AVERAGE($E$216:E378)</f>
        <v>5.80284283478351</v>
      </c>
      <c r="L378" s="819" t="n">
        <f aca="false">L377+1</f>
        <v>163</v>
      </c>
      <c r="M378" s="820" t="n">
        <f aca="false">IF(B378&lt;$E$104,$E$105,$E$106)</f>
        <v>3</v>
      </c>
      <c r="N378" s="821" t="n">
        <f aca="false">IF(B378&lt;$E$104,$E$105,$E$111)</f>
        <v>2.5</v>
      </c>
      <c r="O378" s="822" t="n">
        <f aca="false">E378*$E$205*N378</f>
        <v>87.5054174257422</v>
      </c>
      <c r="P378" s="823" t="n">
        <f aca="false">P377+O378</f>
        <v>12221.9224388912</v>
      </c>
      <c r="Q378" s="606" t="n">
        <f aca="false">Q377+1</f>
        <v>163</v>
      </c>
      <c r="R378" s="824" t="n">
        <f aca="false">R377-1</f>
        <v>-163</v>
      </c>
      <c r="S378" s="5"/>
      <c r="T378" s="5"/>
      <c r="U378" s="5"/>
      <c r="V378" s="10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02"/>
      <c r="AU378" s="502"/>
      <c r="AV378" s="606"/>
      <c r="AW378" s="502"/>
      <c r="AX378" s="502"/>
      <c r="AY378" s="502"/>
      <c r="AZ378" s="502"/>
      <c r="BA378" s="502"/>
      <c r="BB378" s="502"/>
      <c r="BC378" s="502"/>
      <c r="BD378" s="502"/>
      <c r="BE378" s="502"/>
      <c r="BF378" s="502"/>
      <c r="BG378" s="502"/>
      <c r="BH378" s="502"/>
      <c r="BI378" s="502"/>
      <c r="BJ378" s="502"/>
      <c r="BK378" s="502"/>
      <c r="BL378" s="502"/>
      <c r="BM378" s="502"/>
      <c r="BN378" s="502"/>
      <c r="BO378" s="502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</row>
    <row r="379" s="504" customFormat="true" ht="12.75" hidden="true" customHeight="true" outlineLevel="0" collapsed="false">
      <c r="A379" s="5"/>
      <c r="B379" s="813" t="n">
        <f aca="false">B378+1</f>
        <v>164</v>
      </c>
      <c r="C379" s="814" t="n">
        <f aca="false">C378+D379</f>
        <v>14709.454387129</v>
      </c>
      <c r="D379" s="815" t="n">
        <f aca="false">E379*$E$205*M379</f>
        <v>105.164180910891</v>
      </c>
      <c r="E379" s="601" t="n">
        <f aca="false">E378+$C$204</f>
        <v>6.66946860165466</v>
      </c>
      <c r="F379" s="816" t="n">
        <f aca="false">F378+1</f>
        <v>164</v>
      </c>
      <c r="G379" s="775" t="n">
        <f aca="false">C379</f>
        <v>14709.454387129</v>
      </c>
      <c r="H379" s="817" t="n">
        <f aca="false">1000*(E379-E378)</f>
        <v>9.99999999999979</v>
      </c>
      <c r="I379" s="5"/>
      <c r="J379" s="818" t="n">
        <f aca="false">1000*(E379-$E$215)/(B379-$B$215)</f>
        <v>19.5967672473891</v>
      </c>
      <c r="K379" s="732" t="n">
        <f aca="false">AVERAGE($E$216:E379)</f>
        <v>5.80812713824004</v>
      </c>
      <c r="L379" s="819" t="n">
        <f aca="false">L378+1</f>
        <v>164</v>
      </c>
      <c r="M379" s="820" t="n">
        <f aca="false">IF(B379&lt;$E$104,$E$105,$E$106)</f>
        <v>3</v>
      </c>
      <c r="N379" s="821" t="n">
        <f aca="false">IF(B379&lt;$E$104,$E$105,$E$111)</f>
        <v>2.5</v>
      </c>
      <c r="O379" s="822" t="n">
        <f aca="false">E379*$E$205*N379</f>
        <v>87.6368174257422</v>
      </c>
      <c r="P379" s="823" t="n">
        <f aca="false">P378+O379</f>
        <v>12309.559256317</v>
      </c>
      <c r="Q379" s="606" t="n">
        <f aca="false">Q378+1</f>
        <v>164</v>
      </c>
      <c r="R379" s="824" t="n">
        <f aca="false">R378-1</f>
        <v>-164</v>
      </c>
      <c r="S379" s="5"/>
      <c r="T379" s="5"/>
      <c r="U379" s="5"/>
      <c r="V379" s="10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02"/>
      <c r="AU379" s="502"/>
      <c r="AV379" s="606"/>
      <c r="AW379" s="502"/>
      <c r="AX379" s="502"/>
      <c r="AY379" s="502"/>
      <c r="AZ379" s="502"/>
      <c r="BA379" s="502"/>
      <c r="BB379" s="502"/>
      <c r="BC379" s="502"/>
      <c r="BD379" s="502"/>
      <c r="BE379" s="502"/>
      <c r="BF379" s="502"/>
      <c r="BG379" s="502"/>
      <c r="BH379" s="502"/>
      <c r="BI379" s="502"/>
      <c r="BJ379" s="502"/>
      <c r="BK379" s="502"/>
      <c r="BL379" s="502"/>
      <c r="BM379" s="502"/>
      <c r="BN379" s="502"/>
      <c r="BO379" s="502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</row>
    <row r="380" s="504" customFormat="true" ht="12.75" hidden="true" customHeight="true" outlineLevel="0" collapsed="false">
      <c r="A380" s="5"/>
      <c r="B380" s="813" t="n">
        <f aca="false">B379+1</f>
        <v>165</v>
      </c>
      <c r="C380" s="814" t="n">
        <f aca="false">C379+D380</f>
        <v>14814.7762480398</v>
      </c>
      <c r="D380" s="815" t="n">
        <f aca="false">E380*$E$205*M380</f>
        <v>105.321860910891</v>
      </c>
      <c r="E380" s="601" t="n">
        <f aca="false">E379+$C$204</f>
        <v>6.67946860165466</v>
      </c>
      <c r="F380" s="816" t="n">
        <f aca="false">F379+1</f>
        <v>165</v>
      </c>
      <c r="G380" s="775" t="n">
        <f aca="false">C380</f>
        <v>14814.7762480398</v>
      </c>
      <c r="H380" s="817" t="n">
        <f aca="false">1000*(E380-E379)</f>
        <v>9.99999999999979</v>
      </c>
      <c r="I380" s="5"/>
      <c r="J380" s="818" t="n">
        <f aca="false">1000*(E380-$E$215)/(B380-$B$215)</f>
        <v>19.5386050216473</v>
      </c>
      <c r="K380" s="732" t="n">
        <f aca="false">AVERAGE($E$216:E380)</f>
        <v>5.81340799559407</v>
      </c>
      <c r="L380" s="819" t="n">
        <f aca="false">L379+1</f>
        <v>165</v>
      </c>
      <c r="M380" s="820" t="n">
        <f aca="false">IF(B380&lt;$E$104,$E$105,$E$106)</f>
        <v>3</v>
      </c>
      <c r="N380" s="821" t="n">
        <f aca="false">IF(B380&lt;$E$104,$E$105,$E$111)</f>
        <v>2.5</v>
      </c>
      <c r="O380" s="822" t="n">
        <f aca="false">E380*$E$205*N380</f>
        <v>87.7682174257422</v>
      </c>
      <c r="P380" s="823" t="n">
        <f aca="false">P379+O380</f>
        <v>12397.3274737427</v>
      </c>
      <c r="Q380" s="606" t="n">
        <f aca="false">Q379+1</f>
        <v>165</v>
      </c>
      <c r="R380" s="824" t="n">
        <f aca="false">R379-1</f>
        <v>-165</v>
      </c>
      <c r="S380" s="5"/>
      <c r="T380" s="5"/>
      <c r="U380" s="5"/>
      <c r="V380" s="10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02"/>
      <c r="AU380" s="502"/>
      <c r="AV380" s="606"/>
      <c r="AW380" s="502"/>
      <c r="AX380" s="502"/>
      <c r="AY380" s="502"/>
      <c r="AZ380" s="502"/>
      <c r="BA380" s="502"/>
      <c r="BB380" s="502"/>
      <c r="BC380" s="502"/>
      <c r="BD380" s="502"/>
      <c r="BE380" s="502"/>
      <c r="BF380" s="502"/>
      <c r="BG380" s="502"/>
      <c r="BH380" s="502"/>
      <c r="BI380" s="502"/>
      <c r="BJ380" s="502"/>
      <c r="BK380" s="502"/>
      <c r="BL380" s="502"/>
      <c r="BM380" s="502"/>
      <c r="BN380" s="502"/>
      <c r="BO380" s="502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</row>
    <row r="381" s="504" customFormat="true" ht="12.75" hidden="true" customHeight="true" outlineLevel="0" collapsed="false">
      <c r="A381" s="5"/>
      <c r="B381" s="813" t="n">
        <f aca="false">B380+1</f>
        <v>166</v>
      </c>
      <c r="C381" s="814" t="n">
        <f aca="false">C380+D381</f>
        <v>14920.2557889507</v>
      </c>
      <c r="D381" s="815" t="n">
        <f aca="false">E381*$E$205*M381</f>
        <v>105.479540910891</v>
      </c>
      <c r="E381" s="601" t="n">
        <f aca="false">E380+$C$204</f>
        <v>6.68946860165466</v>
      </c>
      <c r="F381" s="816" t="n">
        <f aca="false">F380+1</f>
        <v>166</v>
      </c>
      <c r="G381" s="775" t="n">
        <f aca="false">C381</f>
        <v>14920.2557889507</v>
      </c>
      <c r="H381" s="817" t="n">
        <f aca="false">1000*(E381-E380)</f>
        <v>9.99999999999979</v>
      </c>
      <c r="I381" s="5"/>
      <c r="J381" s="818" t="n">
        <f aca="false">1000*(E381-$E$215)/(B381-$B$215)</f>
        <v>19.4811435456133</v>
      </c>
      <c r="K381" s="732" t="n">
        <f aca="false">AVERAGE($E$216:E381)</f>
        <v>5.81868546912455</v>
      </c>
      <c r="L381" s="819" t="n">
        <f aca="false">L380+1</f>
        <v>166</v>
      </c>
      <c r="M381" s="820" t="n">
        <f aca="false">IF(B381&lt;$E$104,$E$105,$E$106)</f>
        <v>3</v>
      </c>
      <c r="N381" s="821" t="n">
        <f aca="false">IF(B381&lt;$E$104,$E$105,$E$111)</f>
        <v>2.5</v>
      </c>
      <c r="O381" s="822" t="n">
        <f aca="false">E381*$E$205*N381</f>
        <v>87.8996174257422</v>
      </c>
      <c r="P381" s="823" t="n">
        <f aca="false">P380+O381</f>
        <v>12485.2270911685</v>
      </c>
      <c r="Q381" s="606" t="n">
        <f aca="false">Q380+1</f>
        <v>166</v>
      </c>
      <c r="R381" s="824" t="n">
        <f aca="false">R380-1</f>
        <v>-166</v>
      </c>
      <c r="S381" s="5"/>
      <c r="T381" s="5"/>
      <c r="U381" s="5"/>
      <c r="V381" s="10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02"/>
      <c r="AU381" s="502"/>
      <c r="AV381" s="606"/>
      <c r="AW381" s="502"/>
      <c r="AX381" s="502"/>
      <c r="AY381" s="502"/>
      <c r="AZ381" s="502"/>
      <c r="BA381" s="502"/>
      <c r="BB381" s="502"/>
      <c r="BC381" s="502"/>
      <c r="BD381" s="502"/>
      <c r="BE381" s="502"/>
      <c r="BF381" s="502"/>
      <c r="BG381" s="502"/>
      <c r="BH381" s="502"/>
      <c r="BI381" s="502"/>
      <c r="BJ381" s="502"/>
      <c r="BK381" s="502"/>
      <c r="BL381" s="502"/>
      <c r="BM381" s="502"/>
      <c r="BN381" s="502"/>
      <c r="BO381" s="502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</row>
    <row r="382" s="504" customFormat="true" ht="12.75" hidden="true" customHeight="true" outlineLevel="0" collapsed="false">
      <c r="A382" s="5"/>
      <c r="B382" s="813" t="n">
        <f aca="false">B381+1</f>
        <v>167</v>
      </c>
      <c r="C382" s="814" t="n">
        <f aca="false">C381+D382</f>
        <v>15025.8930098616</v>
      </c>
      <c r="D382" s="815" t="n">
        <f aca="false">E382*$E$205*M382</f>
        <v>105.637220910891</v>
      </c>
      <c r="E382" s="601" t="n">
        <f aca="false">E381+$C$204</f>
        <v>6.69946860165465</v>
      </c>
      <c r="F382" s="816" t="n">
        <f aca="false">F381+1</f>
        <v>167</v>
      </c>
      <c r="G382" s="775" t="n">
        <f aca="false">C382</f>
        <v>15025.8930098616</v>
      </c>
      <c r="H382" s="817" t="n">
        <f aca="false">1000*(E382-E381)</f>
        <v>9.99999999999979</v>
      </c>
      <c r="I382" s="5"/>
      <c r="J382" s="818" t="n">
        <f aca="false">1000*(E382-$E$215)/(B382-$B$215)</f>
        <v>19.4243702309689</v>
      </c>
      <c r="K382" s="732" t="n">
        <f aca="false">AVERAGE($E$216:E382)</f>
        <v>5.82395961961875</v>
      </c>
      <c r="L382" s="819" t="n">
        <f aca="false">L381+1</f>
        <v>167</v>
      </c>
      <c r="M382" s="820" t="n">
        <f aca="false">IF(B382&lt;$E$104,$E$105,$E$106)</f>
        <v>3</v>
      </c>
      <c r="N382" s="821" t="n">
        <f aca="false">IF(B382&lt;$E$104,$E$105,$E$111)</f>
        <v>2.5</v>
      </c>
      <c r="O382" s="822" t="n">
        <f aca="false">E382*$E$205*N382</f>
        <v>88.0310174257422</v>
      </c>
      <c r="P382" s="823" t="n">
        <f aca="false">P381+O382</f>
        <v>12573.2581085942</v>
      </c>
      <c r="Q382" s="606" t="n">
        <f aca="false">Q381+1</f>
        <v>167</v>
      </c>
      <c r="R382" s="824" t="n">
        <f aca="false">R381-1</f>
        <v>-167</v>
      </c>
      <c r="S382" s="5"/>
      <c r="T382" s="5"/>
      <c r="U382" s="5"/>
      <c r="V382" s="10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02"/>
      <c r="AU382" s="502"/>
      <c r="AV382" s="606"/>
      <c r="AW382" s="502"/>
      <c r="AX382" s="502"/>
      <c r="AY382" s="502"/>
      <c r="AZ382" s="502"/>
      <c r="BA382" s="502"/>
      <c r="BB382" s="502"/>
      <c r="BC382" s="502"/>
      <c r="BD382" s="502"/>
      <c r="BE382" s="502"/>
      <c r="BF382" s="502"/>
      <c r="BG382" s="502"/>
      <c r="BH382" s="502"/>
      <c r="BI382" s="502"/>
      <c r="BJ382" s="502"/>
      <c r="BK382" s="502"/>
      <c r="BL382" s="502"/>
      <c r="BM382" s="502"/>
      <c r="BN382" s="502"/>
      <c r="BO382" s="502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</row>
    <row r="383" s="504" customFormat="true" ht="12.75" hidden="true" customHeight="true" outlineLevel="0" collapsed="false">
      <c r="A383" s="5"/>
      <c r="B383" s="813" t="n">
        <f aca="false">B382+1</f>
        <v>168</v>
      </c>
      <c r="C383" s="814" t="n">
        <f aca="false">C382+D383</f>
        <v>15131.6879107725</v>
      </c>
      <c r="D383" s="815" t="n">
        <f aca="false">E383*$E$205*M383</f>
        <v>105.794900910891</v>
      </c>
      <c r="E383" s="601" t="n">
        <f aca="false">E382+$C$204</f>
        <v>6.70946860165465</v>
      </c>
      <c r="F383" s="816" t="n">
        <f aca="false">F382+1</f>
        <v>168</v>
      </c>
      <c r="G383" s="775" t="n">
        <f aca="false">C383</f>
        <v>15131.6879107725</v>
      </c>
      <c r="H383" s="817" t="n">
        <f aca="false">1000*(E383-E382)</f>
        <v>9.99999999999979</v>
      </c>
      <c r="I383" s="5"/>
      <c r="J383" s="818" t="n">
        <f aca="false">1000*(E383-$E$215)/(B383-$B$215)</f>
        <v>19.3682727891179</v>
      </c>
      <c r="K383" s="732" t="n">
        <f aca="false">AVERAGE($E$216:E383)</f>
        <v>5.82923050641658</v>
      </c>
      <c r="L383" s="819" t="n">
        <f aca="false">L382+1</f>
        <v>168</v>
      </c>
      <c r="M383" s="820" t="n">
        <f aca="false">IF(B383&lt;$E$104,$E$105,$E$106)</f>
        <v>3</v>
      </c>
      <c r="N383" s="821" t="n">
        <f aca="false">IF(B383&lt;$E$104,$E$105,$E$111)</f>
        <v>2.5</v>
      </c>
      <c r="O383" s="822" t="n">
        <f aca="false">E383*$E$205*N383</f>
        <v>88.1624174257422</v>
      </c>
      <c r="P383" s="823" t="n">
        <f aca="false">P382+O383</f>
        <v>12661.42052602</v>
      </c>
      <c r="Q383" s="606" t="n">
        <f aca="false">Q382+1</f>
        <v>168</v>
      </c>
      <c r="R383" s="824" t="n">
        <f aca="false">R382-1</f>
        <v>-168</v>
      </c>
      <c r="S383" s="5"/>
      <c r="T383" s="5"/>
      <c r="U383" s="5"/>
      <c r="V383" s="10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02"/>
      <c r="AU383" s="502"/>
      <c r="AV383" s="606"/>
      <c r="AW383" s="502"/>
      <c r="AX383" s="502"/>
      <c r="AY383" s="502"/>
      <c r="AZ383" s="502"/>
      <c r="BA383" s="502"/>
      <c r="BB383" s="502"/>
      <c r="BC383" s="502"/>
      <c r="BD383" s="502"/>
      <c r="BE383" s="502"/>
      <c r="BF383" s="502"/>
      <c r="BG383" s="502"/>
      <c r="BH383" s="502"/>
      <c r="BI383" s="502"/>
      <c r="BJ383" s="502"/>
      <c r="BK383" s="502"/>
      <c r="BL383" s="502"/>
      <c r="BM383" s="502"/>
      <c r="BN383" s="502"/>
      <c r="BO383" s="502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</row>
    <row r="384" s="504" customFormat="true" ht="12.75" hidden="true" customHeight="true" outlineLevel="0" collapsed="false">
      <c r="A384" s="5"/>
      <c r="B384" s="813" t="n">
        <f aca="false">B383+1</f>
        <v>169</v>
      </c>
      <c r="C384" s="814" t="n">
        <f aca="false">C383+D384</f>
        <v>15237.6404916834</v>
      </c>
      <c r="D384" s="815" t="n">
        <f aca="false">E384*$E$205*M384</f>
        <v>105.952580910891</v>
      </c>
      <c r="E384" s="601" t="n">
        <f aca="false">E383+$C$204</f>
        <v>6.71946860165465</v>
      </c>
      <c r="F384" s="816" t="n">
        <f aca="false">F383+1</f>
        <v>169</v>
      </c>
      <c r="G384" s="775" t="n">
        <f aca="false">C384</f>
        <v>15237.6404916834</v>
      </c>
      <c r="H384" s="817" t="n">
        <f aca="false">1000*(E384-E383)</f>
        <v>9.99999999999979</v>
      </c>
      <c r="I384" s="5"/>
      <c r="J384" s="818" t="n">
        <f aca="false">1000*(E384-$E$215)/(B384-$B$215)</f>
        <v>19.3128392223184</v>
      </c>
      <c r="K384" s="732" t="n">
        <f aca="false">AVERAGE($E$216:E384)</f>
        <v>5.83449818745349</v>
      </c>
      <c r="L384" s="819" t="n">
        <f aca="false">L383+1</f>
        <v>169</v>
      </c>
      <c r="M384" s="820" t="n">
        <f aca="false">IF(B384&lt;$E$104,$E$105,$E$106)</f>
        <v>3</v>
      </c>
      <c r="N384" s="821" t="n">
        <f aca="false">IF(B384&lt;$E$104,$E$105,$E$111)</f>
        <v>2.5</v>
      </c>
      <c r="O384" s="822" t="n">
        <f aca="false">E384*$E$205*N384</f>
        <v>88.2938174257422</v>
      </c>
      <c r="P384" s="823" t="n">
        <f aca="false">P383+O384</f>
        <v>12749.7143434457</v>
      </c>
      <c r="Q384" s="606" t="n">
        <f aca="false">Q383+1</f>
        <v>169</v>
      </c>
      <c r="R384" s="824" t="n">
        <f aca="false">R383-1</f>
        <v>-169</v>
      </c>
      <c r="S384" s="5"/>
      <c r="T384" s="5"/>
      <c r="U384" s="5"/>
      <c r="V384" s="10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02"/>
      <c r="AU384" s="502"/>
      <c r="AV384" s="606"/>
      <c r="AW384" s="502"/>
      <c r="AX384" s="502"/>
      <c r="AY384" s="502"/>
      <c r="AZ384" s="502"/>
      <c r="BA384" s="502"/>
      <c r="BB384" s="502"/>
      <c r="BC384" s="502"/>
      <c r="BD384" s="502"/>
      <c r="BE384" s="502"/>
      <c r="BF384" s="502"/>
      <c r="BG384" s="502"/>
      <c r="BH384" s="502"/>
      <c r="BI384" s="502"/>
      <c r="BJ384" s="502"/>
      <c r="BK384" s="502"/>
      <c r="BL384" s="502"/>
      <c r="BM384" s="502"/>
      <c r="BN384" s="502"/>
      <c r="BO384" s="502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</row>
    <row r="385" s="504" customFormat="true" ht="12.75" hidden="true" customHeight="true" outlineLevel="0" collapsed="false">
      <c r="A385" s="5"/>
      <c r="B385" s="813" t="n">
        <f aca="false">B384+1</f>
        <v>170</v>
      </c>
      <c r="C385" s="814" t="n">
        <f aca="false">C384+D385</f>
        <v>15343.7507525943</v>
      </c>
      <c r="D385" s="815" t="n">
        <f aca="false">E385*$E$205*M385</f>
        <v>106.110260910891</v>
      </c>
      <c r="E385" s="601" t="n">
        <f aca="false">E384+$C$204</f>
        <v>6.72946860165465</v>
      </c>
      <c r="F385" s="816" t="n">
        <f aca="false">F384+1</f>
        <v>170</v>
      </c>
      <c r="G385" s="775" t="n">
        <f aca="false">C385</f>
        <v>15343.7507525943</v>
      </c>
      <c r="H385" s="817" t="n">
        <f aca="false">1000*(E385-E384)</f>
        <v>9.99999999999979</v>
      </c>
      <c r="I385" s="5"/>
      <c r="J385" s="818" t="n">
        <f aca="false">1000*(E385-$E$215)/(B385-$B$215)</f>
        <v>19.2580578151283</v>
      </c>
      <c r="K385" s="732" t="n">
        <f aca="false">AVERAGE($E$216:E385)</f>
        <v>5.83976271930173</v>
      </c>
      <c r="L385" s="819" t="n">
        <f aca="false">L384+1</f>
        <v>170</v>
      </c>
      <c r="M385" s="820" t="n">
        <f aca="false">IF(B385&lt;$E$104,$E$105,$E$106)</f>
        <v>3</v>
      </c>
      <c r="N385" s="821" t="n">
        <f aca="false">IF(B385&lt;$E$104,$E$105,$E$111)</f>
        <v>2.5</v>
      </c>
      <c r="O385" s="822" t="n">
        <f aca="false">E385*$E$205*N385</f>
        <v>88.4252174257422</v>
      </c>
      <c r="P385" s="823" t="n">
        <f aca="false">P384+O385</f>
        <v>12838.1395608714</v>
      </c>
      <c r="Q385" s="606" t="n">
        <f aca="false">Q384+1</f>
        <v>170</v>
      </c>
      <c r="R385" s="824" t="n">
        <f aca="false">R384-1</f>
        <v>-170</v>
      </c>
      <c r="S385" s="5"/>
      <c r="T385" s="5"/>
      <c r="U385" s="5"/>
      <c r="V385" s="10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02"/>
      <c r="AU385" s="502"/>
      <c r="AV385" s="606"/>
      <c r="AW385" s="502"/>
      <c r="AX385" s="502"/>
      <c r="AY385" s="502"/>
      <c r="AZ385" s="502"/>
      <c r="BA385" s="502"/>
      <c r="BB385" s="502"/>
      <c r="BC385" s="502"/>
      <c r="BD385" s="502"/>
      <c r="BE385" s="502"/>
      <c r="BF385" s="502"/>
      <c r="BG385" s="502"/>
      <c r="BH385" s="502"/>
      <c r="BI385" s="502"/>
      <c r="BJ385" s="502"/>
      <c r="BK385" s="502"/>
      <c r="BL385" s="502"/>
      <c r="BM385" s="502"/>
      <c r="BN385" s="502"/>
      <c r="BO385" s="502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</row>
    <row r="386" s="504" customFormat="true" ht="12.75" hidden="true" customHeight="true" outlineLevel="0" collapsed="false">
      <c r="A386" s="5"/>
      <c r="B386" s="813" t="n">
        <f aca="false">B385+1</f>
        <v>171</v>
      </c>
      <c r="C386" s="814" t="n">
        <f aca="false">C385+D386</f>
        <v>15450.0186935052</v>
      </c>
      <c r="D386" s="815" t="n">
        <f aca="false">E386*$E$205*M386</f>
        <v>106.267940910891</v>
      </c>
      <c r="E386" s="601" t="n">
        <f aca="false">E385+$C$204</f>
        <v>6.73946860165465</v>
      </c>
      <c r="F386" s="816" t="n">
        <f aca="false">F385+1</f>
        <v>171</v>
      </c>
      <c r="G386" s="775" t="n">
        <f aca="false">C386</f>
        <v>15450.0186935052</v>
      </c>
      <c r="H386" s="817" t="n">
        <f aca="false">1000*(E386-E385)</f>
        <v>9.99999999999979</v>
      </c>
      <c r="I386" s="5"/>
      <c r="J386" s="818" t="n">
        <f aca="false">1000*(E386-$E$215)/(B386-$B$215)</f>
        <v>19.2039171261509</v>
      </c>
      <c r="K386" s="732" t="n">
        <f aca="false">AVERAGE($E$216:E386)</f>
        <v>5.84502415721023</v>
      </c>
      <c r="L386" s="819" t="n">
        <f aca="false">L385+1</f>
        <v>171</v>
      </c>
      <c r="M386" s="820" t="n">
        <f aca="false">IF(B386&lt;$E$104,$E$105,$E$106)</f>
        <v>3</v>
      </c>
      <c r="N386" s="821" t="n">
        <f aca="false">IF(B386&lt;$E$104,$E$105,$E$111)</f>
        <v>2.5</v>
      </c>
      <c r="O386" s="822" t="n">
        <f aca="false">E386*$E$205*N386</f>
        <v>88.5566174257422</v>
      </c>
      <c r="P386" s="823" t="n">
        <f aca="false">P385+O386</f>
        <v>12926.6961782972</v>
      </c>
      <c r="Q386" s="606" t="n">
        <f aca="false">Q385+1</f>
        <v>171</v>
      </c>
      <c r="R386" s="824" t="n">
        <f aca="false">R385-1</f>
        <v>-171</v>
      </c>
      <c r="S386" s="5"/>
      <c r="T386" s="5"/>
      <c r="U386" s="5"/>
      <c r="V386" s="10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02"/>
      <c r="AU386" s="502"/>
      <c r="AV386" s="606"/>
      <c r="AW386" s="502"/>
      <c r="AX386" s="502"/>
      <c r="AY386" s="502"/>
      <c r="AZ386" s="502"/>
      <c r="BA386" s="502"/>
      <c r="BB386" s="502"/>
      <c r="BC386" s="502"/>
      <c r="BD386" s="502"/>
      <c r="BE386" s="502"/>
      <c r="BF386" s="502"/>
      <c r="BG386" s="502"/>
      <c r="BH386" s="502"/>
      <c r="BI386" s="502"/>
      <c r="BJ386" s="502"/>
      <c r="BK386" s="502"/>
      <c r="BL386" s="502"/>
      <c r="BM386" s="502"/>
      <c r="BN386" s="502"/>
      <c r="BO386" s="502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</row>
    <row r="387" s="504" customFormat="true" ht="12.75" hidden="true" customHeight="true" outlineLevel="0" collapsed="false">
      <c r="A387" s="5"/>
      <c r="B387" s="813" t="n">
        <f aca="false">B386+1</f>
        <v>172</v>
      </c>
      <c r="C387" s="814" t="n">
        <f aca="false">C386+D387</f>
        <v>15556.4443144161</v>
      </c>
      <c r="D387" s="815" t="n">
        <f aca="false">E387*$E$205*M387</f>
        <v>106.425620910891</v>
      </c>
      <c r="E387" s="601" t="n">
        <f aca="false">E386+$C$204</f>
        <v>6.74946860165465</v>
      </c>
      <c r="F387" s="816" t="n">
        <f aca="false">F386+1</f>
        <v>172</v>
      </c>
      <c r="G387" s="775" t="n">
        <f aca="false">C387</f>
        <v>15556.4443144161</v>
      </c>
      <c r="H387" s="817" t="n">
        <f aca="false">1000*(E387-E386)</f>
        <v>9.99999999999979</v>
      </c>
      <c r="I387" s="5"/>
      <c r="J387" s="818" t="n">
        <f aca="false">1000*(E387-$E$215)/(B387-$B$215)</f>
        <v>19.1504059800686</v>
      </c>
      <c r="K387" s="732" t="n">
        <f aca="false">AVERAGE($E$216:E387)</f>
        <v>5.85028255514304</v>
      </c>
      <c r="L387" s="819" t="n">
        <f aca="false">L386+1</f>
        <v>172</v>
      </c>
      <c r="M387" s="820" t="n">
        <f aca="false">IF(B387&lt;$E$104,$E$105,$E$106)</f>
        <v>3</v>
      </c>
      <c r="N387" s="821" t="n">
        <f aca="false">IF(B387&lt;$E$104,$E$105,$E$111)</f>
        <v>2.5</v>
      </c>
      <c r="O387" s="822" t="n">
        <f aca="false">E387*$E$205*N387</f>
        <v>88.6880174257422</v>
      </c>
      <c r="P387" s="823" t="n">
        <f aca="false">P386+O387</f>
        <v>13015.3841957229</v>
      </c>
      <c r="Q387" s="606" t="n">
        <f aca="false">Q386+1</f>
        <v>172</v>
      </c>
      <c r="R387" s="824" t="n">
        <f aca="false">R386-1</f>
        <v>-172</v>
      </c>
      <c r="S387" s="5"/>
      <c r="T387" s="5"/>
      <c r="U387" s="5"/>
      <c r="V387" s="10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02"/>
      <c r="AU387" s="502"/>
      <c r="AV387" s="606"/>
      <c r="AW387" s="502"/>
      <c r="AX387" s="502"/>
      <c r="AY387" s="502"/>
      <c r="AZ387" s="502"/>
      <c r="BA387" s="502"/>
      <c r="BB387" s="502"/>
      <c r="BC387" s="502"/>
      <c r="BD387" s="502"/>
      <c r="BE387" s="502"/>
      <c r="BF387" s="502"/>
      <c r="BG387" s="502"/>
      <c r="BH387" s="502"/>
      <c r="BI387" s="502"/>
      <c r="BJ387" s="502"/>
      <c r="BK387" s="502"/>
      <c r="BL387" s="502"/>
      <c r="BM387" s="502"/>
      <c r="BN387" s="502"/>
      <c r="BO387" s="502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</row>
    <row r="388" s="504" customFormat="true" ht="12.75" hidden="true" customHeight="true" outlineLevel="0" collapsed="false">
      <c r="A388" s="5"/>
      <c r="B388" s="813" t="n">
        <f aca="false">B387+1</f>
        <v>173</v>
      </c>
      <c r="C388" s="814" t="n">
        <f aca="false">C387+D388</f>
        <v>15663.027615327</v>
      </c>
      <c r="D388" s="815" t="n">
        <f aca="false">E388*$E$205*M388</f>
        <v>106.583300910891</v>
      </c>
      <c r="E388" s="601" t="n">
        <f aca="false">E387+$C$204</f>
        <v>6.75946860165465</v>
      </c>
      <c r="F388" s="816" t="n">
        <f aca="false">F387+1</f>
        <v>173</v>
      </c>
      <c r="G388" s="775" t="n">
        <f aca="false">C388</f>
        <v>15663.027615327</v>
      </c>
      <c r="H388" s="817" t="n">
        <f aca="false">1000*(E388-E387)</f>
        <v>9.99999999999979</v>
      </c>
      <c r="I388" s="5"/>
      <c r="J388" s="818" t="n">
        <f aca="false">1000*(E388-$E$215)/(B388-$B$215)</f>
        <v>19.0975134599526</v>
      </c>
      <c r="K388" s="732" t="n">
        <f aca="false">AVERAGE($E$216:E388)</f>
        <v>5.85553796581652</v>
      </c>
      <c r="L388" s="819" t="n">
        <f aca="false">L387+1</f>
        <v>173</v>
      </c>
      <c r="M388" s="820" t="n">
        <f aca="false">IF(B388&lt;$E$104,$E$105,$E$106)</f>
        <v>3</v>
      </c>
      <c r="N388" s="821" t="n">
        <f aca="false">IF(B388&lt;$E$104,$E$105,$E$111)</f>
        <v>2.5</v>
      </c>
      <c r="O388" s="822" t="n">
        <f aca="false">E388*$E$205*N388</f>
        <v>88.8194174257422</v>
      </c>
      <c r="P388" s="823" t="n">
        <f aca="false">P387+O388</f>
        <v>13104.2036131487</v>
      </c>
      <c r="Q388" s="606" t="n">
        <f aca="false">Q387+1</f>
        <v>173</v>
      </c>
      <c r="R388" s="824" t="n">
        <f aca="false">R387-1</f>
        <v>-173</v>
      </c>
      <c r="S388" s="5"/>
      <c r="T388" s="5"/>
      <c r="U388" s="5"/>
      <c r="V388" s="10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02"/>
      <c r="AU388" s="502"/>
      <c r="AV388" s="606"/>
      <c r="AW388" s="502"/>
      <c r="AX388" s="502"/>
      <c r="AY388" s="502"/>
      <c r="AZ388" s="502"/>
      <c r="BA388" s="502"/>
      <c r="BB388" s="502"/>
      <c r="BC388" s="502"/>
      <c r="BD388" s="502"/>
      <c r="BE388" s="502"/>
      <c r="BF388" s="502"/>
      <c r="BG388" s="502"/>
      <c r="BH388" s="502"/>
      <c r="BI388" s="502"/>
      <c r="BJ388" s="502"/>
      <c r="BK388" s="502"/>
      <c r="BL388" s="502"/>
      <c r="BM388" s="502"/>
      <c r="BN388" s="502"/>
      <c r="BO388" s="502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</row>
    <row r="389" s="504" customFormat="true" ht="12.75" hidden="true" customHeight="true" outlineLevel="0" collapsed="false">
      <c r="A389" s="5"/>
      <c r="B389" s="813" t="n">
        <f aca="false">B388+1</f>
        <v>174</v>
      </c>
      <c r="C389" s="814" t="n">
        <f aca="false">C388+D389</f>
        <v>15769.7685962379</v>
      </c>
      <c r="D389" s="815" t="n">
        <f aca="false">E389*$E$205*M389</f>
        <v>106.740980910891</v>
      </c>
      <c r="E389" s="601" t="n">
        <f aca="false">E388+$C$204</f>
        <v>6.76946860165465</v>
      </c>
      <c r="F389" s="816" t="n">
        <f aca="false">F388+1</f>
        <v>174</v>
      </c>
      <c r="G389" s="775" t="n">
        <f aca="false">C389</f>
        <v>15769.7685962379</v>
      </c>
      <c r="H389" s="817" t="n">
        <f aca="false">1000*(E389-E388)</f>
        <v>9.99999999999979</v>
      </c>
      <c r="I389" s="5"/>
      <c r="J389" s="818" t="n">
        <f aca="false">1000*(E389-$E$215)/(B389-$B$215)</f>
        <v>19.045228899838</v>
      </c>
      <c r="K389" s="732" t="n">
        <f aca="false">AVERAGE($E$216:E389)</f>
        <v>5.86079044073513</v>
      </c>
      <c r="L389" s="819" t="n">
        <f aca="false">L388+1</f>
        <v>174</v>
      </c>
      <c r="M389" s="820" t="n">
        <f aca="false">IF(B389&lt;$E$104,$E$105,$E$106)</f>
        <v>3</v>
      </c>
      <c r="N389" s="821" t="n">
        <f aca="false">IF(B389&lt;$E$104,$E$105,$E$111)</f>
        <v>2.5</v>
      </c>
      <c r="O389" s="822" t="n">
        <f aca="false">E389*$E$205*N389</f>
        <v>88.9508174257422</v>
      </c>
      <c r="P389" s="823" t="n">
        <f aca="false">P388+O389</f>
        <v>13193.1544305744</v>
      </c>
      <c r="Q389" s="606" t="n">
        <f aca="false">Q388+1</f>
        <v>174</v>
      </c>
      <c r="R389" s="824" t="n">
        <f aca="false">R388-1</f>
        <v>-174</v>
      </c>
      <c r="S389" s="5"/>
      <c r="T389" s="5"/>
      <c r="U389" s="5"/>
      <c r="V389" s="10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02"/>
      <c r="AU389" s="502"/>
      <c r="AV389" s="606"/>
      <c r="AW389" s="502"/>
      <c r="AX389" s="502"/>
      <c r="AY389" s="502"/>
      <c r="AZ389" s="502"/>
      <c r="BA389" s="502"/>
      <c r="BB389" s="502"/>
      <c r="BC389" s="502"/>
      <c r="BD389" s="502"/>
      <c r="BE389" s="502"/>
      <c r="BF389" s="502"/>
      <c r="BG389" s="502"/>
      <c r="BH389" s="502"/>
      <c r="BI389" s="502"/>
      <c r="BJ389" s="502"/>
      <c r="BK389" s="502"/>
      <c r="BL389" s="502"/>
      <c r="BM389" s="502"/>
      <c r="BN389" s="502"/>
      <c r="BO389" s="502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</row>
    <row r="390" s="504" customFormat="true" ht="12.75" hidden="true" customHeight="true" outlineLevel="0" collapsed="false">
      <c r="A390" s="5"/>
      <c r="B390" s="813" t="n">
        <f aca="false">B389+1</f>
        <v>175</v>
      </c>
      <c r="C390" s="814" t="n">
        <f aca="false">C389+D390</f>
        <v>15876.6672571488</v>
      </c>
      <c r="D390" s="815" t="n">
        <f aca="false">E390*$E$205*M390</f>
        <v>106.898660910891</v>
      </c>
      <c r="E390" s="601" t="n">
        <f aca="false">E389+$C$204</f>
        <v>6.77946860165465</v>
      </c>
      <c r="F390" s="816" t="n">
        <f aca="false">F389+1</f>
        <v>175</v>
      </c>
      <c r="G390" s="775" t="n">
        <f aca="false">C390</f>
        <v>15876.6672571488</v>
      </c>
      <c r="H390" s="817" t="n">
        <f aca="false">1000*(E390-E389)</f>
        <v>9.99999999999979</v>
      </c>
      <c r="I390" s="5"/>
      <c r="J390" s="818" t="n">
        <f aca="false">1000*(E390-$E$215)/(B390-$B$215)</f>
        <v>18.9935418775532</v>
      </c>
      <c r="K390" s="732" t="n">
        <f aca="false">AVERAGE($E$216:E390)</f>
        <v>5.8660400302261</v>
      </c>
      <c r="L390" s="819" t="n">
        <f aca="false">L389+1</f>
        <v>175</v>
      </c>
      <c r="M390" s="820" t="n">
        <f aca="false">IF(B390&lt;$E$104,$E$105,$E$106)</f>
        <v>3</v>
      </c>
      <c r="N390" s="821" t="n">
        <f aca="false">IF(B390&lt;$E$104,$E$105,$E$111)</f>
        <v>2.5</v>
      </c>
      <c r="O390" s="822" t="n">
        <f aca="false">E390*$E$205*N390</f>
        <v>89.0822174257422</v>
      </c>
      <c r="P390" s="823" t="n">
        <f aca="false">P389+O390</f>
        <v>13282.2366480002</v>
      </c>
      <c r="Q390" s="606" t="n">
        <f aca="false">Q389+1</f>
        <v>175</v>
      </c>
      <c r="R390" s="824" t="n">
        <f aca="false">R389-1</f>
        <v>-175</v>
      </c>
      <c r="S390" s="5"/>
      <c r="T390" s="5"/>
      <c r="U390" s="5"/>
      <c r="V390" s="10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02"/>
      <c r="AU390" s="502"/>
      <c r="AV390" s="606"/>
      <c r="AW390" s="502"/>
      <c r="AX390" s="502"/>
      <c r="AY390" s="502"/>
      <c r="AZ390" s="502"/>
      <c r="BA390" s="502"/>
      <c r="BB390" s="502"/>
      <c r="BC390" s="502"/>
      <c r="BD390" s="502"/>
      <c r="BE390" s="502"/>
      <c r="BF390" s="502"/>
      <c r="BG390" s="502"/>
      <c r="BH390" s="502"/>
      <c r="BI390" s="502"/>
      <c r="BJ390" s="502"/>
      <c r="BK390" s="502"/>
      <c r="BL390" s="502"/>
      <c r="BM390" s="502"/>
      <c r="BN390" s="502"/>
      <c r="BO390" s="502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</row>
    <row r="391" s="504" customFormat="true" ht="12.75" hidden="true" customHeight="true" outlineLevel="0" collapsed="false">
      <c r="A391" s="5"/>
      <c r="B391" s="813" t="n">
        <f aca="false">B390+1</f>
        <v>176</v>
      </c>
      <c r="C391" s="814" t="n">
        <f aca="false">C390+D391</f>
        <v>15983.7235980596</v>
      </c>
      <c r="D391" s="815" t="n">
        <f aca="false">E391*$E$205*M391</f>
        <v>107.056340910891</v>
      </c>
      <c r="E391" s="601" t="n">
        <f aca="false">E390+$C$204</f>
        <v>6.78946860165465</v>
      </c>
      <c r="F391" s="816" t="n">
        <f aca="false">F390+1</f>
        <v>176</v>
      </c>
      <c r="G391" s="775" t="n">
        <f aca="false">C391</f>
        <v>15983.7235980596</v>
      </c>
      <c r="H391" s="817" t="n">
        <f aca="false">1000*(E391-E390)</f>
        <v>9.99999999999979</v>
      </c>
      <c r="I391" s="5"/>
      <c r="J391" s="818" t="n">
        <f aca="false">1000*(E391-$E$215)/(B391-$B$215)</f>
        <v>18.9424422077944</v>
      </c>
      <c r="K391" s="732" t="n">
        <f aca="false">AVERAGE($E$216:E391)</f>
        <v>5.87128678347285</v>
      </c>
      <c r="L391" s="819" t="n">
        <f aca="false">L390+1</f>
        <v>176</v>
      </c>
      <c r="M391" s="820" t="n">
        <f aca="false">IF(B391&lt;$E$104,$E$105,$E$106)</f>
        <v>3</v>
      </c>
      <c r="N391" s="821" t="n">
        <f aca="false">IF(B391&lt;$E$104,$E$105,$E$111)</f>
        <v>2.5</v>
      </c>
      <c r="O391" s="822" t="n">
        <f aca="false">E391*$E$205*N391</f>
        <v>89.2136174257421</v>
      </c>
      <c r="P391" s="823" t="n">
        <f aca="false">P390+O391</f>
        <v>13371.4502654259</v>
      </c>
      <c r="Q391" s="606" t="n">
        <f aca="false">Q390+1</f>
        <v>176</v>
      </c>
      <c r="R391" s="824" t="n">
        <f aca="false">R390-1</f>
        <v>-176</v>
      </c>
      <c r="S391" s="5"/>
      <c r="T391" s="5"/>
      <c r="U391" s="5"/>
      <c r="V391" s="10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02"/>
      <c r="AU391" s="502"/>
      <c r="AV391" s="606"/>
      <c r="AW391" s="502"/>
      <c r="AX391" s="502"/>
      <c r="AY391" s="502"/>
      <c r="AZ391" s="502"/>
      <c r="BA391" s="502"/>
      <c r="BB391" s="502"/>
      <c r="BC391" s="502"/>
      <c r="BD391" s="502"/>
      <c r="BE391" s="502"/>
      <c r="BF391" s="502"/>
      <c r="BG391" s="502"/>
      <c r="BH391" s="502"/>
      <c r="BI391" s="502"/>
      <c r="BJ391" s="502"/>
      <c r="BK391" s="502"/>
      <c r="BL391" s="502"/>
      <c r="BM391" s="502"/>
      <c r="BN391" s="502"/>
      <c r="BO391" s="502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</row>
    <row r="392" s="504" customFormat="true" ht="12.75" hidden="true" customHeight="true" outlineLevel="0" collapsed="false">
      <c r="A392" s="5"/>
      <c r="B392" s="813" t="n">
        <f aca="false">B391+1</f>
        <v>177</v>
      </c>
      <c r="C392" s="814" t="n">
        <f aca="false">C391+D392</f>
        <v>16090.9376189705</v>
      </c>
      <c r="D392" s="815" t="n">
        <f aca="false">E392*$E$205*M392</f>
        <v>107.214020910891</v>
      </c>
      <c r="E392" s="601" t="n">
        <f aca="false">E391+$C$204</f>
        <v>6.79946860165465</v>
      </c>
      <c r="F392" s="816" t="n">
        <f aca="false">F391+1</f>
        <v>177</v>
      </c>
      <c r="G392" s="775" t="n">
        <f aca="false">C392</f>
        <v>16090.9376189705</v>
      </c>
      <c r="H392" s="817" t="n">
        <f aca="false">1000*(E392-E391)</f>
        <v>9.99999999999979</v>
      </c>
      <c r="I392" s="5"/>
      <c r="J392" s="818" t="n">
        <f aca="false">1000*(E392-$E$215)/(B392-$B$215)</f>
        <v>18.8919199354339</v>
      </c>
      <c r="K392" s="732" t="n">
        <f aca="false">AVERAGE($E$216:E392)</f>
        <v>5.87653074854733</v>
      </c>
      <c r="L392" s="819" t="n">
        <f aca="false">L391+1</f>
        <v>177</v>
      </c>
      <c r="M392" s="820" t="n">
        <f aca="false">IF(B392&lt;$E$104,$E$105,$E$106)</f>
        <v>3</v>
      </c>
      <c r="N392" s="821" t="n">
        <f aca="false">IF(B392&lt;$E$104,$E$105,$E$111)</f>
        <v>2.5</v>
      </c>
      <c r="O392" s="822" t="n">
        <f aca="false">E392*$E$205*N392</f>
        <v>89.3450174257421</v>
      </c>
      <c r="P392" s="823" t="n">
        <f aca="false">P391+O392</f>
        <v>13460.7952828516</v>
      </c>
      <c r="Q392" s="606" t="n">
        <f aca="false">Q391+1</f>
        <v>177</v>
      </c>
      <c r="R392" s="824" t="n">
        <f aca="false">R391-1</f>
        <v>-177</v>
      </c>
      <c r="S392" s="5"/>
      <c r="T392" s="5"/>
      <c r="U392" s="5"/>
      <c r="V392" s="10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02"/>
      <c r="AU392" s="502"/>
      <c r="AV392" s="606"/>
      <c r="AW392" s="502"/>
      <c r="AX392" s="502"/>
      <c r="AY392" s="502"/>
      <c r="AZ392" s="502"/>
      <c r="BA392" s="502"/>
      <c r="BB392" s="502"/>
      <c r="BC392" s="502"/>
      <c r="BD392" s="502"/>
      <c r="BE392" s="502"/>
      <c r="BF392" s="502"/>
      <c r="BG392" s="502"/>
      <c r="BH392" s="502"/>
      <c r="BI392" s="502"/>
      <c r="BJ392" s="502"/>
      <c r="BK392" s="502"/>
      <c r="BL392" s="502"/>
      <c r="BM392" s="502"/>
      <c r="BN392" s="502"/>
      <c r="BO392" s="502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</row>
    <row r="393" s="504" customFormat="true" ht="12.75" hidden="true" customHeight="true" outlineLevel="0" collapsed="false">
      <c r="A393" s="5"/>
      <c r="B393" s="813" t="n">
        <f aca="false">B392+1</f>
        <v>178</v>
      </c>
      <c r="C393" s="814" t="n">
        <f aca="false">C392+D393</f>
        <v>16198.3093198814</v>
      </c>
      <c r="D393" s="815" t="n">
        <f aca="false">E393*$E$205*M393</f>
        <v>107.371700910891</v>
      </c>
      <c r="E393" s="601" t="n">
        <f aca="false">E392+$C$204</f>
        <v>6.80946860165465</v>
      </c>
      <c r="F393" s="816" t="n">
        <f aca="false">F392+1</f>
        <v>178</v>
      </c>
      <c r="G393" s="775" t="n">
        <f aca="false">C393</f>
        <v>16198.3093198814</v>
      </c>
      <c r="H393" s="817" t="n">
        <f aca="false">1000*(E393-E392)</f>
        <v>9.99999999999979</v>
      </c>
      <c r="I393" s="5"/>
      <c r="J393" s="818" t="n">
        <f aca="false">1000*(E393-$E$215)/(B393-$B$215)</f>
        <v>18.8419653290551</v>
      </c>
      <c r="K393" s="732" t="n">
        <f aca="false">AVERAGE($E$216:E393)</f>
        <v>5.88177197244119</v>
      </c>
      <c r="L393" s="819" t="n">
        <f aca="false">L392+1</f>
        <v>178</v>
      </c>
      <c r="M393" s="820" t="n">
        <f aca="false">IF(B393&lt;$E$104,$E$105,$E$106)</f>
        <v>3</v>
      </c>
      <c r="N393" s="821" t="n">
        <f aca="false">IF(B393&lt;$E$104,$E$105,$E$111)</f>
        <v>2.5</v>
      </c>
      <c r="O393" s="822" t="n">
        <f aca="false">E393*$E$205*N393</f>
        <v>89.4764174257421</v>
      </c>
      <c r="P393" s="823" t="n">
        <f aca="false">P392+O393</f>
        <v>13550.2717002774</v>
      </c>
      <c r="Q393" s="606" t="n">
        <f aca="false">Q392+1</f>
        <v>178</v>
      </c>
      <c r="R393" s="824" t="n">
        <f aca="false">R392-1</f>
        <v>-178</v>
      </c>
      <c r="S393" s="5"/>
      <c r="T393" s="5"/>
      <c r="U393" s="5"/>
      <c r="V393" s="10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02"/>
      <c r="AU393" s="502"/>
      <c r="AV393" s="606"/>
      <c r="AW393" s="502"/>
      <c r="AX393" s="502"/>
      <c r="AY393" s="502"/>
      <c r="AZ393" s="502"/>
      <c r="BA393" s="502"/>
      <c r="BB393" s="502"/>
      <c r="BC393" s="502"/>
      <c r="BD393" s="502"/>
      <c r="BE393" s="502"/>
      <c r="BF393" s="502"/>
      <c r="BG393" s="502"/>
      <c r="BH393" s="502"/>
      <c r="BI393" s="502"/>
      <c r="BJ393" s="502"/>
      <c r="BK393" s="502"/>
      <c r="BL393" s="502"/>
      <c r="BM393" s="502"/>
      <c r="BN393" s="502"/>
      <c r="BO393" s="502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</row>
    <row r="394" s="504" customFormat="true" ht="12.75" hidden="true" customHeight="true" outlineLevel="0" collapsed="false">
      <c r="A394" s="5"/>
      <c r="B394" s="813" t="n">
        <f aca="false">B393+1</f>
        <v>179</v>
      </c>
      <c r="C394" s="814" t="n">
        <f aca="false">C393+D394</f>
        <v>16305.8387007923</v>
      </c>
      <c r="D394" s="815" t="n">
        <f aca="false">E394*$E$205*M394</f>
        <v>107.529380910891</v>
      </c>
      <c r="E394" s="601" t="n">
        <f aca="false">E393+$C$204</f>
        <v>6.81946860165465</v>
      </c>
      <c r="F394" s="816" t="n">
        <f aca="false">F393+1</f>
        <v>179</v>
      </c>
      <c r="G394" s="775" t="n">
        <f aca="false">C394</f>
        <v>16305.8387007923</v>
      </c>
      <c r="H394" s="817" t="n">
        <f aca="false">1000*(E394-E393)</f>
        <v>9.99999999999979</v>
      </c>
      <c r="I394" s="5"/>
      <c r="J394" s="818" t="n">
        <f aca="false">1000*(E394-$E$215)/(B394-$B$215)</f>
        <v>18.7925688747028</v>
      </c>
      <c r="K394" s="732" t="n">
        <f aca="false">AVERAGE($E$216:E394)</f>
        <v>5.88701050109601</v>
      </c>
      <c r="L394" s="819" t="n">
        <f aca="false">L393+1</f>
        <v>179</v>
      </c>
      <c r="M394" s="820" t="n">
        <f aca="false">IF(B394&lt;$E$104,$E$105,$E$106)</f>
        <v>3</v>
      </c>
      <c r="N394" s="821" t="n">
        <f aca="false">IF(B394&lt;$E$104,$E$105,$E$111)</f>
        <v>2.5</v>
      </c>
      <c r="O394" s="822" t="n">
        <f aca="false">E394*$E$205*N394</f>
        <v>89.6078174257421</v>
      </c>
      <c r="P394" s="823" t="n">
        <f aca="false">P393+O394</f>
        <v>13639.8795177031</v>
      </c>
      <c r="Q394" s="606" t="n">
        <f aca="false">Q393+1</f>
        <v>179</v>
      </c>
      <c r="R394" s="824" t="n">
        <f aca="false">R393-1</f>
        <v>-179</v>
      </c>
      <c r="S394" s="5"/>
      <c r="T394" s="5"/>
      <c r="U394" s="5"/>
      <c r="V394" s="10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02"/>
      <c r="AU394" s="502"/>
      <c r="AV394" s="606"/>
      <c r="AW394" s="502"/>
      <c r="AX394" s="502"/>
      <c r="AY394" s="502"/>
      <c r="AZ394" s="502"/>
      <c r="BA394" s="502"/>
      <c r="BB394" s="502"/>
      <c r="BC394" s="502"/>
      <c r="BD394" s="502"/>
      <c r="BE394" s="502"/>
      <c r="BF394" s="502"/>
      <c r="BG394" s="502"/>
      <c r="BH394" s="502"/>
      <c r="BI394" s="502"/>
      <c r="BJ394" s="502"/>
      <c r="BK394" s="502"/>
      <c r="BL394" s="502"/>
      <c r="BM394" s="502"/>
      <c r="BN394" s="502"/>
      <c r="BO394" s="502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</row>
    <row r="395" s="504" customFormat="true" ht="12.75" hidden="true" customHeight="true" outlineLevel="0" collapsed="false">
      <c r="A395" s="5"/>
      <c r="B395" s="813" t="n">
        <f aca="false">B394+1</f>
        <v>180</v>
      </c>
      <c r="C395" s="814" t="n">
        <f aca="false">C394+D395</f>
        <v>16413.5257617032</v>
      </c>
      <c r="D395" s="815" t="n">
        <f aca="false">E395*$E$205*M395</f>
        <v>107.687060910891</v>
      </c>
      <c r="E395" s="601" t="n">
        <f aca="false">E394+$C$204</f>
        <v>6.82946860165465</v>
      </c>
      <c r="F395" s="816" t="n">
        <f aca="false">F394+1</f>
        <v>180</v>
      </c>
      <c r="G395" s="775" t="n">
        <f aca="false">C395</f>
        <v>16413.5257617032</v>
      </c>
      <c r="H395" s="817" t="n">
        <f aca="false">1000*(E395-E394)</f>
        <v>9.99999999999979</v>
      </c>
      <c r="I395" s="5"/>
      <c r="J395" s="818" t="n">
        <f aca="false">1000*(E395-$E$215)/(B395-$B$215)</f>
        <v>18.7437212698434</v>
      </c>
      <c r="K395" s="732" t="n">
        <f aca="false">AVERAGE($E$216:E395)</f>
        <v>5.89224637943245</v>
      </c>
      <c r="L395" s="819" t="n">
        <f aca="false">L394+1</f>
        <v>180</v>
      </c>
      <c r="M395" s="820" t="n">
        <f aca="false">IF(B395&lt;$E$104,$E$105,$E$106)</f>
        <v>3</v>
      </c>
      <c r="N395" s="821" t="n">
        <f aca="false">IF(B395&lt;$E$104,$E$105,$E$111)</f>
        <v>2.5</v>
      </c>
      <c r="O395" s="822" t="n">
        <f aca="false">E395*$E$205*N395</f>
        <v>89.7392174257421</v>
      </c>
      <c r="P395" s="823" t="n">
        <f aca="false">P394+O395</f>
        <v>13729.6187351289</v>
      </c>
      <c r="Q395" s="606" t="n">
        <f aca="false">Q394+1</f>
        <v>180</v>
      </c>
      <c r="R395" s="824" t="n">
        <f aca="false">R394-1</f>
        <v>-180</v>
      </c>
      <c r="S395" s="5"/>
      <c r="T395" s="5"/>
      <c r="U395" s="5"/>
      <c r="V395" s="10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02"/>
      <c r="AU395" s="502"/>
      <c r="AV395" s="606"/>
      <c r="AW395" s="502"/>
      <c r="AX395" s="502"/>
      <c r="AY395" s="502"/>
      <c r="AZ395" s="502"/>
      <c r="BA395" s="502"/>
      <c r="BB395" s="502"/>
      <c r="BC395" s="502"/>
      <c r="BD395" s="502"/>
      <c r="BE395" s="502"/>
      <c r="BF395" s="502"/>
      <c r="BG395" s="502"/>
      <c r="BH395" s="502"/>
      <c r="BI395" s="502"/>
      <c r="BJ395" s="502"/>
      <c r="BK395" s="502"/>
      <c r="BL395" s="502"/>
      <c r="BM395" s="502"/>
      <c r="BN395" s="502"/>
      <c r="BO395" s="502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</row>
    <row r="396" s="504" customFormat="true" ht="12.75" hidden="true" customHeight="true" outlineLevel="0" collapsed="false">
      <c r="A396" s="5"/>
      <c r="B396" s="813" t="n">
        <f aca="false">B395+1</f>
        <v>181</v>
      </c>
      <c r="C396" s="814" t="n">
        <f aca="false">C395+D396</f>
        <v>16521.3705026141</v>
      </c>
      <c r="D396" s="815" t="n">
        <f aca="false">E396*$E$205*M396</f>
        <v>107.844740910891</v>
      </c>
      <c r="E396" s="601" t="n">
        <f aca="false">E395+$C$204</f>
        <v>6.83946860165465</v>
      </c>
      <c r="F396" s="816" t="n">
        <f aca="false">F395+1</f>
        <v>181</v>
      </c>
      <c r="G396" s="775" t="n">
        <f aca="false">C396</f>
        <v>16521.3705026141</v>
      </c>
      <c r="H396" s="817" t="n">
        <f aca="false">1000*(E396-E395)</f>
        <v>9.99999999999979</v>
      </c>
      <c r="I396" s="5"/>
      <c r="J396" s="818" t="n">
        <f aca="false">1000*(E396-$E$215)/(B396-$B$215)</f>
        <v>18.6954134175238</v>
      </c>
      <c r="K396" s="732" t="n">
        <f aca="false">AVERAGE($E$216:E396)</f>
        <v>5.89747965137843</v>
      </c>
      <c r="L396" s="819" t="n">
        <f aca="false">L395+1</f>
        <v>181</v>
      </c>
      <c r="M396" s="820" t="n">
        <f aca="false">IF(B396&lt;$E$104,$E$105,$E$106)</f>
        <v>3</v>
      </c>
      <c r="N396" s="821" t="n">
        <f aca="false">IF(B396&lt;$E$104,$E$105,$E$111)</f>
        <v>2.5</v>
      </c>
      <c r="O396" s="822" t="n">
        <f aca="false">E396*$E$205*N396</f>
        <v>89.8706174257421</v>
      </c>
      <c r="P396" s="823" t="n">
        <f aca="false">P395+O396</f>
        <v>13819.4893525546</v>
      </c>
      <c r="Q396" s="606" t="n">
        <f aca="false">Q395+1</f>
        <v>181</v>
      </c>
      <c r="R396" s="824" t="n">
        <f aca="false">R395-1</f>
        <v>-181</v>
      </c>
      <c r="S396" s="5"/>
      <c r="T396" s="5"/>
      <c r="U396" s="5"/>
      <c r="V396" s="10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02"/>
      <c r="AU396" s="502"/>
      <c r="AV396" s="606"/>
      <c r="AW396" s="502"/>
      <c r="AX396" s="502"/>
      <c r="AY396" s="502"/>
      <c r="AZ396" s="502"/>
      <c r="BA396" s="502"/>
      <c r="BB396" s="502"/>
      <c r="BC396" s="502"/>
      <c r="BD396" s="502"/>
      <c r="BE396" s="502"/>
      <c r="BF396" s="502"/>
      <c r="BG396" s="502"/>
      <c r="BH396" s="502"/>
      <c r="BI396" s="502"/>
      <c r="BJ396" s="502"/>
      <c r="BK396" s="502"/>
      <c r="BL396" s="502"/>
      <c r="BM396" s="502"/>
      <c r="BN396" s="502"/>
      <c r="BO396" s="502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</row>
    <row r="397" s="504" customFormat="true" ht="12.75" hidden="true" customHeight="true" outlineLevel="0" collapsed="false">
      <c r="A397" s="5"/>
      <c r="B397" s="813" t="n">
        <f aca="false">B396+1</f>
        <v>182</v>
      </c>
      <c r="C397" s="814" t="n">
        <f aca="false">C396+D397</f>
        <v>16629.372923525</v>
      </c>
      <c r="D397" s="815" t="n">
        <f aca="false">E397*$E$205*M397</f>
        <v>108.002420910891</v>
      </c>
      <c r="E397" s="601" t="n">
        <f aca="false">E396+$C$204</f>
        <v>6.84946860165465</v>
      </c>
      <c r="F397" s="816" t="n">
        <f aca="false">F396+1</f>
        <v>182</v>
      </c>
      <c r="G397" s="775" t="n">
        <f aca="false">C397</f>
        <v>16629.372923525</v>
      </c>
      <c r="H397" s="817" t="n">
        <f aca="false">1000*(E397-E396)</f>
        <v>9.99999999999979</v>
      </c>
      <c r="I397" s="5"/>
      <c r="J397" s="818" t="n">
        <f aca="false">1000*(E397-$E$215)/(B397-$B$215)</f>
        <v>18.6476364207242</v>
      </c>
      <c r="K397" s="732" t="n">
        <f aca="false">AVERAGE($E$216:E397)</f>
        <v>5.90271035989643</v>
      </c>
      <c r="L397" s="819" t="n">
        <f aca="false">L396+1</f>
        <v>182</v>
      </c>
      <c r="M397" s="820" t="n">
        <f aca="false">IF(B397&lt;$E$104,$E$105,$E$106)</f>
        <v>3</v>
      </c>
      <c r="N397" s="821" t="n">
        <f aca="false">IF(B397&lt;$E$104,$E$105,$E$111)</f>
        <v>2.5</v>
      </c>
      <c r="O397" s="822" t="n">
        <f aca="false">E397*$E$205*N397</f>
        <v>90.0020174257421</v>
      </c>
      <c r="P397" s="823" t="n">
        <f aca="false">P396+O397</f>
        <v>13909.4913699803</v>
      </c>
      <c r="Q397" s="606" t="n">
        <f aca="false">Q396+1</f>
        <v>182</v>
      </c>
      <c r="R397" s="824" t="n">
        <f aca="false">R396-1</f>
        <v>-182</v>
      </c>
      <c r="S397" s="5"/>
      <c r="T397" s="5"/>
      <c r="U397" s="5"/>
      <c r="V397" s="10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02"/>
      <c r="AU397" s="502"/>
      <c r="AV397" s="606"/>
      <c r="AW397" s="502"/>
      <c r="AX397" s="502"/>
      <c r="AY397" s="502"/>
      <c r="AZ397" s="502"/>
      <c r="BA397" s="502"/>
      <c r="BB397" s="502"/>
      <c r="BC397" s="502"/>
      <c r="BD397" s="502"/>
      <c r="BE397" s="502"/>
      <c r="BF397" s="502"/>
      <c r="BG397" s="502"/>
      <c r="BH397" s="502"/>
      <c r="BI397" s="502"/>
      <c r="BJ397" s="502"/>
      <c r="BK397" s="502"/>
      <c r="BL397" s="502"/>
      <c r="BM397" s="502"/>
      <c r="BN397" s="502"/>
      <c r="BO397" s="502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</row>
    <row r="398" s="504" customFormat="true" ht="12.75" hidden="true" customHeight="true" outlineLevel="0" collapsed="false">
      <c r="A398" s="5"/>
      <c r="B398" s="813" t="n">
        <f aca="false">B397+1</f>
        <v>183</v>
      </c>
      <c r="C398" s="814" t="n">
        <f aca="false">C397+D398</f>
        <v>16737.5330244359</v>
      </c>
      <c r="D398" s="815" t="n">
        <f aca="false">E398*$E$205*M398</f>
        <v>108.160100910891</v>
      </c>
      <c r="E398" s="601" t="n">
        <f aca="false">E397+$C$204</f>
        <v>6.85946860165465</v>
      </c>
      <c r="F398" s="816" t="n">
        <f aca="false">F397+1</f>
        <v>183</v>
      </c>
      <c r="G398" s="775" t="n">
        <f aca="false">C398</f>
        <v>16737.5330244359</v>
      </c>
      <c r="H398" s="817" t="n">
        <f aca="false">1000*(E398-E397)</f>
        <v>9.99999999999979</v>
      </c>
      <c r="I398" s="5"/>
      <c r="J398" s="818" t="n">
        <f aca="false">1000*(E398-$E$215)/(B398-$B$215)</f>
        <v>18.6003815768951</v>
      </c>
      <c r="K398" s="732" t="n">
        <f aca="false">AVERAGE($E$216:E398)</f>
        <v>5.90793854700986</v>
      </c>
      <c r="L398" s="819" t="n">
        <f aca="false">L397+1</f>
        <v>183</v>
      </c>
      <c r="M398" s="820" t="n">
        <f aca="false">IF(B398&lt;$E$104,$E$105,$E$106)</f>
        <v>3</v>
      </c>
      <c r="N398" s="821" t="n">
        <f aca="false">IF(B398&lt;$E$104,$E$105,$E$111)</f>
        <v>2.5</v>
      </c>
      <c r="O398" s="822" t="n">
        <f aca="false">E398*$E$205*N398</f>
        <v>90.1334174257421</v>
      </c>
      <c r="P398" s="823" t="n">
        <f aca="false">P397+O398</f>
        <v>13999.6247874061</v>
      </c>
      <c r="Q398" s="606" t="n">
        <f aca="false">Q397+1</f>
        <v>183</v>
      </c>
      <c r="R398" s="824" t="n">
        <f aca="false">R397-1</f>
        <v>-183</v>
      </c>
      <c r="S398" s="5"/>
      <c r="T398" s="5"/>
      <c r="U398" s="5"/>
      <c r="V398" s="10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02"/>
      <c r="AU398" s="502"/>
      <c r="AV398" s="606"/>
      <c r="AW398" s="502"/>
      <c r="AX398" s="502"/>
      <c r="AY398" s="502"/>
      <c r="AZ398" s="502"/>
      <c r="BA398" s="502"/>
      <c r="BB398" s="502"/>
      <c r="BC398" s="502"/>
      <c r="BD398" s="502"/>
      <c r="BE398" s="502"/>
      <c r="BF398" s="502"/>
      <c r="BG398" s="502"/>
      <c r="BH398" s="502"/>
      <c r="BI398" s="502"/>
      <c r="BJ398" s="502"/>
      <c r="BK398" s="502"/>
      <c r="BL398" s="502"/>
      <c r="BM398" s="502"/>
      <c r="BN398" s="502"/>
      <c r="BO398" s="502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</row>
    <row r="399" s="504" customFormat="true" ht="12.75" hidden="true" customHeight="true" outlineLevel="0" collapsed="false">
      <c r="A399" s="5"/>
      <c r="B399" s="813" t="n">
        <f aca="false">B398+1</f>
        <v>184</v>
      </c>
      <c r="C399" s="814" t="n">
        <f aca="false">C398+D399</f>
        <v>16845.8508053468</v>
      </c>
      <c r="D399" s="815" t="n">
        <f aca="false">E399*$E$205*M399</f>
        <v>108.317780910891</v>
      </c>
      <c r="E399" s="601" t="n">
        <f aca="false">E398+$C$204</f>
        <v>6.86946860165465</v>
      </c>
      <c r="F399" s="816" t="n">
        <f aca="false">F398+1</f>
        <v>184</v>
      </c>
      <c r="G399" s="775" t="n">
        <f aca="false">C399</f>
        <v>16845.8508053468</v>
      </c>
      <c r="H399" s="817" t="n">
        <f aca="false">1000*(E399-E398)</f>
        <v>9.99999999999979</v>
      </c>
      <c r="I399" s="5"/>
      <c r="J399" s="818" t="n">
        <f aca="false">1000*(E399-$E$215)/(B399-$B$215)</f>
        <v>18.5536403726729</v>
      </c>
      <c r="K399" s="732" t="n">
        <f aca="false">AVERAGE($E$216:E399)</f>
        <v>5.91316425382859</v>
      </c>
      <c r="L399" s="819" t="n">
        <f aca="false">L398+1</f>
        <v>184</v>
      </c>
      <c r="M399" s="820" t="n">
        <f aca="false">IF(B399&lt;$E$104,$E$105,$E$106)</f>
        <v>3</v>
      </c>
      <c r="N399" s="821" t="n">
        <f aca="false">IF(B399&lt;$E$104,$E$105,$E$111)</f>
        <v>2.5</v>
      </c>
      <c r="O399" s="822" t="n">
        <f aca="false">E399*$E$205*N399</f>
        <v>90.2648174257421</v>
      </c>
      <c r="P399" s="823" t="n">
        <f aca="false">P398+O399</f>
        <v>14089.8896048318</v>
      </c>
      <c r="Q399" s="606" t="n">
        <f aca="false">Q398+1</f>
        <v>184</v>
      </c>
      <c r="R399" s="824" t="n">
        <f aca="false">R398-1</f>
        <v>-184</v>
      </c>
      <c r="S399" s="5"/>
      <c r="T399" s="5"/>
      <c r="U399" s="5"/>
      <c r="V399" s="10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02"/>
      <c r="AU399" s="502"/>
      <c r="AV399" s="606"/>
      <c r="AW399" s="502"/>
      <c r="AX399" s="502"/>
      <c r="AY399" s="502"/>
      <c r="AZ399" s="502"/>
      <c r="BA399" s="502"/>
      <c r="BB399" s="502"/>
      <c r="BC399" s="502"/>
      <c r="BD399" s="502"/>
      <c r="BE399" s="502"/>
      <c r="BF399" s="502"/>
      <c r="BG399" s="502"/>
      <c r="BH399" s="502"/>
      <c r="BI399" s="502"/>
      <c r="BJ399" s="502"/>
      <c r="BK399" s="502"/>
      <c r="BL399" s="502"/>
      <c r="BM399" s="502"/>
      <c r="BN399" s="502"/>
      <c r="BO399" s="502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</row>
    <row r="400" s="504" customFormat="true" ht="12.75" hidden="true" customHeight="true" outlineLevel="0" collapsed="false">
      <c r="A400" s="5"/>
      <c r="B400" s="813" t="n">
        <f aca="false">B399+1</f>
        <v>185</v>
      </c>
      <c r="C400" s="814" t="n">
        <f aca="false">C399+D400</f>
        <v>16954.3262662577</v>
      </c>
      <c r="D400" s="815" t="n">
        <f aca="false">E400*$E$205*M400</f>
        <v>108.475460910891</v>
      </c>
      <c r="E400" s="601" t="n">
        <f aca="false">E399+$C$204</f>
        <v>6.87946860165465</v>
      </c>
      <c r="F400" s="816" t="n">
        <f aca="false">F399+1</f>
        <v>185</v>
      </c>
      <c r="G400" s="775" t="n">
        <f aca="false">C400</f>
        <v>16954.3262662577</v>
      </c>
      <c r="H400" s="817" t="n">
        <f aca="false">1000*(E400-E399)</f>
        <v>9.99999999999979</v>
      </c>
      <c r="I400" s="5"/>
      <c r="J400" s="818" t="n">
        <f aca="false">1000*(E400-$E$215)/(B400-$B$215)</f>
        <v>18.5074044787665</v>
      </c>
      <c r="K400" s="732" t="n">
        <f aca="false">AVERAGE($E$216:E400)</f>
        <v>5.91838752057359</v>
      </c>
      <c r="L400" s="819" t="n">
        <f aca="false">L399+1</f>
        <v>185</v>
      </c>
      <c r="M400" s="820" t="n">
        <f aca="false">IF(B400&lt;$E$104,$E$105,$E$106)</f>
        <v>3</v>
      </c>
      <c r="N400" s="821" t="n">
        <f aca="false">IF(B400&lt;$E$104,$E$105,$E$111)</f>
        <v>2.5</v>
      </c>
      <c r="O400" s="822" t="n">
        <f aca="false">E400*$E$205*N400</f>
        <v>90.3962174257421</v>
      </c>
      <c r="P400" s="823" t="n">
        <f aca="false">P399+O400</f>
        <v>14180.2858222576</v>
      </c>
      <c r="Q400" s="606" t="n">
        <f aca="false">Q399+1</f>
        <v>185</v>
      </c>
      <c r="R400" s="824" t="n">
        <f aca="false">R399-1</f>
        <v>-185</v>
      </c>
      <c r="S400" s="5"/>
      <c r="T400" s="5"/>
      <c r="U400" s="5"/>
      <c r="V400" s="10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02"/>
      <c r="AU400" s="502"/>
      <c r="AV400" s="606"/>
      <c r="AW400" s="502"/>
      <c r="AX400" s="502"/>
      <c r="AY400" s="502"/>
      <c r="AZ400" s="502"/>
      <c r="BA400" s="502"/>
      <c r="BB400" s="502"/>
      <c r="BC400" s="502"/>
      <c r="BD400" s="502"/>
      <c r="BE400" s="502"/>
      <c r="BF400" s="502"/>
      <c r="BG400" s="502"/>
      <c r="BH400" s="502"/>
      <c r="BI400" s="502"/>
      <c r="BJ400" s="502"/>
      <c r="BK400" s="502"/>
      <c r="BL400" s="502"/>
      <c r="BM400" s="502"/>
      <c r="BN400" s="502"/>
      <c r="BO400" s="502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</row>
    <row r="401" s="504" customFormat="true" ht="12.75" hidden="true" customHeight="true" outlineLevel="0" collapsed="false">
      <c r="A401" s="5"/>
      <c r="B401" s="813" t="n">
        <f aca="false">B400+1</f>
        <v>186</v>
      </c>
      <c r="C401" s="814" t="n">
        <f aca="false">C400+D401</f>
        <v>17062.9594071685</v>
      </c>
      <c r="D401" s="815" t="n">
        <f aca="false">E401*$E$205*M401</f>
        <v>108.633140910891</v>
      </c>
      <c r="E401" s="601" t="n">
        <f aca="false">E400+$C$204</f>
        <v>6.88946860165465</v>
      </c>
      <c r="F401" s="816" t="n">
        <f aca="false">F400+1</f>
        <v>186</v>
      </c>
      <c r="G401" s="775" t="n">
        <f aca="false">C401</f>
        <v>17062.9594071685</v>
      </c>
      <c r="H401" s="817" t="n">
        <f aca="false">1000*(E401-E400)</f>
        <v>9.99999999999979</v>
      </c>
      <c r="I401" s="5"/>
      <c r="J401" s="818" t="n">
        <f aca="false">1000*(E401-$E$215)/(B401-$B$215)</f>
        <v>18.4616657450097</v>
      </c>
      <c r="K401" s="732" t="n">
        <f aca="false">AVERAGE($E$216:E401)</f>
        <v>5.92360838660091</v>
      </c>
      <c r="L401" s="819" t="n">
        <f aca="false">L400+1</f>
        <v>186</v>
      </c>
      <c r="M401" s="820" t="n">
        <f aca="false">IF(B401&lt;$E$104,$E$105,$E$106)</f>
        <v>3</v>
      </c>
      <c r="N401" s="821" t="n">
        <f aca="false">IF(B401&lt;$E$104,$E$105,$E$111)</f>
        <v>2.5</v>
      </c>
      <c r="O401" s="822" t="n">
        <f aca="false">E401*$E$205*N401</f>
        <v>90.5276174257421</v>
      </c>
      <c r="P401" s="823" t="n">
        <f aca="false">P400+O401</f>
        <v>14270.8134396833</v>
      </c>
      <c r="Q401" s="606" t="n">
        <f aca="false">Q400+1</f>
        <v>186</v>
      </c>
      <c r="R401" s="824" t="n">
        <f aca="false">R400-1</f>
        <v>-186</v>
      </c>
      <c r="S401" s="5"/>
      <c r="T401" s="5"/>
      <c r="U401" s="5"/>
      <c r="V401" s="10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02"/>
      <c r="AU401" s="502"/>
      <c r="AV401" s="606"/>
      <c r="AW401" s="502"/>
      <c r="AX401" s="502"/>
      <c r="AY401" s="502"/>
      <c r="AZ401" s="502"/>
      <c r="BA401" s="502"/>
      <c r="BB401" s="502"/>
      <c r="BC401" s="502"/>
      <c r="BD401" s="502"/>
      <c r="BE401" s="502"/>
      <c r="BF401" s="502"/>
      <c r="BG401" s="502"/>
      <c r="BH401" s="502"/>
      <c r="BI401" s="502"/>
      <c r="BJ401" s="502"/>
      <c r="BK401" s="502"/>
      <c r="BL401" s="502"/>
      <c r="BM401" s="502"/>
      <c r="BN401" s="502"/>
      <c r="BO401" s="502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</row>
    <row r="402" s="504" customFormat="true" ht="12.75" hidden="true" customHeight="true" outlineLevel="0" collapsed="false">
      <c r="A402" s="5"/>
      <c r="B402" s="813" t="n">
        <f aca="false">B401+1</f>
        <v>187</v>
      </c>
      <c r="C402" s="814" t="n">
        <f aca="false">C401+D402</f>
        <v>17171.7502280794</v>
      </c>
      <c r="D402" s="815" t="n">
        <f aca="false">E402*$E$205*M402</f>
        <v>108.790820910891</v>
      </c>
      <c r="E402" s="601" t="n">
        <f aca="false">E401+$C$204</f>
        <v>6.89946860165465</v>
      </c>
      <c r="F402" s="816" t="n">
        <f aca="false">F401+1</f>
        <v>187</v>
      </c>
      <c r="G402" s="775" t="n">
        <f aca="false">C402</f>
        <v>17171.7502280794</v>
      </c>
      <c r="H402" s="817" t="n">
        <f aca="false">1000*(E402-E401)</f>
        <v>9.99999999999979</v>
      </c>
      <c r="I402" s="5"/>
      <c r="J402" s="818" t="n">
        <f aca="false">1000*(E402-$E$215)/(B402-$B$215)</f>
        <v>18.4164161955711</v>
      </c>
      <c r="K402" s="732" t="n">
        <f aca="false">AVERAGE($E$216:E402)</f>
        <v>5.92882689042473</v>
      </c>
      <c r="L402" s="819" t="n">
        <f aca="false">L401+1</f>
        <v>187</v>
      </c>
      <c r="M402" s="820" t="n">
        <f aca="false">IF(B402&lt;$E$104,$E$105,$E$106)</f>
        <v>3</v>
      </c>
      <c r="N402" s="821" t="n">
        <f aca="false">IF(B402&lt;$E$104,$E$105,$E$111)</f>
        <v>2.5</v>
      </c>
      <c r="O402" s="822" t="n">
        <f aca="false">E402*$E$205*N402</f>
        <v>90.6590174257421</v>
      </c>
      <c r="P402" s="823" t="n">
        <f aca="false">P401+O402</f>
        <v>14361.4724571091</v>
      </c>
      <c r="Q402" s="606" t="n">
        <f aca="false">Q401+1</f>
        <v>187</v>
      </c>
      <c r="R402" s="824" t="n">
        <f aca="false">R401-1</f>
        <v>-187</v>
      </c>
      <c r="S402" s="5"/>
      <c r="T402" s="5"/>
      <c r="U402" s="5"/>
      <c r="V402" s="10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02"/>
      <c r="AU402" s="502"/>
      <c r="AV402" s="606"/>
      <c r="AW402" s="502"/>
      <c r="AX402" s="502"/>
      <c r="AY402" s="502"/>
      <c r="AZ402" s="502"/>
      <c r="BA402" s="502"/>
      <c r="BB402" s="502"/>
      <c r="BC402" s="502"/>
      <c r="BD402" s="502"/>
      <c r="BE402" s="502"/>
      <c r="BF402" s="502"/>
      <c r="BG402" s="502"/>
      <c r="BH402" s="502"/>
      <c r="BI402" s="502"/>
      <c r="BJ402" s="502"/>
      <c r="BK402" s="502"/>
      <c r="BL402" s="502"/>
      <c r="BM402" s="502"/>
      <c r="BN402" s="502"/>
      <c r="BO402" s="502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</row>
    <row r="403" s="504" customFormat="true" ht="12.75" hidden="true" customHeight="true" outlineLevel="0" collapsed="false">
      <c r="A403" s="5"/>
      <c r="B403" s="813" t="n">
        <f aca="false">B402+1</f>
        <v>188</v>
      </c>
      <c r="C403" s="814" t="n">
        <f aca="false">C402+D403</f>
        <v>17280.6987289903</v>
      </c>
      <c r="D403" s="815" t="n">
        <f aca="false">E403*$E$205*M403</f>
        <v>108.948500910891</v>
      </c>
      <c r="E403" s="601" t="n">
        <f aca="false">E402+$C$204</f>
        <v>6.90946860165465</v>
      </c>
      <c r="F403" s="816" t="n">
        <f aca="false">F402+1</f>
        <v>188</v>
      </c>
      <c r="G403" s="775" t="n">
        <f aca="false">C403</f>
        <v>17280.6987289903</v>
      </c>
      <c r="H403" s="817" t="n">
        <f aca="false">1000*(E403-E402)</f>
        <v>9.99999999999979</v>
      </c>
      <c r="I403" s="5"/>
      <c r="J403" s="818" t="n">
        <f aca="false">1000*(E403-$E$215)/(B403-$B$215)</f>
        <v>18.3716480243181</v>
      </c>
      <c r="K403" s="732" t="n">
        <f aca="false">AVERAGE($E$216:E403)</f>
        <v>5.93404306973978</v>
      </c>
      <c r="L403" s="819" t="n">
        <f aca="false">L402+1</f>
        <v>188</v>
      </c>
      <c r="M403" s="820" t="n">
        <f aca="false">IF(B403&lt;$E$104,$E$105,$E$106)</f>
        <v>3</v>
      </c>
      <c r="N403" s="821" t="n">
        <f aca="false">IF(B403&lt;$E$104,$E$105,$E$111)</f>
        <v>2.5</v>
      </c>
      <c r="O403" s="822" t="n">
        <f aca="false">E403*$E$205*N403</f>
        <v>90.7904174257421</v>
      </c>
      <c r="P403" s="823" t="n">
        <f aca="false">P402+O403</f>
        <v>14452.2628745348</v>
      </c>
      <c r="Q403" s="606" t="n">
        <f aca="false">Q402+1</f>
        <v>188</v>
      </c>
      <c r="R403" s="824" t="n">
        <f aca="false">R402-1</f>
        <v>-188</v>
      </c>
      <c r="S403" s="5"/>
      <c r="T403" s="5"/>
      <c r="U403" s="5"/>
      <c r="V403" s="10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02"/>
      <c r="AU403" s="502"/>
      <c r="AV403" s="606"/>
      <c r="AW403" s="502"/>
      <c r="AX403" s="502"/>
      <c r="AY403" s="502"/>
      <c r="AZ403" s="502"/>
      <c r="BA403" s="502"/>
      <c r="BB403" s="502"/>
      <c r="BC403" s="502"/>
      <c r="BD403" s="502"/>
      <c r="BE403" s="502"/>
      <c r="BF403" s="502"/>
      <c r="BG403" s="502"/>
      <c r="BH403" s="502"/>
      <c r="BI403" s="502"/>
      <c r="BJ403" s="502"/>
      <c r="BK403" s="502"/>
      <c r="BL403" s="502"/>
      <c r="BM403" s="502"/>
      <c r="BN403" s="502"/>
      <c r="BO403" s="502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</row>
    <row r="404" s="504" customFormat="true" ht="12.75" hidden="true" customHeight="true" outlineLevel="0" collapsed="false">
      <c r="A404" s="5"/>
      <c r="B404" s="813" t="n">
        <f aca="false">B403+1</f>
        <v>189</v>
      </c>
      <c r="C404" s="814" t="n">
        <f aca="false">C403+D404</f>
        <v>17389.8049099012</v>
      </c>
      <c r="D404" s="815" t="n">
        <f aca="false">E404*$E$205*M404</f>
        <v>109.106180910891</v>
      </c>
      <c r="E404" s="601" t="n">
        <f aca="false">E403+$C$204</f>
        <v>6.91946860165465</v>
      </c>
      <c r="F404" s="816" t="n">
        <f aca="false">F403+1</f>
        <v>189</v>
      </c>
      <c r="G404" s="775" t="n">
        <f aca="false">C404</f>
        <v>17389.8049099012</v>
      </c>
      <c r="H404" s="817" t="n">
        <f aca="false">1000*(E404-E403)</f>
        <v>9.99999999999979</v>
      </c>
      <c r="I404" s="5"/>
      <c r="J404" s="818" t="n">
        <f aca="false">1000*(E404-$E$215)/(B404-$B$215)</f>
        <v>18.327353590327</v>
      </c>
      <c r="K404" s="732" t="n">
        <f aca="false">AVERAGE($E$216:E404)</f>
        <v>5.93925696144303</v>
      </c>
      <c r="L404" s="819" t="n">
        <f aca="false">L403+1</f>
        <v>189</v>
      </c>
      <c r="M404" s="820" t="n">
        <f aca="false">IF(B404&lt;$E$104,$E$105,$E$106)</f>
        <v>3</v>
      </c>
      <c r="N404" s="821" t="n">
        <f aca="false">IF(B404&lt;$E$104,$E$105,$E$111)</f>
        <v>2.5</v>
      </c>
      <c r="O404" s="822" t="n">
        <f aca="false">E404*$E$205*N404</f>
        <v>90.9218174257421</v>
      </c>
      <c r="P404" s="823" t="n">
        <f aca="false">P403+O404</f>
        <v>14543.1846919605</v>
      </c>
      <c r="Q404" s="606" t="n">
        <f aca="false">Q403+1</f>
        <v>189</v>
      </c>
      <c r="R404" s="824" t="n">
        <f aca="false">R403-1</f>
        <v>-189</v>
      </c>
      <c r="S404" s="5"/>
      <c r="T404" s="5"/>
      <c r="U404" s="5"/>
      <c r="V404" s="10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02"/>
      <c r="AU404" s="502"/>
      <c r="AV404" s="606"/>
      <c r="AW404" s="502"/>
      <c r="AX404" s="502"/>
      <c r="AY404" s="502"/>
      <c r="AZ404" s="502"/>
      <c r="BA404" s="502"/>
      <c r="BB404" s="502"/>
      <c r="BC404" s="502"/>
      <c r="BD404" s="502"/>
      <c r="BE404" s="502"/>
      <c r="BF404" s="502"/>
      <c r="BG404" s="502"/>
      <c r="BH404" s="502"/>
      <c r="BI404" s="502"/>
      <c r="BJ404" s="502"/>
      <c r="BK404" s="502"/>
      <c r="BL404" s="502"/>
      <c r="BM404" s="502"/>
      <c r="BN404" s="502"/>
      <c r="BO404" s="502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</row>
    <row r="405" s="504" customFormat="true" ht="12.75" hidden="true" customHeight="true" outlineLevel="0" collapsed="false">
      <c r="A405" s="5"/>
      <c r="B405" s="813" t="n">
        <f aca="false">B404+1</f>
        <v>190</v>
      </c>
      <c r="C405" s="814" t="n">
        <f aca="false">C404+D405</f>
        <v>17499.0687708121</v>
      </c>
      <c r="D405" s="815" t="n">
        <f aca="false">E405*$E$205*M405</f>
        <v>109.263860910891</v>
      </c>
      <c r="E405" s="601" t="n">
        <f aca="false">E404+$C$204</f>
        <v>6.92946860165465</v>
      </c>
      <c r="F405" s="816" t="n">
        <f aca="false">F404+1</f>
        <v>190</v>
      </c>
      <c r="G405" s="775" t="n">
        <f aca="false">C405</f>
        <v>17499.0687708121</v>
      </c>
      <c r="H405" s="817" t="n">
        <f aca="false">1000*(E405-E404)</f>
        <v>9.99999999999979</v>
      </c>
      <c r="I405" s="5"/>
      <c r="J405" s="818" t="n">
        <f aca="false">1000*(E405-$E$215)/(B405-$B$215)</f>
        <v>18.2835254135358</v>
      </c>
      <c r="K405" s="732" t="n">
        <f aca="false">AVERAGE($E$216:E405)</f>
        <v>5.94446860165467</v>
      </c>
      <c r="L405" s="819" t="n">
        <f aca="false">L404+1</f>
        <v>190</v>
      </c>
      <c r="M405" s="820" t="n">
        <f aca="false">IF(B405&lt;$E$104,$E$105,$E$106)</f>
        <v>3</v>
      </c>
      <c r="N405" s="821" t="n">
        <f aca="false">IF(B405&lt;$E$104,$E$105,$E$111)</f>
        <v>2.5</v>
      </c>
      <c r="O405" s="822" t="n">
        <f aca="false">E405*$E$205*N405</f>
        <v>91.0532174257421</v>
      </c>
      <c r="P405" s="823" t="n">
        <f aca="false">P404+O405</f>
        <v>14634.2379093863</v>
      </c>
      <c r="Q405" s="606" t="n">
        <f aca="false">Q404+1</f>
        <v>190</v>
      </c>
      <c r="R405" s="824" t="n">
        <f aca="false">R404-1</f>
        <v>-190</v>
      </c>
      <c r="S405" s="5"/>
      <c r="T405" s="5"/>
      <c r="U405" s="5"/>
      <c r="V405" s="10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02"/>
      <c r="AU405" s="502"/>
      <c r="AV405" s="606"/>
      <c r="AW405" s="502"/>
      <c r="AX405" s="502"/>
      <c r="AY405" s="502"/>
      <c r="AZ405" s="502"/>
      <c r="BA405" s="502"/>
      <c r="BB405" s="502"/>
      <c r="BC405" s="502"/>
      <c r="BD405" s="502"/>
      <c r="BE405" s="502"/>
      <c r="BF405" s="502"/>
      <c r="BG405" s="502"/>
      <c r="BH405" s="502"/>
      <c r="BI405" s="502"/>
      <c r="BJ405" s="502"/>
      <c r="BK405" s="502"/>
      <c r="BL405" s="502"/>
      <c r="BM405" s="502"/>
      <c r="BN405" s="502"/>
      <c r="BO405" s="502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</row>
    <row r="406" s="504" customFormat="true" ht="12.75" hidden="true" customHeight="true" outlineLevel="0" collapsed="false">
      <c r="A406" s="5"/>
      <c r="B406" s="813" t="n">
        <f aca="false">B405+1</f>
        <v>191</v>
      </c>
      <c r="C406" s="814" t="n">
        <f aca="false">C405+D406</f>
        <v>17608.490311723</v>
      </c>
      <c r="D406" s="815" t="n">
        <f aca="false">E406*$E$205*M406</f>
        <v>109.421540910891</v>
      </c>
      <c r="E406" s="601" t="n">
        <f aca="false">E405+$C$204</f>
        <v>6.93946860165465</v>
      </c>
      <c r="F406" s="816" t="n">
        <f aca="false">F405+1</f>
        <v>191</v>
      </c>
      <c r="G406" s="775" t="n">
        <f aca="false">C406</f>
        <v>17608.490311723</v>
      </c>
      <c r="H406" s="817" t="n">
        <f aca="false">1000*(E406-E405)</f>
        <v>9.99999999999979</v>
      </c>
      <c r="I406" s="5"/>
      <c r="J406" s="818" t="n">
        <f aca="false">1000*(E406-$E$215)/(B406-$B$215)</f>
        <v>18.240156170533</v>
      </c>
      <c r="K406" s="732" t="n">
        <f aca="false">AVERAGE($E$216:E406)</f>
        <v>5.94967802573844</v>
      </c>
      <c r="L406" s="819" t="n">
        <f aca="false">L405+1</f>
        <v>191</v>
      </c>
      <c r="M406" s="820" t="n">
        <f aca="false">IF(B406&lt;$E$104,$E$105,$E$106)</f>
        <v>3</v>
      </c>
      <c r="N406" s="821" t="n">
        <f aca="false">IF(B406&lt;$E$104,$E$105,$E$111)</f>
        <v>2.5</v>
      </c>
      <c r="O406" s="822" t="n">
        <f aca="false">E406*$E$205*N406</f>
        <v>91.1846174257421</v>
      </c>
      <c r="P406" s="823" t="n">
        <f aca="false">P405+O406</f>
        <v>14725.422526812</v>
      </c>
      <c r="Q406" s="606" t="n">
        <f aca="false">Q405+1</f>
        <v>191</v>
      </c>
      <c r="R406" s="824" t="n">
        <f aca="false">R405-1</f>
        <v>-191</v>
      </c>
      <c r="S406" s="5"/>
      <c r="T406" s="5"/>
      <c r="U406" s="5"/>
      <c r="V406" s="10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02"/>
      <c r="AU406" s="502"/>
      <c r="AV406" s="606"/>
      <c r="AW406" s="502"/>
      <c r="AX406" s="502"/>
      <c r="AY406" s="502"/>
      <c r="AZ406" s="502"/>
      <c r="BA406" s="502"/>
      <c r="BB406" s="502"/>
      <c r="BC406" s="502"/>
      <c r="BD406" s="502"/>
      <c r="BE406" s="502"/>
      <c r="BF406" s="502"/>
      <c r="BG406" s="502"/>
      <c r="BH406" s="502"/>
      <c r="BI406" s="502"/>
      <c r="BJ406" s="502"/>
      <c r="BK406" s="502"/>
      <c r="BL406" s="502"/>
      <c r="BM406" s="502"/>
      <c r="BN406" s="502"/>
      <c r="BO406" s="502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</row>
    <row r="407" s="504" customFormat="true" ht="12.75" hidden="true" customHeight="true" outlineLevel="0" collapsed="false">
      <c r="A407" s="5"/>
      <c r="B407" s="813" t="n">
        <f aca="false">B406+1</f>
        <v>192</v>
      </c>
      <c r="C407" s="814" t="n">
        <f aca="false">C406+D407</f>
        <v>17718.0695326339</v>
      </c>
      <c r="D407" s="815" t="n">
        <f aca="false">E407*$E$205*M407</f>
        <v>109.579220910891</v>
      </c>
      <c r="E407" s="601" t="n">
        <f aca="false">E406+$C$204</f>
        <v>6.94946860165465</v>
      </c>
      <c r="F407" s="816" t="n">
        <f aca="false">F406+1</f>
        <v>192</v>
      </c>
      <c r="G407" s="775" t="n">
        <f aca="false">C407</f>
        <v>17718.0695326339</v>
      </c>
      <c r="H407" s="817" t="n">
        <f aca="false">1000*(E407-E406)</f>
        <v>9.99999999999979</v>
      </c>
      <c r="I407" s="5"/>
      <c r="J407" s="818" t="n">
        <f aca="false">1000*(E407-$E$215)/(B407-$B$215)</f>
        <v>18.1972386904781</v>
      </c>
      <c r="K407" s="732" t="n">
        <f aca="false">AVERAGE($E$216:E407)</f>
        <v>5.95488526832134</v>
      </c>
      <c r="L407" s="819" t="n">
        <f aca="false">L406+1</f>
        <v>192</v>
      </c>
      <c r="M407" s="820" t="n">
        <f aca="false">IF(B407&lt;$E$104,$E$105,$E$106)</f>
        <v>3</v>
      </c>
      <c r="N407" s="821" t="n">
        <f aca="false">IF(B407&lt;$E$104,$E$105,$E$111)</f>
        <v>2.5</v>
      </c>
      <c r="O407" s="822" t="n">
        <f aca="false">E407*$E$205*N407</f>
        <v>91.3160174257421</v>
      </c>
      <c r="P407" s="823" t="n">
        <f aca="false">P406+O407</f>
        <v>14816.7385442378</v>
      </c>
      <c r="Q407" s="606" t="n">
        <f aca="false">Q406+1</f>
        <v>192</v>
      </c>
      <c r="R407" s="824" t="n">
        <f aca="false">R406-1</f>
        <v>-192</v>
      </c>
      <c r="S407" s="5"/>
      <c r="T407" s="5"/>
      <c r="U407" s="5"/>
      <c r="V407" s="10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02"/>
      <c r="AU407" s="502"/>
      <c r="AV407" s="606"/>
      <c r="AW407" s="502"/>
      <c r="AX407" s="502"/>
      <c r="AY407" s="502"/>
      <c r="AZ407" s="502"/>
      <c r="BA407" s="502"/>
      <c r="BB407" s="502"/>
      <c r="BC407" s="502"/>
      <c r="BD407" s="502"/>
      <c r="BE407" s="502"/>
      <c r="BF407" s="502"/>
      <c r="BG407" s="502"/>
      <c r="BH407" s="502"/>
      <c r="BI407" s="502"/>
      <c r="BJ407" s="502"/>
      <c r="BK407" s="502"/>
      <c r="BL407" s="502"/>
      <c r="BM407" s="502"/>
      <c r="BN407" s="502"/>
      <c r="BO407" s="502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</row>
    <row r="408" s="504" customFormat="true" ht="12.75" hidden="true" customHeight="true" outlineLevel="0" collapsed="false">
      <c r="A408" s="5"/>
      <c r="B408" s="813" t="n">
        <f aca="false">B407+1</f>
        <v>193</v>
      </c>
      <c r="C408" s="814" t="n">
        <f aca="false">C407+D408</f>
        <v>17827.8064335448</v>
      </c>
      <c r="D408" s="815" t="n">
        <f aca="false">E408*$E$205*M408</f>
        <v>109.736900910891</v>
      </c>
      <c r="E408" s="601" t="n">
        <f aca="false">E407+$C$204</f>
        <v>6.95946860165465</v>
      </c>
      <c r="F408" s="816" t="n">
        <f aca="false">F407+1</f>
        <v>193</v>
      </c>
      <c r="G408" s="775" t="n">
        <f aca="false">C408</f>
        <v>17827.8064335448</v>
      </c>
      <c r="H408" s="817" t="n">
        <f aca="false">1000*(E408-E407)</f>
        <v>9.99999999999979</v>
      </c>
      <c r="I408" s="5"/>
      <c r="J408" s="818" t="n">
        <f aca="false">1000*(E408-$E$215)/(B408-$B$215)</f>
        <v>18.1547659511492</v>
      </c>
      <c r="K408" s="732" t="n">
        <f aca="false">AVERAGE($E$216:E408)</f>
        <v>5.9600903633127</v>
      </c>
      <c r="L408" s="819" t="n">
        <f aca="false">L407+1</f>
        <v>193</v>
      </c>
      <c r="M408" s="820" t="n">
        <f aca="false">IF(B408&lt;$E$104,$E$105,$E$106)</f>
        <v>3</v>
      </c>
      <c r="N408" s="821" t="n">
        <f aca="false">IF(B408&lt;$E$104,$E$105,$E$111)</f>
        <v>2.5</v>
      </c>
      <c r="O408" s="822" t="n">
        <f aca="false">E408*$E$205*N408</f>
        <v>91.4474174257421</v>
      </c>
      <c r="P408" s="823" t="n">
        <f aca="false">P407+O408</f>
        <v>14908.1859616635</v>
      </c>
      <c r="Q408" s="606" t="n">
        <f aca="false">Q407+1</f>
        <v>193</v>
      </c>
      <c r="R408" s="824" t="n">
        <f aca="false">R407-1</f>
        <v>-193</v>
      </c>
      <c r="S408" s="5"/>
      <c r="T408" s="5"/>
      <c r="U408" s="5"/>
      <c r="V408" s="10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02"/>
      <c r="AU408" s="502"/>
      <c r="AV408" s="606"/>
      <c r="AW408" s="502"/>
      <c r="AX408" s="502"/>
      <c r="AY408" s="502"/>
      <c r="AZ408" s="502"/>
      <c r="BA408" s="502"/>
      <c r="BB408" s="502"/>
      <c r="BC408" s="502"/>
      <c r="BD408" s="502"/>
      <c r="BE408" s="502"/>
      <c r="BF408" s="502"/>
      <c r="BG408" s="502"/>
      <c r="BH408" s="502"/>
      <c r="BI408" s="502"/>
      <c r="BJ408" s="502"/>
      <c r="BK408" s="502"/>
      <c r="BL408" s="502"/>
      <c r="BM408" s="502"/>
      <c r="BN408" s="502"/>
      <c r="BO408" s="502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</row>
    <row r="409" s="504" customFormat="true" ht="12.75" hidden="true" customHeight="true" outlineLevel="0" collapsed="false">
      <c r="A409" s="5"/>
      <c r="B409" s="813" t="n">
        <f aca="false">B408+1</f>
        <v>194</v>
      </c>
      <c r="C409" s="814" t="n">
        <f aca="false">C408+D409</f>
        <v>17937.7010144557</v>
      </c>
      <c r="D409" s="815" t="n">
        <f aca="false">E409*$E$205*M409</f>
        <v>109.894580910891</v>
      </c>
      <c r="E409" s="601" t="n">
        <f aca="false">E408+$C$204</f>
        <v>6.96946860165465</v>
      </c>
      <c r="F409" s="816" t="n">
        <f aca="false">F408+1</f>
        <v>194</v>
      </c>
      <c r="G409" s="775" t="n">
        <f aca="false">C409</f>
        <v>17937.7010144557</v>
      </c>
      <c r="H409" s="817" t="n">
        <f aca="false">1000*(E409-E408)</f>
        <v>9.99999999999979</v>
      </c>
      <c r="I409" s="5"/>
      <c r="J409" s="818" t="n">
        <f aca="false">1000*(E409-$E$215)/(B409-$B$215)</f>
        <v>18.1127310751124</v>
      </c>
      <c r="K409" s="732" t="n">
        <f aca="false">AVERAGE($E$216:E409)</f>
        <v>5.96529334392271</v>
      </c>
      <c r="L409" s="819" t="n">
        <f aca="false">L408+1</f>
        <v>194</v>
      </c>
      <c r="M409" s="820" t="n">
        <f aca="false">IF(B409&lt;$E$104,$E$105,$E$106)</f>
        <v>3</v>
      </c>
      <c r="N409" s="821" t="n">
        <f aca="false">IF(B409&lt;$E$104,$E$105,$E$111)</f>
        <v>2.5</v>
      </c>
      <c r="O409" s="822" t="n">
        <f aca="false">E409*$E$205*N409</f>
        <v>91.5788174257421</v>
      </c>
      <c r="P409" s="823" t="n">
        <f aca="false">P408+O409</f>
        <v>14999.7647790893</v>
      </c>
      <c r="Q409" s="606" t="n">
        <f aca="false">Q408+1</f>
        <v>194</v>
      </c>
      <c r="R409" s="824" t="n">
        <f aca="false">R408-1</f>
        <v>-194</v>
      </c>
      <c r="S409" s="5"/>
      <c r="T409" s="5"/>
      <c r="U409" s="5"/>
      <c r="V409" s="10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02"/>
      <c r="AU409" s="502"/>
      <c r="AV409" s="606"/>
      <c r="AW409" s="502"/>
      <c r="AX409" s="502"/>
      <c r="AY409" s="502"/>
      <c r="AZ409" s="502"/>
      <c r="BA409" s="502"/>
      <c r="BB409" s="502"/>
      <c r="BC409" s="502"/>
      <c r="BD409" s="502"/>
      <c r="BE409" s="502"/>
      <c r="BF409" s="502"/>
      <c r="BG409" s="502"/>
      <c r="BH409" s="502"/>
      <c r="BI409" s="502"/>
      <c r="BJ409" s="502"/>
      <c r="BK409" s="502"/>
      <c r="BL409" s="502"/>
      <c r="BM409" s="502"/>
      <c r="BN409" s="502"/>
      <c r="BO409" s="502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</row>
    <row r="410" s="504" customFormat="true" ht="12.75" hidden="true" customHeight="true" outlineLevel="0" collapsed="false">
      <c r="A410" s="5"/>
      <c r="B410" s="813" t="n">
        <f aca="false">B409+1</f>
        <v>195</v>
      </c>
      <c r="C410" s="814" t="n">
        <f aca="false">C409+D410</f>
        <v>18047.7532753666</v>
      </c>
      <c r="D410" s="815" t="n">
        <f aca="false">E410*$E$205*M410</f>
        <v>110.05226091089</v>
      </c>
      <c r="E410" s="601" t="n">
        <f aca="false">E409+$C$204</f>
        <v>6.97946860165465</v>
      </c>
      <c r="F410" s="816" t="n">
        <f aca="false">F409+1</f>
        <v>195</v>
      </c>
      <c r="G410" s="775" t="n">
        <f aca="false">C410</f>
        <v>18047.7532753666</v>
      </c>
      <c r="H410" s="817" t="n">
        <f aca="false">1000*(E410-E409)</f>
        <v>9.99999999999979</v>
      </c>
      <c r="I410" s="5"/>
      <c r="J410" s="818" t="n">
        <f aca="false">1000*(E410-$E$215)/(B410-$B$215)</f>
        <v>18.0711273260092</v>
      </c>
      <c r="K410" s="732" t="n">
        <f aca="false">AVERAGE($E$216:E410)</f>
        <v>5.97049424268031</v>
      </c>
      <c r="L410" s="819" t="n">
        <f aca="false">L409+1</f>
        <v>195</v>
      </c>
      <c r="M410" s="820" t="n">
        <f aca="false">IF(B410&lt;$E$104,$E$105,$E$106)</f>
        <v>3</v>
      </c>
      <c r="N410" s="821" t="n">
        <f aca="false">IF(B410&lt;$E$104,$E$105,$E$111)</f>
        <v>2.5</v>
      </c>
      <c r="O410" s="822" t="n">
        <f aca="false">E410*$E$205*N410</f>
        <v>91.7102174257421</v>
      </c>
      <c r="P410" s="823" t="n">
        <f aca="false">P409+O410</f>
        <v>15091.474996515</v>
      </c>
      <c r="Q410" s="606" t="n">
        <f aca="false">Q409+1</f>
        <v>195</v>
      </c>
      <c r="R410" s="824" t="n">
        <f aca="false">R409-1</f>
        <v>-195</v>
      </c>
      <c r="S410" s="5"/>
      <c r="T410" s="5"/>
      <c r="U410" s="5"/>
      <c r="V410" s="10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02"/>
      <c r="AU410" s="502"/>
      <c r="AV410" s="606"/>
      <c r="AW410" s="502"/>
      <c r="AX410" s="502"/>
      <c r="AY410" s="502"/>
      <c r="AZ410" s="502"/>
      <c r="BA410" s="502"/>
      <c r="BB410" s="502"/>
      <c r="BC410" s="502"/>
      <c r="BD410" s="502"/>
      <c r="BE410" s="502"/>
      <c r="BF410" s="502"/>
      <c r="BG410" s="502"/>
      <c r="BH410" s="502"/>
      <c r="BI410" s="502"/>
      <c r="BJ410" s="502"/>
      <c r="BK410" s="502"/>
      <c r="BL410" s="502"/>
      <c r="BM410" s="502"/>
      <c r="BN410" s="502"/>
      <c r="BO410" s="502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</row>
    <row r="411" s="504" customFormat="true" ht="12.75" hidden="true" customHeight="true" outlineLevel="0" collapsed="false">
      <c r="A411" s="5"/>
      <c r="B411" s="813" t="n">
        <f aca="false">B410+1</f>
        <v>196</v>
      </c>
      <c r="C411" s="814" t="n">
        <f aca="false">C410+D411</f>
        <v>18157.9632162775</v>
      </c>
      <c r="D411" s="815" t="n">
        <f aca="false">E411*$E$205*M411</f>
        <v>110.209940910891</v>
      </c>
      <c r="E411" s="601" t="n">
        <f aca="false">E410+$C$204</f>
        <v>6.98946860165465</v>
      </c>
      <c r="F411" s="816" t="n">
        <f aca="false">F410+1</f>
        <v>196</v>
      </c>
      <c r="G411" s="775" t="n">
        <f aca="false">C411</f>
        <v>18157.9632162775</v>
      </c>
      <c r="H411" s="817" t="n">
        <f aca="false">1000*(E411-E410)</f>
        <v>9.99999999999979</v>
      </c>
      <c r="I411" s="5"/>
      <c r="J411" s="818" t="n">
        <f aca="false">1000*(E411-$E$215)/(B411-$B$215)</f>
        <v>18.0299481049582</v>
      </c>
      <c r="K411" s="732" t="n">
        <f aca="false">AVERAGE($E$216:E411)</f>
        <v>5.97569309145059</v>
      </c>
      <c r="L411" s="819" t="n">
        <f aca="false">L410+1</f>
        <v>196</v>
      </c>
      <c r="M411" s="820" t="n">
        <f aca="false">IF(B411&lt;$E$104,$E$105,$E$106)</f>
        <v>3</v>
      </c>
      <c r="N411" s="821" t="n">
        <f aca="false">IF(B411&lt;$E$104,$E$105,$E$111)</f>
        <v>2.5</v>
      </c>
      <c r="O411" s="822" t="n">
        <f aca="false">E411*$E$205*N411</f>
        <v>91.8416174257421</v>
      </c>
      <c r="P411" s="823" t="n">
        <f aca="false">P410+O411</f>
        <v>15183.3166139407</v>
      </c>
      <c r="Q411" s="606" t="n">
        <f aca="false">Q410+1</f>
        <v>196</v>
      </c>
      <c r="R411" s="824" t="n">
        <f aca="false">R410-1</f>
        <v>-196</v>
      </c>
      <c r="S411" s="5"/>
      <c r="T411" s="5"/>
      <c r="U411" s="5"/>
      <c r="V411" s="10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02"/>
      <c r="AU411" s="502"/>
      <c r="AV411" s="606"/>
      <c r="AW411" s="502"/>
      <c r="AX411" s="502"/>
      <c r="AY411" s="502"/>
      <c r="AZ411" s="502"/>
      <c r="BA411" s="502"/>
      <c r="BB411" s="502"/>
      <c r="BC411" s="502"/>
      <c r="BD411" s="502"/>
      <c r="BE411" s="502"/>
      <c r="BF411" s="502"/>
      <c r="BG411" s="502"/>
      <c r="BH411" s="502"/>
      <c r="BI411" s="502"/>
      <c r="BJ411" s="502"/>
      <c r="BK411" s="502"/>
      <c r="BL411" s="502"/>
      <c r="BM411" s="502"/>
      <c r="BN411" s="502"/>
      <c r="BO411" s="502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</row>
    <row r="412" s="504" customFormat="true" ht="12.75" hidden="true" customHeight="true" outlineLevel="0" collapsed="false">
      <c r="A412" s="5"/>
      <c r="B412" s="813" t="n">
        <f aca="false">B411+1</f>
        <v>197</v>
      </c>
      <c r="C412" s="814" t="n">
        <f aca="false">C411+D412</f>
        <v>18268.3308371883</v>
      </c>
      <c r="D412" s="815" t="n">
        <f aca="false">E412*$E$205*M412</f>
        <v>110.367620910891</v>
      </c>
      <c r="E412" s="601" t="n">
        <f aca="false">E411+$C$204</f>
        <v>6.99946860165465</v>
      </c>
      <c r="F412" s="816" t="n">
        <f aca="false">F411+1</f>
        <v>197</v>
      </c>
      <c r="G412" s="775" t="n">
        <f aca="false">C412</f>
        <v>18268.3308371883</v>
      </c>
      <c r="H412" s="817" t="n">
        <f aca="false">1000*(E412-E411)</f>
        <v>9.99999999999979</v>
      </c>
      <c r="I412" s="5"/>
      <c r="J412" s="818" t="n">
        <f aca="false">1000*(E412-$E$215)/(B412-$B$215)</f>
        <v>17.989186947065</v>
      </c>
      <c r="K412" s="732" t="n">
        <f aca="false">AVERAGE($E$216:E412)</f>
        <v>5.98088992145163</v>
      </c>
      <c r="L412" s="819" t="n">
        <f aca="false">L411+1</f>
        <v>197</v>
      </c>
      <c r="M412" s="820" t="n">
        <f aca="false">IF(B412&lt;$E$104,$E$105,$E$106)</f>
        <v>3</v>
      </c>
      <c r="N412" s="821" t="n">
        <f aca="false">IF(B412&lt;$E$104,$E$105,$E$111)</f>
        <v>2.5</v>
      </c>
      <c r="O412" s="822" t="n">
        <f aca="false">E412*$E$205*N412</f>
        <v>91.9730174257421</v>
      </c>
      <c r="P412" s="823" t="n">
        <f aca="false">P411+O412</f>
        <v>15275.2896313665</v>
      </c>
      <c r="Q412" s="606" t="n">
        <f aca="false">Q411+1</f>
        <v>197</v>
      </c>
      <c r="R412" s="824" t="n">
        <f aca="false">R411-1</f>
        <v>-197</v>
      </c>
      <c r="S412" s="5"/>
      <c r="T412" s="5"/>
      <c r="U412" s="5"/>
      <c r="V412" s="10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02"/>
      <c r="AU412" s="502"/>
      <c r="AV412" s="606"/>
      <c r="AW412" s="502"/>
      <c r="AX412" s="502"/>
      <c r="AY412" s="502"/>
      <c r="AZ412" s="502"/>
      <c r="BA412" s="502"/>
      <c r="BB412" s="502"/>
      <c r="BC412" s="502"/>
      <c r="BD412" s="502"/>
      <c r="BE412" s="502"/>
      <c r="BF412" s="502"/>
      <c r="BG412" s="502"/>
      <c r="BH412" s="502"/>
      <c r="BI412" s="502"/>
      <c r="BJ412" s="502"/>
      <c r="BK412" s="502"/>
      <c r="BL412" s="502"/>
      <c r="BM412" s="502"/>
      <c r="BN412" s="502"/>
      <c r="BO412" s="502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</row>
    <row r="413" s="504" customFormat="true" ht="12.75" hidden="true" customHeight="true" outlineLevel="0" collapsed="false">
      <c r="A413" s="5"/>
      <c r="B413" s="813" t="n">
        <f aca="false">B412+1</f>
        <v>198</v>
      </c>
      <c r="C413" s="814" t="n">
        <f aca="false">C412+D413</f>
        <v>18378.8561380992</v>
      </c>
      <c r="D413" s="815" t="n">
        <f aca="false">E413*$E$205*M413</f>
        <v>110.525300910891</v>
      </c>
      <c r="E413" s="601" t="n">
        <f aca="false">E412+$C$204</f>
        <v>7.00946860165465</v>
      </c>
      <c r="F413" s="816" t="n">
        <f aca="false">F412+1</f>
        <v>198</v>
      </c>
      <c r="G413" s="775" t="n">
        <f aca="false">C413</f>
        <v>18378.8561380992</v>
      </c>
      <c r="H413" s="817" t="n">
        <f aca="false">1000*(E413-E412)</f>
        <v>9.99999999999979</v>
      </c>
      <c r="I413" s="5"/>
      <c r="J413" s="818" t="n">
        <f aca="false">1000*(E413-$E$215)/(B413-$B$215)</f>
        <v>17.9488375180394</v>
      </c>
      <c r="K413" s="732" t="n">
        <f aca="false">AVERAGE($E$216:E413)</f>
        <v>5.98608476327083</v>
      </c>
      <c r="L413" s="819" t="n">
        <f aca="false">L412+1</f>
        <v>198</v>
      </c>
      <c r="M413" s="820" t="n">
        <f aca="false">IF(B413&lt;$E$104,$E$105,$E$106)</f>
        <v>3</v>
      </c>
      <c r="N413" s="821" t="n">
        <f aca="false">IF(B413&lt;$E$104,$E$105,$E$111)</f>
        <v>2.5</v>
      </c>
      <c r="O413" s="822" t="n">
        <f aca="false">E413*$E$205*N413</f>
        <v>92.1044174257421</v>
      </c>
      <c r="P413" s="823" t="n">
        <f aca="false">P412+O413</f>
        <v>15367.3940487922</v>
      </c>
      <c r="Q413" s="606" t="n">
        <f aca="false">Q412+1</f>
        <v>198</v>
      </c>
      <c r="R413" s="824" t="n">
        <f aca="false">R412-1</f>
        <v>-198</v>
      </c>
      <c r="S413" s="5"/>
      <c r="T413" s="5"/>
      <c r="U413" s="5"/>
      <c r="V413" s="10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02"/>
      <c r="AU413" s="502"/>
      <c r="AV413" s="606"/>
      <c r="AW413" s="502"/>
      <c r="AX413" s="502"/>
      <c r="AY413" s="502"/>
      <c r="AZ413" s="502"/>
      <c r="BA413" s="502"/>
      <c r="BB413" s="502"/>
      <c r="BC413" s="502"/>
      <c r="BD413" s="502"/>
      <c r="BE413" s="502"/>
      <c r="BF413" s="502"/>
      <c r="BG413" s="502"/>
      <c r="BH413" s="502"/>
      <c r="BI413" s="502"/>
      <c r="BJ413" s="502"/>
      <c r="BK413" s="502"/>
      <c r="BL413" s="502"/>
      <c r="BM413" s="502"/>
      <c r="BN413" s="502"/>
      <c r="BO413" s="502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</row>
    <row r="414" s="504" customFormat="true" ht="12.75" hidden="true" customHeight="true" outlineLevel="0" collapsed="false">
      <c r="A414" s="5"/>
      <c r="B414" s="813" t="n">
        <f aca="false">B413+1</f>
        <v>199</v>
      </c>
      <c r="C414" s="814" t="n">
        <f aca="false">C413+D414</f>
        <v>18489.5391190101</v>
      </c>
      <c r="D414" s="815" t="n">
        <f aca="false">E414*$E$205*M414</f>
        <v>110.68298091089</v>
      </c>
      <c r="E414" s="601" t="n">
        <f aca="false">E413+$C$204</f>
        <v>7.01946860165465</v>
      </c>
      <c r="F414" s="816" t="n">
        <f aca="false">F413+1</f>
        <v>199</v>
      </c>
      <c r="G414" s="775" t="n">
        <f aca="false">C414</f>
        <v>18489.5391190101</v>
      </c>
      <c r="H414" s="817" t="n">
        <f aca="false">1000*(E414-E413)</f>
        <v>9.99999999999979</v>
      </c>
      <c r="I414" s="5"/>
      <c r="J414" s="818" t="n">
        <f aca="false">1000*(E414-$E$215)/(B414-$B$215)</f>
        <v>17.9088936109136</v>
      </c>
      <c r="K414" s="732" t="n">
        <f aca="false">AVERAGE($E$216:E414)</f>
        <v>5.9912776468808</v>
      </c>
      <c r="L414" s="819" t="n">
        <f aca="false">L413+1</f>
        <v>199</v>
      </c>
      <c r="M414" s="820" t="n">
        <f aca="false">IF(B414&lt;$E$104,$E$105,$E$106)</f>
        <v>3</v>
      </c>
      <c r="N414" s="821" t="n">
        <f aca="false">IF(B414&lt;$E$104,$E$105,$E$111)</f>
        <v>2.5</v>
      </c>
      <c r="O414" s="822" t="n">
        <f aca="false">E414*$E$205*N414</f>
        <v>92.2358174257421</v>
      </c>
      <c r="P414" s="823" t="n">
        <f aca="false">P413+O414</f>
        <v>15459.629866218</v>
      </c>
      <c r="Q414" s="606" t="n">
        <f aca="false">Q413+1</f>
        <v>199</v>
      </c>
      <c r="R414" s="824" t="n">
        <f aca="false">R413-1</f>
        <v>-199</v>
      </c>
      <c r="S414" s="5"/>
      <c r="T414" s="5"/>
      <c r="U414" s="5"/>
      <c r="V414" s="10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02"/>
      <c r="AU414" s="502"/>
      <c r="AV414" s="606"/>
      <c r="AW414" s="502"/>
      <c r="AX414" s="502"/>
      <c r="AY414" s="502"/>
      <c r="AZ414" s="502"/>
      <c r="BA414" s="502"/>
      <c r="BB414" s="502"/>
      <c r="BC414" s="502"/>
      <c r="BD414" s="502"/>
      <c r="BE414" s="502"/>
      <c r="BF414" s="502"/>
      <c r="BG414" s="502"/>
      <c r="BH414" s="502"/>
      <c r="BI414" s="502"/>
      <c r="BJ414" s="502"/>
      <c r="BK414" s="502"/>
      <c r="BL414" s="502"/>
      <c r="BM414" s="502"/>
      <c r="BN414" s="502"/>
      <c r="BO414" s="502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</row>
    <row r="415" s="504" customFormat="true" ht="12.75" hidden="true" customHeight="true" outlineLevel="0" collapsed="false">
      <c r="A415" s="5"/>
      <c r="B415" s="827" t="n">
        <f aca="false">B414+1</f>
        <v>200</v>
      </c>
      <c r="C415" s="768" t="n">
        <f aca="false">C414+D415</f>
        <v>18600.379779921</v>
      </c>
      <c r="D415" s="828" t="n">
        <f aca="false">E415*$E$205*M415</f>
        <v>110.84066091089</v>
      </c>
      <c r="E415" s="787" t="n">
        <f aca="false">E414+$C$204</f>
        <v>7.02946860165465</v>
      </c>
      <c r="F415" s="829" t="n">
        <f aca="false">F414+1</f>
        <v>200</v>
      </c>
      <c r="G415" s="830" t="n">
        <f aca="false">C415</f>
        <v>18600.379779921</v>
      </c>
      <c r="H415" s="831" t="n">
        <f aca="false">1000*(E415-E414)</f>
        <v>9.99999999999979</v>
      </c>
      <c r="I415" s="785"/>
      <c r="J415" s="832" t="n">
        <f aca="false">1000*(E415-$E$215)/(B415-$B$215)</f>
        <v>17.869349142859</v>
      </c>
      <c r="K415" s="787" t="n">
        <f aca="false">AVERAGE($E$216:E415)</f>
        <v>5.99646860165467</v>
      </c>
      <c r="L415" s="833" t="n">
        <f aca="false">L414+1</f>
        <v>200</v>
      </c>
      <c r="M415" s="834" t="n">
        <f aca="false">IF(B415&lt;$E$104,$E$105,$E$106)</f>
        <v>3</v>
      </c>
      <c r="N415" s="835" t="n">
        <f aca="false">IF(B415&lt;$E$104,$E$105,$E$111)</f>
        <v>2.5</v>
      </c>
      <c r="O415" s="836" t="n">
        <f aca="false">E415*$E$205*N415</f>
        <v>92.3672174257421</v>
      </c>
      <c r="P415" s="837" t="n">
        <f aca="false">P414+O415</f>
        <v>15551.9970836437</v>
      </c>
      <c r="Q415" s="742" t="n">
        <f aca="false">Q414+1</f>
        <v>200</v>
      </c>
      <c r="R415" s="838" t="n">
        <f aca="false">R414-1</f>
        <v>-200</v>
      </c>
      <c r="S415" s="5"/>
      <c r="T415" s="5"/>
      <c r="U415" s="5"/>
      <c r="V415" s="10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02"/>
      <c r="AU415" s="502"/>
      <c r="AV415" s="606"/>
      <c r="AW415" s="502"/>
      <c r="AX415" s="502"/>
      <c r="AY415" s="502"/>
      <c r="AZ415" s="502"/>
      <c r="BA415" s="502"/>
      <c r="BB415" s="502"/>
      <c r="BC415" s="502"/>
      <c r="BD415" s="502"/>
      <c r="BE415" s="502"/>
      <c r="BF415" s="502"/>
      <c r="BG415" s="502"/>
      <c r="BH415" s="502"/>
      <c r="BI415" s="502"/>
      <c r="BJ415" s="502"/>
      <c r="BK415" s="502"/>
      <c r="BL415" s="502"/>
      <c r="BM415" s="502"/>
      <c r="BN415" s="502"/>
      <c r="BO415" s="502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</row>
    <row r="416" s="504" customFormat="true" ht="12.75" hidden="true" customHeight="true" outlineLevel="0" collapsed="false">
      <c r="A416" s="5"/>
      <c r="B416" s="813" t="n">
        <f aca="false">B415+1</f>
        <v>201</v>
      </c>
      <c r="C416" s="814" t="n">
        <f aca="false">C415+D416</f>
        <v>18711.3781208319</v>
      </c>
      <c r="D416" s="815" t="n">
        <f aca="false">E416*$E$205*M416</f>
        <v>110.998340910891</v>
      </c>
      <c r="E416" s="601" t="n">
        <f aca="false">E415+$C$204</f>
        <v>7.03946860165465</v>
      </c>
      <c r="F416" s="816" t="n">
        <f aca="false">F415+1</f>
        <v>201</v>
      </c>
      <c r="G416" s="775" t="n">
        <f aca="false">C416</f>
        <v>18711.3781208319</v>
      </c>
      <c r="H416" s="817" t="n">
        <f aca="false">1000*(E416-E415)</f>
        <v>9.99999999999979</v>
      </c>
      <c r="I416" s="5"/>
      <c r="J416" s="818" t="n">
        <f aca="false">1000*(E416-$E$215)/(B416-$B$215)</f>
        <v>17.8301981520985</v>
      </c>
      <c r="K416" s="732" t="n">
        <f aca="false">AVERAGE($E$216:E416)</f>
        <v>6.00165765638104</v>
      </c>
      <c r="L416" s="819" t="n">
        <f aca="false">L415+1</f>
        <v>201</v>
      </c>
      <c r="M416" s="820" t="n">
        <f aca="false">IF(B416&lt;$E$104,$E$105,$E$106)</f>
        <v>3</v>
      </c>
      <c r="N416" s="821" t="n">
        <f aca="false">IF(B416&lt;$E$104,$E$105,$E$111)</f>
        <v>2.5</v>
      </c>
      <c r="O416" s="822" t="n">
        <f aca="false">E416*$E$205*N416</f>
        <v>92.4986174257421</v>
      </c>
      <c r="P416" s="823" t="n">
        <f aca="false">P415+O416</f>
        <v>15644.4957010694</v>
      </c>
      <c r="Q416" s="606" t="n">
        <f aca="false">Q415+1</f>
        <v>201</v>
      </c>
      <c r="R416" s="824" t="n">
        <f aca="false">R415-1</f>
        <v>-201</v>
      </c>
      <c r="S416" s="5"/>
      <c r="T416" s="5"/>
      <c r="U416" s="5"/>
      <c r="V416" s="10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02"/>
      <c r="AU416" s="502"/>
      <c r="AV416" s="606"/>
      <c r="AW416" s="502"/>
      <c r="AX416" s="502"/>
      <c r="AY416" s="502"/>
      <c r="AZ416" s="502"/>
      <c r="BA416" s="502"/>
      <c r="BB416" s="502"/>
      <c r="BC416" s="502"/>
      <c r="BD416" s="502"/>
      <c r="BE416" s="502"/>
      <c r="BF416" s="502"/>
      <c r="BG416" s="502"/>
      <c r="BH416" s="502"/>
      <c r="BI416" s="502"/>
      <c r="BJ416" s="502"/>
      <c r="BK416" s="502"/>
      <c r="BL416" s="502"/>
      <c r="BM416" s="502"/>
      <c r="BN416" s="502"/>
      <c r="BO416" s="502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</row>
    <row r="417" s="504" customFormat="true" ht="12.75" hidden="true" customHeight="true" outlineLevel="0" collapsed="false">
      <c r="A417" s="5"/>
      <c r="B417" s="813" t="n">
        <f aca="false">B416+1</f>
        <v>202</v>
      </c>
      <c r="C417" s="814" t="n">
        <f aca="false">C416+D417</f>
        <v>18822.5341417428</v>
      </c>
      <c r="D417" s="815" t="n">
        <f aca="false">E417*$E$205*M417</f>
        <v>111.156020910891</v>
      </c>
      <c r="E417" s="601" t="n">
        <f aca="false">E416+$C$204</f>
        <v>7.04946860165465</v>
      </c>
      <c r="F417" s="816" t="n">
        <f aca="false">F416+1</f>
        <v>202</v>
      </c>
      <c r="G417" s="775" t="n">
        <f aca="false">C417</f>
        <v>18822.5341417428</v>
      </c>
      <c r="H417" s="817" t="n">
        <f aca="false">1000*(E417-E416)</f>
        <v>9.99999999999979</v>
      </c>
      <c r="I417" s="5"/>
      <c r="J417" s="818" t="n">
        <f aca="false">1000*(E417-$E$215)/(B417-$B$215)</f>
        <v>17.7914347949099</v>
      </c>
      <c r="K417" s="732" t="n">
        <f aca="false">AVERAGE($E$216:E417)</f>
        <v>6.00684483927843</v>
      </c>
      <c r="L417" s="819" t="n">
        <f aca="false">L416+1</f>
        <v>202</v>
      </c>
      <c r="M417" s="820" t="n">
        <f aca="false">IF(B417&lt;$E$104,$E$105,$E$106)</f>
        <v>3</v>
      </c>
      <c r="N417" s="821" t="n">
        <f aca="false">IF(B417&lt;$E$104,$E$105,$E$111)</f>
        <v>2.5</v>
      </c>
      <c r="O417" s="822" t="n">
        <f aca="false">E417*$E$205*N417</f>
        <v>92.6300174257421</v>
      </c>
      <c r="P417" s="823" t="n">
        <f aca="false">P416+O417</f>
        <v>15737.1257184952</v>
      </c>
      <c r="Q417" s="606" t="n">
        <f aca="false">Q416+1</f>
        <v>202</v>
      </c>
      <c r="R417" s="824" t="n">
        <f aca="false">R416-1</f>
        <v>-202</v>
      </c>
      <c r="S417" s="5"/>
      <c r="T417" s="5"/>
      <c r="U417" s="5"/>
      <c r="V417" s="10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02"/>
      <c r="AU417" s="502"/>
      <c r="AV417" s="606"/>
      <c r="AW417" s="502"/>
      <c r="AX417" s="502"/>
      <c r="AY417" s="502"/>
      <c r="AZ417" s="502"/>
      <c r="BA417" s="502"/>
      <c r="BB417" s="502"/>
      <c r="BC417" s="502"/>
      <c r="BD417" s="502"/>
      <c r="BE417" s="502"/>
      <c r="BF417" s="502"/>
      <c r="BG417" s="502"/>
      <c r="BH417" s="502"/>
      <c r="BI417" s="502"/>
      <c r="BJ417" s="502"/>
      <c r="BK417" s="502"/>
      <c r="BL417" s="502"/>
      <c r="BM417" s="502"/>
      <c r="BN417" s="502"/>
      <c r="BO417" s="502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</row>
    <row r="418" s="504" customFormat="true" ht="12.75" hidden="true" customHeight="true" outlineLevel="0" collapsed="false">
      <c r="A418" s="5"/>
      <c r="B418" s="813" t="n">
        <f aca="false">B417+1</f>
        <v>203</v>
      </c>
      <c r="C418" s="814" t="n">
        <f aca="false">C417+D418</f>
        <v>18933.8478426537</v>
      </c>
      <c r="D418" s="815" t="n">
        <f aca="false">E418*$E$205*M418</f>
        <v>111.31370091089</v>
      </c>
      <c r="E418" s="601" t="n">
        <f aca="false">E417+$C$204</f>
        <v>7.05946860165465</v>
      </c>
      <c r="F418" s="816" t="n">
        <f aca="false">F417+1</f>
        <v>203</v>
      </c>
      <c r="G418" s="775" t="n">
        <f aca="false">C418</f>
        <v>18933.8478426537</v>
      </c>
      <c r="H418" s="817" t="n">
        <f aca="false">1000*(E418-E417)</f>
        <v>9.99999999999979</v>
      </c>
      <c r="I418" s="5"/>
      <c r="J418" s="818" t="n">
        <f aca="false">1000*(E418-$E$215)/(B418-$B$215)</f>
        <v>17.7530533427182</v>
      </c>
      <c r="K418" s="732" t="n">
        <f aca="false">AVERAGE($E$216:E418)</f>
        <v>6.01203017800935</v>
      </c>
      <c r="L418" s="819" t="n">
        <f aca="false">L417+1</f>
        <v>203</v>
      </c>
      <c r="M418" s="820" t="n">
        <f aca="false">IF(B418&lt;$E$104,$E$105,$E$106)</f>
        <v>3</v>
      </c>
      <c r="N418" s="821" t="n">
        <f aca="false">IF(B418&lt;$E$104,$E$105,$E$111)</f>
        <v>2.5</v>
      </c>
      <c r="O418" s="822" t="n">
        <f aca="false">E418*$E$205*N418</f>
        <v>92.7614174257421</v>
      </c>
      <c r="P418" s="823" t="n">
        <f aca="false">P417+O418</f>
        <v>15829.8871359209</v>
      </c>
      <c r="Q418" s="606" t="n">
        <f aca="false">Q417+1</f>
        <v>203</v>
      </c>
      <c r="R418" s="824" t="n">
        <f aca="false">R417-1</f>
        <v>-203</v>
      </c>
      <c r="S418" s="5"/>
      <c r="T418" s="5"/>
      <c r="U418" s="5"/>
      <c r="V418" s="10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02"/>
      <c r="AU418" s="502"/>
      <c r="AV418" s="606"/>
      <c r="AW418" s="502"/>
      <c r="AX418" s="502"/>
      <c r="AY418" s="502"/>
      <c r="AZ418" s="502"/>
      <c r="BA418" s="502"/>
      <c r="BB418" s="502"/>
      <c r="BC418" s="502"/>
      <c r="BD418" s="502"/>
      <c r="BE418" s="502"/>
      <c r="BF418" s="502"/>
      <c r="BG418" s="502"/>
      <c r="BH418" s="502"/>
      <c r="BI418" s="502"/>
      <c r="BJ418" s="502"/>
      <c r="BK418" s="502"/>
      <c r="BL418" s="502"/>
      <c r="BM418" s="502"/>
      <c r="BN418" s="502"/>
      <c r="BO418" s="502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</row>
    <row r="419" s="504" customFormat="true" ht="12.75" hidden="true" customHeight="true" outlineLevel="0" collapsed="false">
      <c r="A419" s="5"/>
      <c r="B419" s="813" t="n">
        <f aca="false">B418+1</f>
        <v>204</v>
      </c>
      <c r="C419" s="814" t="n">
        <f aca="false">C418+D419</f>
        <v>19045.3192235646</v>
      </c>
      <c r="D419" s="815" t="n">
        <f aca="false">E419*$E$205*M419</f>
        <v>111.47138091089</v>
      </c>
      <c r="E419" s="601" t="n">
        <f aca="false">E418+$C$204</f>
        <v>7.06946860165465</v>
      </c>
      <c r="F419" s="816" t="n">
        <f aca="false">F418+1</f>
        <v>204</v>
      </c>
      <c r="G419" s="775" t="n">
        <f aca="false">C419</f>
        <v>19045.3192235646</v>
      </c>
      <c r="H419" s="817" t="n">
        <f aca="false">1000*(E419-E418)</f>
        <v>9.99999999999979</v>
      </c>
      <c r="I419" s="5"/>
      <c r="J419" s="818" t="n">
        <f aca="false">1000*(E419-$E$215)/(B419-$B$215)</f>
        <v>17.7150481792735</v>
      </c>
      <c r="K419" s="732" t="n">
        <f aca="false">AVERAGE($E$216:E419)</f>
        <v>6.01721369969388</v>
      </c>
      <c r="L419" s="819" t="n">
        <f aca="false">L418+1</f>
        <v>204</v>
      </c>
      <c r="M419" s="820" t="n">
        <f aca="false">IF(B419&lt;$E$104,$E$105,$E$106)</f>
        <v>3</v>
      </c>
      <c r="N419" s="821" t="n">
        <f aca="false">IF(B419&lt;$E$104,$E$105,$E$111)</f>
        <v>2.5</v>
      </c>
      <c r="O419" s="822" t="n">
        <f aca="false">E419*$E$205*N419</f>
        <v>92.8928174257421</v>
      </c>
      <c r="P419" s="823" t="n">
        <f aca="false">P418+O419</f>
        <v>15922.7799533467</v>
      </c>
      <c r="Q419" s="606" t="n">
        <f aca="false">Q418+1</f>
        <v>204</v>
      </c>
      <c r="R419" s="824" t="n">
        <f aca="false">R418-1</f>
        <v>-204</v>
      </c>
      <c r="S419" s="5"/>
      <c r="T419" s="5"/>
      <c r="U419" s="5"/>
      <c r="V419" s="10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02"/>
      <c r="AU419" s="502"/>
      <c r="AV419" s="606"/>
      <c r="AW419" s="502"/>
      <c r="AX419" s="502"/>
      <c r="AY419" s="502"/>
      <c r="AZ419" s="502"/>
      <c r="BA419" s="502"/>
      <c r="BB419" s="502"/>
      <c r="BC419" s="502"/>
      <c r="BD419" s="502"/>
      <c r="BE419" s="502"/>
      <c r="BF419" s="502"/>
      <c r="BG419" s="502"/>
      <c r="BH419" s="502"/>
      <c r="BI419" s="502"/>
      <c r="BJ419" s="502"/>
      <c r="BK419" s="502"/>
      <c r="BL419" s="502"/>
      <c r="BM419" s="502"/>
      <c r="BN419" s="502"/>
      <c r="BO419" s="502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</row>
    <row r="420" s="504" customFormat="true" ht="12.75" hidden="true" customHeight="true" outlineLevel="0" collapsed="false">
      <c r="A420" s="5"/>
      <c r="B420" s="813" t="n">
        <f aca="false">B419+1</f>
        <v>205</v>
      </c>
      <c r="C420" s="814" t="n">
        <f aca="false">C419+D420</f>
        <v>19156.9482844755</v>
      </c>
      <c r="D420" s="815" t="n">
        <f aca="false">E420*$E$205*M420</f>
        <v>111.62906091089</v>
      </c>
      <c r="E420" s="601" t="n">
        <f aca="false">E419+$C$204</f>
        <v>7.07946860165465</v>
      </c>
      <c r="F420" s="816" t="n">
        <f aca="false">F419+1</f>
        <v>205</v>
      </c>
      <c r="G420" s="775" t="n">
        <f aca="false">C420</f>
        <v>19156.9482844755</v>
      </c>
      <c r="H420" s="817" t="n">
        <f aca="false">1000*(E420-E419)</f>
        <v>9.99999999999979</v>
      </c>
      <c r="I420" s="5"/>
      <c r="J420" s="818" t="n">
        <f aca="false">1000*(E420-$E$215)/(B420-$B$215)</f>
        <v>17.6774137979112</v>
      </c>
      <c r="K420" s="732" t="n">
        <f aca="false">AVERAGE($E$216:E420)</f>
        <v>6.02239543092296</v>
      </c>
      <c r="L420" s="819" t="n">
        <f aca="false">L419+1</f>
        <v>205</v>
      </c>
      <c r="M420" s="820" t="n">
        <f aca="false">IF(B420&lt;$E$104,$E$105,$E$106)</f>
        <v>3</v>
      </c>
      <c r="N420" s="821" t="n">
        <f aca="false">IF(B420&lt;$E$104,$E$105,$E$111)</f>
        <v>2.5</v>
      </c>
      <c r="O420" s="822" t="n">
        <f aca="false">E420*$E$205*N420</f>
        <v>93.0242174257421</v>
      </c>
      <c r="P420" s="823" t="n">
        <f aca="false">P419+O420</f>
        <v>16015.8041707724</v>
      </c>
      <c r="Q420" s="606" t="n">
        <f aca="false">Q419+1</f>
        <v>205</v>
      </c>
      <c r="R420" s="824" t="n">
        <f aca="false">R419-1</f>
        <v>-205</v>
      </c>
      <c r="S420" s="5"/>
      <c r="T420" s="5"/>
      <c r="U420" s="5"/>
      <c r="V420" s="10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02"/>
      <c r="AU420" s="502"/>
      <c r="AV420" s="606"/>
      <c r="AW420" s="502"/>
      <c r="AX420" s="502"/>
      <c r="AY420" s="502"/>
      <c r="AZ420" s="502"/>
      <c r="BA420" s="502"/>
      <c r="BB420" s="502"/>
      <c r="BC420" s="502"/>
      <c r="BD420" s="502"/>
      <c r="BE420" s="502"/>
      <c r="BF420" s="502"/>
      <c r="BG420" s="502"/>
      <c r="BH420" s="502"/>
      <c r="BI420" s="502"/>
      <c r="BJ420" s="502"/>
      <c r="BK420" s="502"/>
      <c r="BL420" s="502"/>
      <c r="BM420" s="502"/>
      <c r="BN420" s="502"/>
      <c r="BO420" s="502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</row>
    <row r="421" s="504" customFormat="true" ht="12.75" hidden="true" customHeight="true" outlineLevel="0" collapsed="false">
      <c r="A421" s="5"/>
      <c r="B421" s="813" t="n">
        <f aca="false">B420+1</f>
        <v>206</v>
      </c>
      <c r="C421" s="814" t="n">
        <f aca="false">C420+D421</f>
        <v>19268.7350253864</v>
      </c>
      <c r="D421" s="815" t="n">
        <f aca="false">E421*$E$205*M421</f>
        <v>111.78674091089</v>
      </c>
      <c r="E421" s="601" t="n">
        <f aca="false">E420+$C$204</f>
        <v>7.08946860165465</v>
      </c>
      <c r="F421" s="816" t="n">
        <f aca="false">F420+1</f>
        <v>206</v>
      </c>
      <c r="G421" s="775" t="n">
        <f aca="false">C421</f>
        <v>19268.7350253864</v>
      </c>
      <c r="H421" s="817" t="n">
        <f aca="false">1000*(E421-E420)</f>
        <v>9.99999999999979</v>
      </c>
      <c r="I421" s="5"/>
      <c r="J421" s="818" t="n">
        <f aca="false">1000*(E421-$E$215)/(B421-$B$215)</f>
        <v>17.6401447988922</v>
      </c>
      <c r="K421" s="732" t="n">
        <f aca="false">AVERAGE($E$216:E421)</f>
        <v>6.02757539777117</v>
      </c>
      <c r="L421" s="819" t="n">
        <f aca="false">L420+1</f>
        <v>206</v>
      </c>
      <c r="M421" s="820" t="n">
        <f aca="false">IF(B421&lt;$E$104,$E$105,$E$106)</f>
        <v>3</v>
      </c>
      <c r="N421" s="821" t="n">
        <f aca="false">IF(B421&lt;$E$104,$E$105,$E$111)</f>
        <v>2.5</v>
      </c>
      <c r="O421" s="822" t="n">
        <f aca="false">E421*$E$205*N421</f>
        <v>93.1556174257421</v>
      </c>
      <c r="P421" s="823" t="n">
        <f aca="false">P420+O421</f>
        <v>16108.9597881982</v>
      </c>
      <c r="Q421" s="606" t="n">
        <f aca="false">Q420+1</f>
        <v>206</v>
      </c>
      <c r="R421" s="824" t="n">
        <f aca="false">R420-1</f>
        <v>-206</v>
      </c>
      <c r="S421" s="5"/>
      <c r="T421" s="5"/>
      <c r="U421" s="5"/>
      <c r="V421" s="10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02"/>
      <c r="AU421" s="502"/>
      <c r="AV421" s="606"/>
      <c r="AW421" s="502"/>
      <c r="AX421" s="502"/>
      <c r="AY421" s="502"/>
      <c r="AZ421" s="502"/>
      <c r="BA421" s="502"/>
      <c r="BB421" s="502"/>
      <c r="BC421" s="502"/>
      <c r="BD421" s="502"/>
      <c r="BE421" s="502"/>
      <c r="BF421" s="502"/>
      <c r="BG421" s="502"/>
      <c r="BH421" s="502"/>
      <c r="BI421" s="502"/>
      <c r="BJ421" s="502"/>
      <c r="BK421" s="502"/>
      <c r="BL421" s="502"/>
      <c r="BM421" s="502"/>
      <c r="BN421" s="502"/>
      <c r="BO421" s="502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</row>
    <row r="422" s="504" customFormat="true" ht="12.75" hidden="true" customHeight="true" outlineLevel="0" collapsed="false">
      <c r="A422" s="5"/>
      <c r="B422" s="813" t="n">
        <f aca="false">B421+1</f>
        <v>207</v>
      </c>
      <c r="C422" s="814" t="n">
        <f aca="false">C421+D422</f>
        <v>19380.6794462972</v>
      </c>
      <c r="D422" s="815" t="n">
        <f aca="false">E422*$E$205*M422</f>
        <v>111.94442091089</v>
      </c>
      <c r="E422" s="601" t="n">
        <f aca="false">E421+$C$204</f>
        <v>7.09946860165465</v>
      </c>
      <c r="F422" s="816" t="n">
        <f aca="false">F421+1</f>
        <v>207</v>
      </c>
      <c r="G422" s="775" t="n">
        <f aca="false">C422</f>
        <v>19380.6794462972</v>
      </c>
      <c r="H422" s="817" t="n">
        <f aca="false">1000*(E422-E421)</f>
        <v>9.99999999999979</v>
      </c>
      <c r="I422" s="5"/>
      <c r="J422" s="818" t="n">
        <f aca="false">1000*(E422-$E$215)/(B422-$B$215)</f>
        <v>17.6032358868203</v>
      </c>
      <c r="K422" s="732" t="n">
        <f aca="false">AVERAGE($E$216:E422)</f>
        <v>6.03275362580926</v>
      </c>
      <c r="L422" s="819" t="n">
        <f aca="false">L421+1</f>
        <v>207</v>
      </c>
      <c r="M422" s="820" t="n">
        <f aca="false">IF(B422&lt;$E$104,$E$105,$E$106)</f>
        <v>3</v>
      </c>
      <c r="N422" s="821" t="n">
        <f aca="false">IF(B422&lt;$E$104,$E$105,$E$111)</f>
        <v>2.5</v>
      </c>
      <c r="O422" s="822" t="n">
        <f aca="false">E422*$E$205*N422</f>
        <v>93.2870174257421</v>
      </c>
      <c r="P422" s="823" t="n">
        <f aca="false">P421+O422</f>
        <v>16202.2468056239</v>
      </c>
      <c r="Q422" s="606" t="n">
        <f aca="false">Q421+1</f>
        <v>207</v>
      </c>
      <c r="R422" s="824" t="n">
        <f aca="false">R421-1</f>
        <v>-207</v>
      </c>
      <c r="S422" s="5"/>
      <c r="T422" s="5"/>
      <c r="U422" s="5"/>
      <c r="V422" s="10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02"/>
      <c r="AU422" s="502"/>
      <c r="AV422" s="606"/>
      <c r="AW422" s="502"/>
      <c r="AX422" s="502"/>
      <c r="AY422" s="502"/>
      <c r="AZ422" s="502"/>
      <c r="BA422" s="502"/>
      <c r="BB422" s="502"/>
      <c r="BC422" s="502"/>
      <c r="BD422" s="502"/>
      <c r="BE422" s="502"/>
      <c r="BF422" s="502"/>
      <c r="BG422" s="502"/>
      <c r="BH422" s="502"/>
      <c r="BI422" s="502"/>
      <c r="BJ422" s="502"/>
      <c r="BK422" s="502"/>
      <c r="BL422" s="502"/>
      <c r="BM422" s="502"/>
      <c r="BN422" s="502"/>
      <c r="BO422" s="502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</row>
    <row r="423" s="504" customFormat="true" ht="12.75" hidden="true" customHeight="true" outlineLevel="0" collapsed="false">
      <c r="A423" s="5"/>
      <c r="B423" s="813" t="n">
        <f aca="false">B422+1</f>
        <v>208</v>
      </c>
      <c r="C423" s="814" t="n">
        <f aca="false">C422+D423</f>
        <v>19492.7815472081</v>
      </c>
      <c r="D423" s="815" t="n">
        <f aca="false">E423*$E$205*M423</f>
        <v>112.10210091089</v>
      </c>
      <c r="E423" s="601" t="n">
        <f aca="false">E422+$C$204</f>
        <v>7.10946860165465</v>
      </c>
      <c r="F423" s="816" t="n">
        <f aca="false">F422+1</f>
        <v>208</v>
      </c>
      <c r="G423" s="775" t="n">
        <f aca="false">C423</f>
        <v>19492.7815472081</v>
      </c>
      <c r="H423" s="817" t="n">
        <f aca="false">1000*(E423-E422)</f>
        <v>9.99999999999979</v>
      </c>
      <c r="I423" s="5"/>
      <c r="J423" s="818" t="n">
        <f aca="false">1000*(E423-$E$215)/(B423-$B$215)</f>
        <v>17.5666818681337</v>
      </c>
      <c r="K423" s="732" t="n">
        <f aca="false">AVERAGE($E$216:E423)</f>
        <v>6.03793014011621</v>
      </c>
      <c r="L423" s="819" t="n">
        <f aca="false">L422+1</f>
        <v>208</v>
      </c>
      <c r="M423" s="820" t="n">
        <f aca="false">IF(B423&lt;$E$104,$E$105,$E$106)</f>
        <v>3</v>
      </c>
      <c r="N423" s="821" t="n">
        <f aca="false">IF(B423&lt;$E$104,$E$105,$E$111)</f>
        <v>2.5</v>
      </c>
      <c r="O423" s="822" t="n">
        <f aca="false">E423*$E$205*N423</f>
        <v>93.4184174257421</v>
      </c>
      <c r="P423" s="823" t="n">
        <f aca="false">P422+O423</f>
        <v>16295.6652230496</v>
      </c>
      <c r="Q423" s="606" t="n">
        <f aca="false">Q422+1</f>
        <v>208</v>
      </c>
      <c r="R423" s="824" t="n">
        <f aca="false">R422-1</f>
        <v>-208</v>
      </c>
      <c r="S423" s="5"/>
      <c r="T423" s="5"/>
      <c r="U423" s="5"/>
      <c r="V423" s="10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02"/>
      <c r="AU423" s="502"/>
      <c r="AV423" s="606"/>
      <c r="AW423" s="502"/>
      <c r="AX423" s="502"/>
      <c r="AY423" s="502"/>
      <c r="AZ423" s="502"/>
      <c r="BA423" s="502"/>
      <c r="BB423" s="502"/>
      <c r="BC423" s="502"/>
      <c r="BD423" s="502"/>
      <c r="BE423" s="502"/>
      <c r="BF423" s="502"/>
      <c r="BG423" s="502"/>
      <c r="BH423" s="502"/>
      <c r="BI423" s="502"/>
      <c r="BJ423" s="502"/>
      <c r="BK423" s="502"/>
      <c r="BL423" s="502"/>
      <c r="BM423" s="502"/>
      <c r="BN423" s="502"/>
      <c r="BO423" s="502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</row>
    <row r="424" s="504" customFormat="true" ht="12.75" hidden="true" customHeight="true" outlineLevel="0" collapsed="false">
      <c r="A424" s="5"/>
      <c r="B424" s="813" t="n">
        <f aca="false">B423+1</f>
        <v>209</v>
      </c>
      <c r="C424" s="814" t="n">
        <f aca="false">C423+D424</f>
        <v>19605.041328119</v>
      </c>
      <c r="D424" s="815" t="n">
        <f aca="false">E424*$E$205*M424</f>
        <v>112.25978091089</v>
      </c>
      <c r="E424" s="601" t="n">
        <f aca="false">E423+$C$204</f>
        <v>7.11946860165465</v>
      </c>
      <c r="F424" s="816" t="n">
        <f aca="false">F423+1</f>
        <v>209</v>
      </c>
      <c r="G424" s="775" t="n">
        <f aca="false">C424</f>
        <v>19605.041328119</v>
      </c>
      <c r="H424" s="817" t="n">
        <f aca="false">1000*(E424-E423)</f>
        <v>9.99999999999979</v>
      </c>
      <c r="I424" s="5"/>
      <c r="J424" s="818" t="n">
        <f aca="false">1000*(E424-$E$215)/(B424-$B$215)</f>
        <v>17.5304776486689</v>
      </c>
      <c r="K424" s="732" t="n">
        <f aca="false">AVERAGE($E$216:E424)</f>
        <v>6.04310496529103</v>
      </c>
      <c r="L424" s="819" t="n">
        <f aca="false">L423+1</f>
        <v>209</v>
      </c>
      <c r="M424" s="820" t="n">
        <f aca="false">IF(B424&lt;$E$104,$E$105,$E$106)</f>
        <v>3</v>
      </c>
      <c r="N424" s="821" t="n">
        <f aca="false">IF(B424&lt;$E$104,$E$105,$E$111)</f>
        <v>2.5</v>
      </c>
      <c r="O424" s="822" t="n">
        <f aca="false">E424*$E$205*N424</f>
        <v>93.5498174257421</v>
      </c>
      <c r="P424" s="823" t="n">
        <f aca="false">P423+O424</f>
        <v>16389.2150404754</v>
      </c>
      <c r="Q424" s="606" t="n">
        <f aca="false">Q423+1</f>
        <v>209</v>
      </c>
      <c r="R424" s="824" t="n">
        <f aca="false">R423-1</f>
        <v>-209</v>
      </c>
      <c r="S424" s="5"/>
      <c r="T424" s="5"/>
      <c r="U424" s="5"/>
      <c r="V424" s="10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02"/>
      <c r="AU424" s="502"/>
      <c r="AV424" s="606"/>
      <c r="AW424" s="502"/>
      <c r="AX424" s="502"/>
      <c r="AY424" s="502"/>
      <c r="AZ424" s="502"/>
      <c r="BA424" s="502"/>
      <c r="BB424" s="502"/>
      <c r="BC424" s="502"/>
      <c r="BD424" s="502"/>
      <c r="BE424" s="502"/>
      <c r="BF424" s="502"/>
      <c r="BG424" s="502"/>
      <c r="BH424" s="502"/>
      <c r="BI424" s="502"/>
      <c r="BJ424" s="502"/>
      <c r="BK424" s="502"/>
      <c r="BL424" s="502"/>
      <c r="BM424" s="502"/>
      <c r="BN424" s="502"/>
      <c r="BO424" s="502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</row>
    <row r="425" s="504" customFormat="true" ht="12.75" hidden="true" customHeight="true" outlineLevel="0" collapsed="false">
      <c r="A425" s="5"/>
      <c r="B425" s="813" t="n">
        <f aca="false">B424+1</f>
        <v>210</v>
      </c>
      <c r="C425" s="814" t="n">
        <f aca="false">C424+D425</f>
        <v>19717.4587890299</v>
      </c>
      <c r="D425" s="815" t="n">
        <f aca="false">E425*$E$205*M425</f>
        <v>112.41746091089</v>
      </c>
      <c r="E425" s="601" t="n">
        <f aca="false">E424+$C$204</f>
        <v>7.12946860165465</v>
      </c>
      <c r="F425" s="816" t="n">
        <f aca="false">F424+1</f>
        <v>210</v>
      </c>
      <c r="G425" s="775" t="n">
        <f aca="false">C425</f>
        <v>19717.4587890299</v>
      </c>
      <c r="H425" s="817" t="n">
        <f aca="false">1000*(E425-E424)</f>
        <v>9.99999999999979</v>
      </c>
      <c r="I425" s="5"/>
      <c r="J425" s="818" t="n">
        <f aca="false">1000*(E425-$E$215)/(B425-$B$215)</f>
        <v>17.4946182312943</v>
      </c>
      <c r="K425" s="732" t="n">
        <f aca="false">AVERAGE($E$216:E425)</f>
        <v>6.04827812546419</v>
      </c>
      <c r="L425" s="819" t="n">
        <f aca="false">L424+1</f>
        <v>210</v>
      </c>
      <c r="M425" s="820" t="n">
        <f aca="false">IF(B425&lt;$E$104,$E$105,$E$106)</f>
        <v>3</v>
      </c>
      <c r="N425" s="821" t="n">
        <f aca="false">IF(B425&lt;$E$104,$E$105,$E$111)</f>
        <v>2.5</v>
      </c>
      <c r="O425" s="822" t="n">
        <f aca="false">E425*$E$205*N425</f>
        <v>93.6812174257421</v>
      </c>
      <c r="P425" s="823" t="n">
        <f aca="false">P424+O425</f>
        <v>16482.8962579011</v>
      </c>
      <c r="Q425" s="606" t="n">
        <f aca="false">Q424+1</f>
        <v>210</v>
      </c>
      <c r="R425" s="824" t="n">
        <f aca="false">R424-1</f>
        <v>-210</v>
      </c>
      <c r="S425" s="5"/>
      <c r="T425" s="5"/>
      <c r="U425" s="5"/>
      <c r="V425" s="10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02"/>
      <c r="AU425" s="502"/>
      <c r="AV425" s="606"/>
      <c r="AW425" s="502"/>
      <c r="AX425" s="502"/>
      <c r="AY425" s="502"/>
      <c r="AZ425" s="502"/>
      <c r="BA425" s="502"/>
      <c r="BB425" s="502"/>
      <c r="BC425" s="502"/>
      <c r="BD425" s="502"/>
      <c r="BE425" s="502"/>
      <c r="BF425" s="502"/>
      <c r="BG425" s="502"/>
      <c r="BH425" s="502"/>
      <c r="BI425" s="502"/>
      <c r="BJ425" s="502"/>
      <c r="BK425" s="502"/>
      <c r="BL425" s="502"/>
      <c r="BM425" s="502"/>
      <c r="BN425" s="502"/>
      <c r="BO425" s="502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</row>
    <row r="426" s="504" customFormat="true" ht="12.75" hidden="true" customHeight="true" outlineLevel="0" collapsed="false">
      <c r="A426" s="5"/>
      <c r="B426" s="813" t="n">
        <f aca="false">B425+1</f>
        <v>211</v>
      </c>
      <c r="C426" s="814" t="n">
        <f aca="false">C425+D426</f>
        <v>19830.0339299408</v>
      </c>
      <c r="D426" s="815" t="n">
        <f aca="false">E426*$E$205*M426</f>
        <v>112.57514091089</v>
      </c>
      <c r="E426" s="601" t="n">
        <f aca="false">E425+$C$204</f>
        <v>7.13946860165465</v>
      </c>
      <c r="F426" s="816" t="n">
        <f aca="false">F425+1</f>
        <v>211</v>
      </c>
      <c r="G426" s="775" t="n">
        <f aca="false">C426</f>
        <v>19830.0339299408</v>
      </c>
      <c r="H426" s="817" t="n">
        <f aca="false">1000*(E426-E425)</f>
        <v>9.99999999999979</v>
      </c>
      <c r="I426" s="5"/>
      <c r="J426" s="818" t="n">
        <f aca="false">1000*(E426-$E$215)/(B426-$B$215)</f>
        <v>17.4590987136104</v>
      </c>
      <c r="K426" s="732" t="n">
        <f aca="false">AVERAGE($E$216:E426)</f>
        <v>6.0534496443087</v>
      </c>
      <c r="L426" s="819" t="n">
        <f aca="false">L425+1</f>
        <v>211</v>
      </c>
      <c r="M426" s="820" t="n">
        <f aca="false">IF(B426&lt;$E$104,$E$105,$E$106)</f>
        <v>3</v>
      </c>
      <c r="N426" s="821" t="n">
        <f aca="false">IF(B426&lt;$E$104,$E$105,$E$111)</f>
        <v>2.5</v>
      </c>
      <c r="O426" s="822" t="n">
        <f aca="false">E426*$E$205*N426</f>
        <v>93.812617425742</v>
      </c>
      <c r="P426" s="823" t="n">
        <f aca="false">P425+O426</f>
        <v>16576.7088753269</v>
      </c>
      <c r="Q426" s="606" t="n">
        <f aca="false">Q425+1</f>
        <v>211</v>
      </c>
      <c r="R426" s="824" t="n">
        <f aca="false">R425-1</f>
        <v>-211</v>
      </c>
      <c r="S426" s="5"/>
      <c r="T426" s="5"/>
      <c r="U426" s="5"/>
      <c r="V426" s="10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02"/>
      <c r="AU426" s="502"/>
      <c r="AV426" s="606"/>
      <c r="AW426" s="502"/>
      <c r="AX426" s="502"/>
      <c r="AY426" s="502"/>
      <c r="AZ426" s="502"/>
      <c r="BA426" s="502"/>
      <c r="BB426" s="502"/>
      <c r="BC426" s="502"/>
      <c r="BD426" s="502"/>
      <c r="BE426" s="502"/>
      <c r="BF426" s="502"/>
      <c r="BG426" s="502"/>
      <c r="BH426" s="502"/>
      <c r="BI426" s="502"/>
      <c r="BJ426" s="502"/>
      <c r="BK426" s="502"/>
      <c r="BL426" s="502"/>
      <c r="BM426" s="502"/>
      <c r="BN426" s="502"/>
      <c r="BO426" s="502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</row>
    <row r="427" s="504" customFormat="true" ht="12.75" hidden="true" customHeight="true" outlineLevel="0" collapsed="false">
      <c r="A427" s="5"/>
      <c r="B427" s="813" t="n">
        <f aca="false">B426+1</f>
        <v>212</v>
      </c>
      <c r="C427" s="814" t="n">
        <f aca="false">C426+D427</f>
        <v>19942.7667508517</v>
      </c>
      <c r="D427" s="815" t="n">
        <f aca="false">E427*$E$205*M427</f>
        <v>112.73282091089</v>
      </c>
      <c r="E427" s="601" t="n">
        <f aca="false">E426+$C$204</f>
        <v>7.14946860165465</v>
      </c>
      <c r="F427" s="816" t="n">
        <f aca="false">F426+1</f>
        <v>212</v>
      </c>
      <c r="G427" s="775" t="n">
        <f aca="false">C427</f>
        <v>19942.7667508517</v>
      </c>
      <c r="H427" s="817" t="n">
        <f aca="false">1000*(E427-E426)</f>
        <v>9.99999999999979</v>
      </c>
      <c r="I427" s="5"/>
      <c r="J427" s="818" t="n">
        <f aca="false">1000*(E427-$E$215)/(B427-$B$215)</f>
        <v>17.423914285716</v>
      </c>
      <c r="K427" s="732" t="n">
        <f aca="false">AVERAGE($E$216:E427)</f>
        <v>6.0586195450509</v>
      </c>
      <c r="L427" s="819" t="n">
        <f aca="false">L426+1</f>
        <v>212</v>
      </c>
      <c r="M427" s="820" t="n">
        <f aca="false">IF(B427&lt;$E$104,$E$105,$E$106)</f>
        <v>3</v>
      </c>
      <c r="N427" s="821" t="n">
        <f aca="false">IF(B427&lt;$E$104,$E$105,$E$111)</f>
        <v>2.5</v>
      </c>
      <c r="O427" s="822" t="n">
        <f aca="false">E427*$E$205*N427</f>
        <v>93.944017425742</v>
      </c>
      <c r="P427" s="823" t="n">
        <f aca="false">P426+O427</f>
        <v>16670.6528927526</v>
      </c>
      <c r="Q427" s="606" t="n">
        <f aca="false">Q426+1</f>
        <v>212</v>
      </c>
      <c r="R427" s="824" t="n">
        <f aca="false">R426-1</f>
        <v>-212</v>
      </c>
      <c r="S427" s="5"/>
      <c r="T427" s="5"/>
      <c r="U427" s="5"/>
      <c r="V427" s="10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02"/>
      <c r="AU427" s="502"/>
      <c r="AV427" s="606"/>
      <c r="AW427" s="502"/>
      <c r="AX427" s="502"/>
      <c r="AY427" s="502"/>
      <c r="AZ427" s="502"/>
      <c r="BA427" s="502"/>
      <c r="BB427" s="502"/>
      <c r="BC427" s="502"/>
      <c r="BD427" s="502"/>
      <c r="BE427" s="502"/>
      <c r="BF427" s="502"/>
      <c r="BG427" s="502"/>
      <c r="BH427" s="502"/>
      <c r="BI427" s="502"/>
      <c r="BJ427" s="502"/>
      <c r="BK427" s="502"/>
      <c r="BL427" s="502"/>
      <c r="BM427" s="502"/>
      <c r="BN427" s="502"/>
      <c r="BO427" s="502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</row>
    <row r="428" s="504" customFormat="true" ht="12.75" hidden="true" customHeight="true" outlineLevel="0" collapsed="false">
      <c r="A428" s="5"/>
      <c r="B428" s="813" t="n">
        <f aca="false">B427+1</f>
        <v>213</v>
      </c>
      <c r="C428" s="814" t="n">
        <f aca="false">C427+D428</f>
        <v>20055.6572517626</v>
      </c>
      <c r="D428" s="815" t="n">
        <f aca="false">E428*$E$205*M428</f>
        <v>112.89050091089</v>
      </c>
      <c r="E428" s="601" t="n">
        <f aca="false">E427+$C$204</f>
        <v>7.15946860165465</v>
      </c>
      <c r="F428" s="816" t="n">
        <f aca="false">F427+1</f>
        <v>213</v>
      </c>
      <c r="G428" s="775" t="n">
        <f aca="false">C428</f>
        <v>20055.6572517626</v>
      </c>
      <c r="H428" s="817" t="n">
        <f aca="false">1000*(E428-E427)</f>
        <v>9.99999999999979</v>
      </c>
      <c r="I428" s="5"/>
      <c r="J428" s="818" t="n">
        <f aca="false">1000*(E428-$E$215)/(B428-$B$215)</f>
        <v>17.3890602280366</v>
      </c>
      <c r="K428" s="732" t="n">
        <f aca="false">AVERAGE($E$216:E428)</f>
        <v>6.06378785048096</v>
      </c>
      <c r="L428" s="819" t="n">
        <f aca="false">L427+1</f>
        <v>213</v>
      </c>
      <c r="M428" s="820" t="n">
        <f aca="false">IF(B428&lt;$E$104,$E$105,$E$106)</f>
        <v>3</v>
      </c>
      <c r="N428" s="821" t="n">
        <f aca="false">IF(B428&lt;$E$104,$E$105,$E$111)</f>
        <v>2.5</v>
      </c>
      <c r="O428" s="822" t="n">
        <f aca="false">E428*$E$205*N428</f>
        <v>94.075417425742</v>
      </c>
      <c r="P428" s="823" t="n">
        <f aca="false">P427+O428</f>
        <v>16764.7283101784</v>
      </c>
      <c r="Q428" s="606" t="n">
        <f aca="false">Q427+1</f>
        <v>213</v>
      </c>
      <c r="R428" s="824" t="n">
        <f aca="false">R427-1</f>
        <v>-213</v>
      </c>
      <c r="S428" s="5"/>
      <c r="T428" s="5"/>
      <c r="U428" s="5"/>
      <c r="V428" s="10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02"/>
      <c r="AU428" s="502"/>
      <c r="AV428" s="606"/>
      <c r="AW428" s="502"/>
      <c r="AX428" s="502"/>
      <c r="AY428" s="502"/>
      <c r="AZ428" s="502"/>
      <c r="BA428" s="502"/>
      <c r="BB428" s="502"/>
      <c r="BC428" s="502"/>
      <c r="BD428" s="502"/>
      <c r="BE428" s="502"/>
      <c r="BF428" s="502"/>
      <c r="BG428" s="502"/>
      <c r="BH428" s="502"/>
      <c r="BI428" s="502"/>
      <c r="BJ428" s="502"/>
      <c r="BK428" s="502"/>
      <c r="BL428" s="502"/>
      <c r="BM428" s="502"/>
      <c r="BN428" s="502"/>
      <c r="BO428" s="502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</row>
    <row r="429" s="504" customFormat="true" ht="12.75" hidden="true" customHeight="true" outlineLevel="0" collapsed="false">
      <c r="A429" s="5"/>
      <c r="B429" s="813" t="n">
        <f aca="false">B428+1</f>
        <v>214</v>
      </c>
      <c r="C429" s="814" t="n">
        <f aca="false">C428+D429</f>
        <v>20168.7054326735</v>
      </c>
      <c r="D429" s="815" t="n">
        <f aca="false">E429*$E$205*M429</f>
        <v>113.04818091089</v>
      </c>
      <c r="E429" s="601" t="n">
        <f aca="false">E428+$C$204</f>
        <v>7.16946860165464</v>
      </c>
      <c r="F429" s="816" t="n">
        <f aca="false">F428+1</f>
        <v>214</v>
      </c>
      <c r="G429" s="775" t="n">
        <f aca="false">C429</f>
        <v>20168.7054326735</v>
      </c>
      <c r="H429" s="817" t="n">
        <f aca="false">1000*(E429-E428)</f>
        <v>9.99999999999979</v>
      </c>
      <c r="I429" s="5"/>
      <c r="J429" s="818" t="n">
        <f aca="false">1000*(E429-$E$215)/(B429-$B$215)</f>
        <v>17.354531909214</v>
      </c>
      <c r="K429" s="732" t="n">
        <f aca="false">AVERAGE($E$216:E429)</f>
        <v>6.06895458296308</v>
      </c>
      <c r="L429" s="819" t="n">
        <f aca="false">L428+1</f>
        <v>214</v>
      </c>
      <c r="M429" s="820" t="n">
        <f aca="false">IF(B429&lt;$E$104,$E$105,$E$106)</f>
        <v>3</v>
      </c>
      <c r="N429" s="821" t="n">
        <f aca="false">IF(B429&lt;$E$104,$E$105,$E$111)</f>
        <v>2.5</v>
      </c>
      <c r="O429" s="822" t="n">
        <f aca="false">E429*$E$205*N429</f>
        <v>94.206817425742</v>
      </c>
      <c r="P429" s="823" t="n">
        <f aca="false">P428+O429</f>
        <v>16858.9351276041</v>
      </c>
      <c r="Q429" s="606" t="n">
        <f aca="false">Q428+1</f>
        <v>214</v>
      </c>
      <c r="R429" s="824" t="n">
        <f aca="false">R428-1</f>
        <v>-214</v>
      </c>
      <c r="S429" s="5"/>
      <c r="T429" s="5"/>
      <c r="U429" s="5"/>
      <c r="V429" s="10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02"/>
      <c r="AU429" s="502"/>
      <c r="AV429" s="606"/>
      <c r="AW429" s="502"/>
      <c r="AX429" s="502"/>
      <c r="AY429" s="502"/>
      <c r="AZ429" s="502"/>
      <c r="BA429" s="502"/>
      <c r="BB429" s="502"/>
      <c r="BC429" s="502"/>
      <c r="BD429" s="502"/>
      <c r="BE429" s="502"/>
      <c r="BF429" s="502"/>
      <c r="BG429" s="502"/>
      <c r="BH429" s="502"/>
      <c r="BI429" s="502"/>
      <c r="BJ429" s="502"/>
      <c r="BK429" s="502"/>
      <c r="BL429" s="502"/>
      <c r="BM429" s="502"/>
      <c r="BN429" s="502"/>
      <c r="BO429" s="502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</row>
    <row r="430" s="504" customFormat="true" ht="12.75" hidden="true" customHeight="true" outlineLevel="0" collapsed="false">
      <c r="A430" s="5"/>
      <c r="B430" s="813" t="n">
        <f aca="false">B429+1</f>
        <v>215</v>
      </c>
      <c r="C430" s="814" t="n">
        <f aca="false">C429+D430</f>
        <v>20281.9112935844</v>
      </c>
      <c r="D430" s="815" t="n">
        <f aca="false">E430*$E$205*M430</f>
        <v>113.20586091089</v>
      </c>
      <c r="E430" s="601" t="n">
        <f aca="false">E429+$C$204</f>
        <v>7.17946860165464</v>
      </c>
      <c r="F430" s="816" t="n">
        <f aca="false">F429+1</f>
        <v>215</v>
      </c>
      <c r="G430" s="775" t="n">
        <f aca="false">C430</f>
        <v>20281.9112935844</v>
      </c>
      <c r="H430" s="817" t="n">
        <f aca="false">1000*(E430-E429)</f>
        <v>9.99999999999979</v>
      </c>
      <c r="I430" s="5"/>
      <c r="J430" s="818" t="n">
        <f aca="false">1000*(E430-$E$215)/(B430-$B$215)</f>
        <v>17.3203247840549</v>
      </c>
      <c r="K430" s="732" t="n">
        <f aca="false">AVERAGE($E$216:E430)</f>
        <v>6.07411976444537</v>
      </c>
      <c r="L430" s="819" t="n">
        <f aca="false">L429+1</f>
        <v>215</v>
      </c>
      <c r="M430" s="820" t="n">
        <f aca="false">IF(B430&lt;$E$104,$E$105,$E$106)</f>
        <v>3</v>
      </c>
      <c r="N430" s="821" t="n">
        <f aca="false">IF(B430&lt;$E$104,$E$105,$E$111)</f>
        <v>2.5</v>
      </c>
      <c r="O430" s="822" t="n">
        <f aca="false">E430*$E$205*N430</f>
        <v>94.338217425742</v>
      </c>
      <c r="P430" s="823" t="n">
        <f aca="false">P429+O430</f>
        <v>16953.2733450298</v>
      </c>
      <c r="Q430" s="606" t="n">
        <f aca="false">Q429+1</f>
        <v>215</v>
      </c>
      <c r="R430" s="824" t="n">
        <f aca="false">R429-1</f>
        <v>-215</v>
      </c>
      <c r="S430" s="5"/>
      <c r="T430" s="5"/>
      <c r="U430" s="5"/>
      <c r="V430" s="10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02"/>
      <c r="AU430" s="502"/>
      <c r="AV430" s="606"/>
      <c r="AW430" s="502"/>
      <c r="AX430" s="502"/>
      <c r="AY430" s="502"/>
      <c r="AZ430" s="502"/>
      <c r="BA430" s="502"/>
      <c r="BB430" s="502"/>
      <c r="BC430" s="502"/>
      <c r="BD430" s="502"/>
      <c r="BE430" s="502"/>
      <c r="BF430" s="502"/>
      <c r="BG430" s="502"/>
      <c r="BH430" s="502"/>
      <c r="BI430" s="502"/>
      <c r="BJ430" s="502"/>
      <c r="BK430" s="502"/>
      <c r="BL430" s="502"/>
      <c r="BM430" s="502"/>
      <c r="BN430" s="502"/>
      <c r="BO430" s="502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</row>
    <row r="431" s="504" customFormat="true" ht="12.75" hidden="true" customHeight="true" outlineLevel="0" collapsed="false">
      <c r="A431" s="5"/>
      <c r="B431" s="813" t="n">
        <f aca="false">B430+1</f>
        <v>216</v>
      </c>
      <c r="C431" s="814" t="n">
        <f aca="false">C430+D431</f>
        <v>20395.2748344953</v>
      </c>
      <c r="D431" s="815" t="n">
        <f aca="false">E431*$E$205*M431</f>
        <v>113.36354091089</v>
      </c>
      <c r="E431" s="601" t="n">
        <f aca="false">E430+$C$204</f>
        <v>7.18946860165464</v>
      </c>
      <c r="F431" s="816" t="n">
        <f aca="false">F430+1</f>
        <v>216</v>
      </c>
      <c r="G431" s="775" t="n">
        <f aca="false">C431</f>
        <v>20395.2748344953</v>
      </c>
      <c r="H431" s="817" t="n">
        <f aca="false">1000*(E431-E430)</f>
        <v>9.99999999999979</v>
      </c>
      <c r="I431" s="5"/>
      <c r="J431" s="818" t="n">
        <f aca="false">1000*(E431-$E$215)/(B431-$B$215)</f>
        <v>17.2864343915361</v>
      </c>
      <c r="K431" s="732" t="n">
        <f aca="false">AVERAGE($E$216:E431)</f>
        <v>6.07928341646948</v>
      </c>
      <c r="L431" s="819" t="n">
        <f aca="false">L430+1</f>
        <v>216</v>
      </c>
      <c r="M431" s="820" t="n">
        <f aca="false">IF(B431&lt;$E$104,$E$105,$E$106)</f>
        <v>3</v>
      </c>
      <c r="N431" s="821" t="n">
        <f aca="false">IF(B431&lt;$E$104,$E$105,$E$111)</f>
        <v>2.5</v>
      </c>
      <c r="O431" s="822" t="n">
        <f aca="false">E431*$E$205*N431</f>
        <v>94.469617425742</v>
      </c>
      <c r="P431" s="823" t="n">
        <f aca="false">P430+O431</f>
        <v>17047.7429624556</v>
      </c>
      <c r="Q431" s="606" t="n">
        <f aca="false">Q430+1</f>
        <v>216</v>
      </c>
      <c r="R431" s="824" t="n">
        <f aca="false">R430-1</f>
        <v>-216</v>
      </c>
      <c r="S431" s="5"/>
      <c r="T431" s="5"/>
      <c r="U431" s="5"/>
      <c r="V431" s="10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02"/>
      <c r="AU431" s="502"/>
      <c r="AV431" s="606"/>
      <c r="AW431" s="502"/>
      <c r="AX431" s="502"/>
      <c r="AY431" s="502"/>
      <c r="AZ431" s="502"/>
      <c r="BA431" s="502"/>
      <c r="BB431" s="502"/>
      <c r="BC431" s="502"/>
      <c r="BD431" s="502"/>
      <c r="BE431" s="502"/>
      <c r="BF431" s="502"/>
      <c r="BG431" s="502"/>
      <c r="BH431" s="502"/>
      <c r="BI431" s="502"/>
      <c r="BJ431" s="502"/>
      <c r="BK431" s="502"/>
      <c r="BL431" s="502"/>
      <c r="BM431" s="502"/>
      <c r="BN431" s="502"/>
      <c r="BO431" s="502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</row>
    <row r="432" s="504" customFormat="true" ht="12.75" hidden="true" customHeight="true" outlineLevel="0" collapsed="false">
      <c r="A432" s="5"/>
      <c r="B432" s="813" t="n">
        <f aca="false">B431+1</f>
        <v>217</v>
      </c>
      <c r="C432" s="814" t="n">
        <f aca="false">C431+D432</f>
        <v>20508.7960554061</v>
      </c>
      <c r="D432" s="815" t="n">
        <f aca="false">E432*$E$205*M432</f>
        <v>113.52122091089</v>
      </c>
      <c r="E432" s="601" t="n">
        <f aca="false">E431+$C$204</f>
        <v>7.19946860165464</v>
      </c>
      <c r="F432" s="816" t="n">
        <f aca="false">F431+1</f>
        <v>217</v>
      </c>
      <c r="G432" s="775" t="n">
        <f aca="false">C432</f>
        <v>20508.7960554061</v>
      </c>
      <c r="H432" s="817" t="n">
        <f aca="false">1000*(E432-E431)</f>
        <v>9.99999999999979</v>
      </c>
      <c r="I432" s="5"/>
      <c r="J432" s="818" t="n">
        <f aca="false">1000*(E432-$E$215)/(B432-$B$215)</f>
        <v>17.2528563528654</v>
      </c>
      <c r="K432" s="732" t="n">
        <f aca="false">AVERAGE($E$216:E432)</f>
        <v>6.08444556018001</v>
      </c>
      <c r="L432" s="819" t="n">
        <f aca="false">L431+1</f>
        <v>217</v>
      </c>
      <c r="M432" s="820" t="n">
        <f aca="false">IF(B432&lt;$E$104,$E$105,$E$106)</f>
        <v>3</v>
      </c>
      <c r="N432" s="821" t="n">
        <f aca="false">IF(B432&lt;$E$104,$E$105,$E$111)</f>
        <v>2.5</v>
      </c>
      <c r="O432" s="822" t="n">
        <f aca="false">E432*$E$205*N432</f>
        <v>94.601017425742</v>
      </c>
      <c r="P432" s="823" t="n">
        <f aca="false">P431+O432</f>
        <v>17142.3439798813</v>
      </c>
      <c r="Q432" s="606" t="n">
        <f aca="false">Q431+1</f>
        <v>217</v>
      </c>
      <c r="R432" s="824" t="n">
        <f aca="false">R431-1</f>
        <v>-217</v>
      </c>
      <c r="S432" s="5"/>
      <c r="T432" s="5"/>
      <c r="U432" s="5"/>
      <c r="V432" s="10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02"/>
      <c r="AU432" s="502"/>
      <c r="AV432" s="606"/>
      <c r="AW432" s="502"/>
      <c r="AX432" s="502"/>
      <c r="AY432" s="502"/>
      <c r="AZ432" s="502"/>
      <c r="BA432" s="502"/>
      <c r="BB432" s="502"/>
      <c r="BC432" s="502"/>
      <c r="BD432" s="502"/>
      <c r="BE432" s="502"/>
      <c r="BF432" s="502"/>
      <c r="BG432" s="502"/>
      <c r="BH432" s="502"/>
      <c r="BI432" s="502"/>
      <c r="BJ432" s="502"/>
      <c r="BK432" s="502"/>
      <c r="BL432" s="502"/>
      <c r="BM432" s="502"/>
      <c r="BN432" s="502"/>
      <c r="BO432" s="502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</row>
    <row r="433" s="504" customFormat="true" ht="12.75" hidden="true" customHeight="true" outlineLevel="0" collapsed="false">
      <c r="A433" s="5"/>
      <c r="B433" s="813" t="n">
        <f aca="false">B432+1</f>
        <v>218</v>
      </c>
      <c r="C433" s="814" t="n">
        <f aca="false">C432+D433</f>
        <v>20622.474956317</v>
      </c>
      <c r="D433" s="815" t="n">
        <f aca="false">E433*$E$205*M433</f>
        <v>113.67890091089</v>
      </c>
      <c r="E433" s="601" t="n">
        <f aca="false">E432+$C$204</f>
        <v>7.20946860165464</v>
      </c>
      <c r="F433" s="816" t="n">
        <f aca="false">F432+1</f>
        <v>218</v>
      </c>
      <c r="G433" s="775" t="n">
        <f aca="false">C433</f>
        <v>20622.474956317</v>
      </c>
      <c r="H433" s="817" t="n">
        <f aca="false">1000*(E433-E432)</f>
        <v>9.99999999999979</v>
      </c>
      <c r="I433" s="5"/>
      <c r="J433" s="818" t="n">
        <f aca="false">1000*(E433-$E$215)/(B433-$B$215)</f>
        <v>17.2195863695954</v>
      </c>
      <c r="K433" s="732" t="n">
        <f aca="false">AVERAGE($E$216:E433)</f>
        <v>6.08960621633357</v>
      </c>
      <c r="L433" s="819" t="n">
        <f aca="false">L432+1</f>
        <v>218</v>
      </c>
      <c r="M433" s="820" t="n">
        <f aca="false">IF(B433&lt;$E$104,$E$105,$E$106)</f>
        <v>3</v>
      </c>
      <c r="N433" s="821" t="n">
        <f aca="false">IF(B433&lt;$E$104,$E$105,$E$111)</f>
        <v>2.5</v>
      </c>
      <c r="O433" s="822" t="n">
        <f aca="false">E433*$E$205*N433</f>
        <v>94.732417425742</v>
      </c>
      <c r="P433" s="823" t="n">
        <f aca="false">P432+O433</f>
        <v>17237.0763973071</v>
      </c>
      <c r="Q433" s="606" t="n">
        <f aca="false">Q432+1</f>
        <v>218</v>
      </c>
      <c r="R433" s="824" t="n">
        <f aca="false">R432-1</f>
        <v>-218</v>
      </c>
      <c r="S433" s="5"/>
      <c r="T433" s="5"/>
      <c r="U433" s="5"/>
      <c r="V433" s="10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02"/>
      <c r="AU433" s="502"/>
      <c r="AV433" s="606"/>
      <c r="AW433" s="502"/>
      <c r="AX433" s="502"/>
      <c r="AY433" s="502"/>
      <c r="AZ433" s="502"/>
      <c r="BA433" s="502"/>
      <c r="BB433" s="502"/>
      <c r="BC433" s="502"/>
      <c r="BD433" s="502"/>
      <c r="BE433" s="502"/>
      <c r="BF433" s="502"/>
      <c r="BG433" s="502"/>
      <c r="BH433" s="502"/>
      <c r="BI433" s="502"/>
      <c r="BJ433" s="502"/>
      <c r="BK433" s="502"/>
      <c r="BL433" s="502"/>
      <c r="BM433" s="502"/>
      <c r="BN433" s="502"/>
      <c r="BO433" s="502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</row>
    <row r="434" s="504" customFormat="true" ht="12.75" hidden="true" customHeight="true" outlineLevel="0" collapsed="false">
      <c r="A434" s="5"/>
      <c r="B434" s="813" t="n">
        <f aca="false">B433+1</f>
        <v>219</v>
      </c>
      <c r="C434" s="814" t="n">
        <f aca="false">C433+D434</f>
        <v>20736.3115372279</v>
      </c>
      <c r="D434" s="815" t="n">
        <f aca="false">E434*$E$205*M434</f>
        <v>113.83658091089</v>
      </c>
      <c r="E434" s="601" t="n">
        <f aca="false">E433+$C$204</f>
        <v>7.21946860165464</v>
      </c>
      <c r="F434" s="816" t="n">
        <f aca="false">F433+1</f>
        <v>219</v>
      </c>
      <c r="G434" s="775" t="n">
        <f aca="false">C434</f>
        <v>20736.3115372279</v>
      </c>
      <c r="H434" s="817" t="n">
        <f aca="false">1000*(E434-E433)</f>
        <v>9.99999999999979</v>
      </c>
      <c r="I434" s="5"/>
      <c r="J434" s="818" t="n">
        <f aca="false">1000*(E434-$E$215)/(B434-$B$215)</f>
        <v>17.186620221789</v>
      </c>
      <c r="K434" s="732" t="n">
        <f aca="false">AVERAGE($E$216:E434)</f>
        <v>6.09476540530764</v>
      </c>
      <c r="L434" s="819" t="n">
        <f aca="false">L433+1</f>
        <v>219</v>
      </c>
      <c r="M434" s="820" t="n">
        <f aca="false">IF(B434&lt;$E$104,$E$105,$E$106)</f>
        <v>3</v>
      </c>
      <c r="N434" s="821" t="n">
        <f aca="false">IF(B434&lt;$E$104,$E$105,$E$111)</f>
        <v>2.5</v>
      </c>
      <c r="O434" s="822" t="n">
        <f aca="false">E434*$E$205*N434</f>
        <v>94.863817425742</v>
      </c>
      <c r="P434" s="823" t="n">
        <f aca="false">P433+O434</f>
        <v>17331.9402147328</v>
      </c>
      <c r="Q434" s="606" t="n">
        <f aca="false">Q433+1</f>
        <v>219</v>
      </c>
      <c r="R434" s="824" t="n">
        <f aca="false">R433-1</f>
        <v>-219</v>
      </c>
      <c r="S434" s="5"/>
      <c r="T434" s="5"/>
      <c r="U434" s="5"/>
      <c r="V434" s="10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02"/>
      <c r="AU434" s="502"/>
      <c r="AV434" s="606"/>
      <c r="AW434" s="502"/>
      <c r="AX434" s="502"/>
      <c r="AY434" s="502"/>
      <c r="AZ434" s="502"/>
      <c r="BA434" s="502"/>
      <c r="BB434" s="502"/>
      <c r="BC434" s="502"/>
      <c r="BD434" s="502"/>
      <c r="BE434" s="502"/>
      <c r="BF434" s="502"/>
      <c r="BG434" s="502"/>
      <c r="BH434" s="502"/>
      <c r="BI434" s="502"/>
      <c r="BJ434" s="502"/>
      <c r="BK434" s="502"/>
      <c r="BL434" s="502"/>
      <c r="BM434" s="502"/>
      <c r="BN434" s="502"/>
      <c r="BO434" s="502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</row>
    <row r="435" s="504" customFormat="true" ht="12.75" hidden="true" customHeight="true" outlineLevel="0" collapsed="false">
      <c r="A435" s="5"/>
      <c r="B435" s="813" t="n">
        <f aca="false">B434+1</f>
        <v>220</v>
      </c>
      <c r="C435" s="814" t="n">
        <f aca="false">C434+D435</f>
        <v>20850.3057981388</v>
      </c>
      <c r="D435" s="815" t="n">
        <f aca="false">E435*$E$205*M435</f>
        <v>113.99426091089</v>
      </c>
      <c r="E435" s="601" t="n">
        <f aca="false">E434+$C$204</f>
        <v>7.22946860165464</v>
      </c>
      <c r="F435" s="816" t="n">
        <f aca="false">F434+1</f>
        <v>220</v>
      </c>
      <c r="G435" s="775" t="n">
        <f aca="false">C435</f>
        <v>20850.3057981388</v>
      </c>
      <c r="H435" s="817" t="n">
        <f aca="false">1000*(E435-E434)</f>
        <v>9.99999999999979</v>
      </c>
      <c r="I435" s="5"/>
      <c r="J435" s="818" t="n">
        <f aca="false">1000*(E435-$E$215)/(B435-$B$215)</f>
        <v>17.1539537662354</v>
      </c>
      <c r="K435" s="732" t="n">
        <f aca="false">AVERAGE($E$216:E435)</f>
        <v>6.09992314710921</v>
      </c>
      <c r="L435" s="819" t="n">
        <f aca="false">L434+1</f>
        <v>220</v>
      </c>
      <c r="M435" s="820" t="n">
        <f aca="false">IF(B435&lt;$E$104,$E$105,$E$106)</f>
        <v>3</v>
      </c>
      <c r="N435" s="821" t="n">
        <f aca="false">IF(B435&lt;$E$104,$E$105,$E$111)</f>
        <v>2.5</v>
      </c>
      <c r="O435" s="822" t="n">
        <f aca="false">E435*$E$205*N435</f>
        <v>94.995217425742</v>
      </c>
      <c r="P435" s="823" t="n">
        <f aca="false">P434+O435</f>
        <v>17426.9354321585</v>
      </c>
      <c r="Q435" s="606" t="n">
        <f aca="false">Q434+1</f>
        <v>220</v>
      </c>
      <c r="R435" s="824" t="n">
        <f aca="false">R434-1</f>
        <v>-220</v>
      </c>
      <c r="S435" s="5"/>
      <c r="T435" s="5"/>
      <c r="U435" s="5"/>
      <c r="V435" s="10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02"/>
      <c r="AU435" s="502"/>
      <c r="AV435" s="606"/>
      <c r="AW435" s="502"/>
      <c r="AX435" s="502"/>
      <c r="AY435" s="502"/>
      <c r="AZ435" s="502"/>
      <c r="BA435" s="502"/>
      <c r="BB435" s="502"/>
      <c r="BC435" s="502"/>
      <c r="BD435" s="502"/>
      <c r="BE435" s="502"/>
      <c r="BF435" s="502"/>
      <c r="BG435" s="502"/>
      <c r="BH435" s="502"/>
      <c r="BI435" s="502"/>
      <c r="BJ435" s="502"/>
      <c r="BK435" s="502"/>
      <c r="BL435" s="502"/>
      <c r="BM435" s="502"/>
      <c r="BN435" s="502"/>
      <c r="BO435" s="502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</row>
    <row r="436" s="504" customFormat="true" ht="12.75" hidden="true" customHeight="true" outlineLevel="0" collapsed="false">
      <c r="A436" s="5"/>
      <c r="B436" s="813" t="n">
        <f aca="false">B435+1</f>
        <v>221</v>
      </c>
      <c r="C436" s="814" t="n">
        <f aca="false">C435+D436</f>
        <v>20964.4577390497</v>
      </c>
      <c r="D436" s="815" t="n">
        <f aca="false">E436*$E$205*M436</f>
        <v>114.15194091089</v>
      </c>
      <c r="E436" s="601" t="n">
        <f aca="false">E435+$C$204</f>
        <v>7.23946860165464</v>
      </c>
      <c r="F436" s="816" t="n">
        <f aca="false">F435+1</f>
        <v>221</v>
      </c>
      <c r="G436" s="775" t="n">
        <f aca="false">C436</f>
        <v>20964.4577390497</v>
      </c>
      <c r="H436" s="817" t="n">
        <f aca="false">1000*(E436-E435)</f>
        <v>9.99999999999979</v>
      </c>
      <c r="I436" s="5"/>
      <c r="J436" s="818" t="n">
        <f aca="false">1000*(E436-$E$215)/(B436-$B$215)</f>
        <v>17.121582934714</v>
      </c>
      <c r="K436" s="732" t="n">
        <f aca="false">AVERAGE($E$216:E436)</f>
        <v>6.10507946138318</v>
      </c>
      <c r="L436" s="819" t="n">
        <f aca="false">L435+1</f>
        <v>221</v>
      </c>
      <c r="M436" s="820" t="n">
        <f aca="false">IF(B436&lt;$E$104,$E$105,$E$106)</f>
        <v>3</v>
      </c>
      <c r="N436" s="821" t="n">
        <f aca="false">IF(B436&lt;$E$104,$E$105,$E$111)</f>
        <v>2.5</v>
      </c>
      <c r="O436" s="822" t="n">
        <f aca="false">E436*$E$205*N436</f>
        <v>95.126617425742</v>
      </c>
      <c r="P436" s="823" t="n">
        <f aca="false">P435+O436</f>
        <v>17522.0620495843</v>
      </c>
      <c r="Q436" s="606" t="n">
        <f aca="false">Q435+1</f>
        <v>221</v>
      </c>
      <c r="R436" s="824" t="n">
        <f aca="false">R435-1</f>
        <v>-221</v>
      </c>
      <c r="S436" s="5"/>
      <c r="T436" s="5"/>
      <c r="U436" s="5"/>
      <c r="V436" s="10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02"/>
      <c r="AU436" s="502"/>
      <c r="AV436" s="606"/>
      <c r="AW436" s="502"/>
      <c r="AX436" s="502"/>
      <c r="AY436" s="502"/>
      <c r="AZ436" s="502"/>
      <c r="BA436" s="502"/>
      <c r="BB436" s="502"/>
      <c r="BC436" s="502"/>
      <c r="BD436" s="502"/>
      <c r="BE436" s="502"/>
      <c r="BF436" s="502"/>
      <c r="BG436" s="502"/>
      <c r="BH436" s="502"/>
      <c r="BI436" s="502"/>
      <c r="BJ436" s="502"/>
      <c r="BK436" s="502"/>
      <c r="BL436" s="502"/>
      <c r="BM436" s="502"/>
      <c r="BN436" s="502"/>
      <c r="BO436" s="502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</row>
    <row r="437" s="504" customFormat="true" ht="12.75" hidden="true" customHeight="true" outlineLevel="0" collapsed="false">
      <c r="A437" s="5"/>
      <c r="B437" s="813" t="n">
        <f aca="false">B436+1</f>
        <v>222</v>
      </c>
      <c r="C437" s="814" t="n">
        <f aca="false">C436+D437</f>
        <v>21078.7673599606</v>
      </c>
      <c r="D437" s="815" t="n">
        <f aca="false">E437*$E$205*M437</f>
        <v>114.30962091089</v>
      </c>
      <c r="E437" s="601" t="n">
        <f aca="false">E436+$C$204</f>
        <v>7.24946860165464</v>
      </c>
      <c r="F437" s="816" t="n">
        <f aca="false">F436+1</f>
        <v>222</v>
      </c>
      <c r="G437" s="775" t="n">
        <f aca="false">C437</f>
        <v>21078.7673599606</v>
      </c>
      <c r="H437" s="817" t="n">
        <f aca="false">1000*(E437-E436)</f>
        <v>9.99999999999979</v>
      </c>
      <c r="I437" s="5"/>
      <c r="J437" s="818" t="n">
        <f aca="false">1000*(E437-$E$215)/(B437-$B$215)</f>
        <v>17.0895037323054</v>
      </c>
      <c r="K437" s="732" t="n">
        <f aca="false">AVERAGE($E$216:E437)</f>
        <v>6.11023436742043</v>
      </c>
      <c r="L437" s="819" t="n">
        <f aca="false">L436+1</f>
        <v>222</v>
      </c>
      <c r="M437" s="820" t="n">
        <f aca="false">IF(B437&lt;$E$104,$E$105,$E$106)</f>
        <v>3</v>
      </c>
      <c r="N437" s="821" t="n">
        <f aca="false">IF(B437&lt;$E$104,$E$105,$E$111)</f>
        <v>2.5</v>
      </c>
      <c r="O437" s="822" t="n">
        <f aca="false">E437*$E$205*N437</f>
        <v>95.258017425742</v>
      </c>
      <c r="P437" s="823" t="n">
        <f aca="false">P436+O437</f>
        <v>17617.32006701</v>
      </c>
      <c r="Q437" s="606" t="n">
        <f aca="false">Q436+1</f>
        <v>222</v>
      </c>
      <c r="R437" s="824" t="n">
        <f aca="false">R436-1</f>
        <v>-222</v>
      </c>
      <c r="S437" s="5"/>
      <c r="T437" s="5"/>
      <c r="U437" s="5"/>
      <c r="V437" s="10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02"/>
      <c r="AU437" s="502"/>
      <c r="AV437" s="606"/>
      <c r="AW437" s="502"/>
      <c r="AX437" s="502"/>
      <c r="AY437" s="502"/>
      <c r="AZ437" s="502"/>
      <c r="BA437" s="502"/>
      <c r="BB437" s="502"/>
      <c r="BC437" s="502"/>
      <c r="BD437" s="502"/>
      <c r="BE437" s="502"/>
      <c r="BF437" s="502"/>
      <c r="BG437" s="502"/>
      <c r="BH437" s="502"/>
      <c r="BI437" s="502"/>
      <c r="BJ437" s="502"/>
      <c r="BK437" s="502"/>
      <c r="BL437" s="502"/>
      <c r="BM437" s="502"/>
      <c r="BN437" s="502"/>
      <c r="BO437" s="502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</row>
    <row r="438" s="504" customFormat="true" ht="12.75" hidden="true" customHeight="true" outlineLevel="0" collapsed="false">
      <c r="A438" s="5"/>
      <c r="B438" s="813" t="n">
        <f aca="false">B437+1</f>
        <v>223</v>
      </c>
      <c r="C438" s="814" t="n">
        <f aca="false">C437+D438</f>
        <v>21193.2346608715</v>
      </c>
      <c r="D438" s="815" t="n">
        <f aca="false">E438*$E$205*M438</f>
        <v>114.46730091089</v>
      </c>
      <c r="E438" s="601" t="n">
        <f aca="false">E437+$C$204</f>
        <v>7.25946860165464</v>
      </c>
      <c r="F438" s="816" t="n">
        <f aca="false">F437+1</f>
        <v>223</v>
      </c>
      <c r="G438" s="775" t="n">
        <f aca="false">C438</f>
        <v>21193.2346608715</v>
      </c>
      <c r="H438" s="817" t="n">
        <f aca="false">1000*(E438-E437)</f>
        <v>9.99999999999979</v>
      </c>
      <c r="I438" s="5"/>
      <c r="J438" s="818" t="n">
        <f aca="false">1000*(E438-$E$215)/(B438-$B$215)</f>
        <v>17.057712235748</v>
      </c>
      <c r="K438" s="732" t="n">
        <f aca="false">AVERAGE($E$216:E438)</f>
        <v>6.11538788416588</v>
      </c>
      <c r="L438" s="819" t="n">
        <f aca="false">L437+1</f>
        <v>223</v>
      </c>
      <c r="M438" s="820" t="n">
        <f aca="false">IF(B438&lt;$E$104,$E$105,$E$106)</f>
        <v>3</v>
      </c>
      <c r="N438" s="821" t="n">
        <f aca="false">IF(B438&lt;$E$104,$E$105,$E$111)</f>
        <v>2.5</v>
      </c>
      <c r="O438" s="822" t="n">
        <f aca="false">E438*$E$205*N438</f>
        <v>95.389417425742</v>
      </c>
      <c r="P438" s="823" t="n">
        <f aca="false">P437+O438</f>
        <v>17712.7094844358</v>
      </c>
      <c r="Q438" s="606" t="n">
        <f aca="false">Q437+1</f>
        <v>223</v>
      </c>
      <c r="R438" s="824" t="n">
        <f aca="false">R437-1</f>
        <v>-223</v>
      </c>
      <c r="S438" s="5"/>
      <c r="T438" s="5"/>
      <c r="U438" s="5"/>
      <c r="V438" s="10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02"/>
      <c r="AU438" s="502"/>
      <c r="AV438" s="606"/>
      <c r="AW438" s="502"/>
      <c r="AX438" s="502"/>
      <c r="AY438" s="502"/>
      <c r="AZ438" s="502"/>
      <c r="BA438" s="502"/>
      <c r="BB438" s="502"/>
      <c r="BC438" s="502"/>
      <c r="BD438" s="502"/>
      <c r="BE438" s="502"/>
      <c r="BF438" s="502"/>
      <c r="BG438" s="502"/>
      <c r="BH438" s="502"/>
      <c r="BI438" s="502"/>
      <c r="BJ438" s="502"/>
      <c r="BK438" s="502"/>
      <c r="BL438" s="502"/>
      <c r="BM438" s="502"/>
      <c r="BN438" s="502"/>
      <c r="BO438" s="502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</row>
    <row r="439" s="504" customFormat="true" ht="12.75" hidden="true" customHeight="true" outlineLevel="0" collapsed="false">
      <c r="A439" s="5"/>
      <c r="B439" s="813" t="n">
        <f aca="false">B438+1</f>
        <v>224</v>
      </c>
      <c r="C439" s="814" t="n">
        <f aca="false">C438+D439</f>
        <v>21307.8596417824</v>
      </c>
      <c r="D439" s="815" t="n">
        <f aca="false">E439*$E$205*M439</f>
        <v>114.62498091089</v>
      </c>
      <c r="E439" s="601" t="n">
        <f aca="false">E438+$C$204</f>
        <v>7.26946860165464</v>
      </c>
      <c r="F439" s="816" t="n">
        <f aca="false">F438+1</f>
        <v>224</v>
      </c>
      <c r="G439" s="775" t="n">
        <f aca="false">C439</f>
        <v>21307.8596417824</v>
      </c>
      <c r="H439" s="817" t="n">
        <f aca="false">1000*(E439-E438)</f>
        <v>9.99999999999979</v>
      </c>
      <c r="I439" s="5"/>
      <c r="J439" s="818" t="n">
        <f aca="false">1000*(E439-$E$215)/(B439-$B$215)</f>
        <v>17.0262045918384</v>
      </c>
      <c r="K439" s="732" t="n">
        <f aca="false">AVERAGE($E$216:E439)</f>
        <v>6.1205400302261</v>
      </c>
      <c r="L439" s="819" t="n">
        <f aca="false">L438+1</f>
        <v>224</v>
      </c>
      <c r="M439" s="820" t="n">
        <f aca="false">IF(B439&lt;$E$104,$E$105,$E$106)</f>
        <v>3</v>
      </c>
      <c r="N439" s="821" t="n">
        <f aca="false">IF(B439&lt;$E$104,$E$105,$E$111)</f>
        <v>2.5</v>
      </c>
      <c r="O439" s="822" t="n">
        <f aca="false">E439*$E$205*N439</f>
        <v>95.520817425742</v>
      </c>
      <c r="P439" s="823" t="n">
        <f aca="false">P438+O439</f>
        <v>17808.2303018615</v>
      </c>
      <c r="Q439" s="606" t="n">
        <f aca="false">Q438+1</f>
        <v>224</v>
      </c>
      <c r="R439" s="824" t="n">
        <f aca="false">R438-1</f>
        <v>-224</v>
      </c>
      <c r="S439" s="5"/>
      <c r="T439" s="5"/>
      <c r="U439" s="5"/>
      <c r="V439" s="10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02"/>
      <c r="AU439" s="502"/>
      <c r="AV439" s="606"/>
      <c r="AW439" s="502"/>
      <c r="AX439" s="502"/>
      <c r="AY439" s="502"/>
      <c r="AZ439" s="502"/>
      <c r="BA439" s="502"/>
      <c r="BB439" s="502"/>
      <c r="BC439" s="502"/>
      <c r="BD439" s="502"/>
      <c r="BE439" s="502"/>
      <c r="BF439" s="502"/>
      <c r="BG439" s="502"/>
      <c r="BH439" s="502"/>
      <c r="BI439" s="502"/>
      <c r="BJ439" s="502"/>
      <c r="BK439" s="502"/>
      <c r="BL439" s="502"/>
      <c r="BM439" s="502"/>
      <c r="BN439" s="502"/>
      <c r="BO439" s="502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</row>
    <row r="440" s="504" customFormat="true" ht="12.75" hidden="true" customHeight="true" outlineLevel="0" collapsed="false">
      <c r="A440" s="5"/>
      <c r="B440" s="813" t="n">
        <f aca="false">B439+1</f>
        <v>225</v>
      </c>
      <c r="C440" s="814" t="n">
        <f aca="false">C439+D440</f>
        <v>21422.6423026933</v>
      </c>
      <c r="D440" s="815" t="n">
        <f aca="false">E440*$E$205*M440</f>
        <v>114.78266091089</v>
      </c>
      <c r="E440" s="601" t="n">
        <f aca="false">E439+$C$204</f>
        <v>7.27946860165464</v>
      </c>
      <c r="F440" s="816" t="n">
        <f aca="false">F439+1</f>
        <v>225</v>
      </c>
      <c r="G440" s="775" t="n">
        <f aca="false">C440</f>
        <v>21422.6423026933</v>
      </c>
      <c r="H440" s="817" t="n">
        <f aca="false">1000*(E440-E439)</f>
        <v>9.99999999999979</v>
      </c>
      <c r="I440" s="5"/>
      <c r="J440" s="818" t="n">
        <f aca="false">1000*(E440-$E$215)/(B440-$B$215)</f>
        <v>16.9949770158747</v>
      </c>
      <c r="K440" s="732" t="n">
        <f aca="false">AVERAGE($E$216:E440)</f>
        <v>6.12569082387689</v>
      </c>
      <c r="L440" s="819" t="n">
        <f aca="false">L439+1</f>
        <v>225</v>
      </c>
      <c r="M440" s="820" t="n">
        <f aca="false">IF(B440&lt;$E$104,$E$105,$E$106)</f>
        <v>3</v>
      </c>
      <c r="N440" s="821" t="n">
        <f aca="false">IF(B440&lt;$E$104,$E$105,$E$111)</f>
        <v>2.5</v>
      </c>
      <c r="O440" s="822" t="n">
        <f aca="false">E440*$E$205*N440</f>
        <v>95.652217425742</v>
      </c>
      <c r="P440" s="823" t="n">
        <f aca="false">P439+O440</f>
        <v>17903.8825192873</v>
      </c>
      <c r="Q440" s="606" t="n">
        <f aca="false">Q439+1</f>
        <v>225</v>
      </c>
      <c r="R440" s="824" t="n">
        <f aca="false">R439-1</f>
        <v>-225</v>
      </c>
      <c r="S440" s="5"/>
      <c r="T440" s="5"/>
      <c r="U440" s="5"/>
      <c r="V440" s="10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02"/>
      <c r="AU440" s="502"/>
      <c r="AV440" s="606"/>
      <c r="AW440" s="502"/>
      <c r="AX440" s="502"/>
      <c r="AY440" s="502"/>
      <c r="AZ440" s="502"/>
      <c r="BA440" s="502"/>
      <c r="BB440" s="502"/>
      <c r="BC440" s="502"/>
      <c r="BD440" s="502"/>
      <c r="BE440" s="502"/>
      <c r="BF440" s="502"/>
      <c r="BG440" s="502"/>
      <c r="BH440" s="502"/>
      <c r="BI440" s="502"/>
      <c r="BJ440" s="502"/>
      <c r="BK440" s="502"/>
      <c r="BL440" s="502"/>
      <c r="BM440" s="502"/>
      <c r="BN440" s="502"/>
      <c r="BO440" s="502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</row>
    <row r="441" s="504" customFormat="true" ht="12.75" hidden="true" customHeight="true" outlineLevel="0" collapsed="false">
      <c r="A441" s="5"/>
      <c r="B441" s="813" t="n">
        <f aca="false">B440+1</f>
        <v>226</v>
      </c>
      <c r="C441" s="814" t="n">
        <f aca="false">C440+D441</f>
        <v>21537.5826436042</v>
      </c>
      <c r="D441" s="815" t="n">
        <f aca="false">E441*$E$205*M441</f>
        <v>114.94034091089</v>
      </c>
      <c r="E441" s="601" t="n">
        <f aca="false">E440+$C$204</f>
        <v>7.28946860165464</v>
      </c>
      <c r="F441" s="816" t="n">
        <f aca="false">F440+1</f>
        <v>226</v>
      </c>
      <c r="G441" s="775" t="n">
        <f aca="false">C441</f>
        <v>21537.5826436042</v>
      </c>
      <c r="H441" s="817" t="n">
        <f aca="false">1000*(E441-E440)</f>
        <v>9.99999999999979</v>
      </c>
      <c r="I441" s="5"/>
      <c r="J441" s="818" t="n">
        <f aca="false">1000*(E441-$E$215)/(B441-$B$215)</f>
        <v>16.9640257901407</v>
      </c>
      <c r="K441" s="732" t="n">
        <f aca="false">AVERAGE($E$216:E441)</f>
        <v>6.1308402830706</v>
      </c>
      <c r="L441" s="819" t="n">
        <f aca="false">L440+1</f>
        <v>226</v>
      </c>
      <c r="M441" s="820" t="n">
        <f aca="false">IF(B441&lt;$E$104,$E$105,$E$106)</f>
        <v>3</v>
      </c>
      <c r="N441" s="821" t="n">
        <f aca="false">IF(B441&lt;$E$104,$E$105,$E$111)</f>
        <v>2.5</v>
      </c>
      <c r="O441" s="822" t="n">
        <f aca="false">E441*$E$205*N441</f>
        <v>95.783617425742</v>
      </c>
      <c r="P441" s="823" t="n">
        <f aca="false">P440+O441</f>
        <v>17999.666136713</v>
      </c>
      <c r="Q441" s="606" t="n">
        <f aca="false">Q440+1</f>
        <v>226</v>
      </c>
      <c r="R441" s="824" t="n">
        <f aca="false">R440-1</f>
        <v>-226</v>
      </c>
      <c r="S441" s="5"/>
      <c r="T441" s="5"/>
      <c r="U441" s="5"/>
      <c r="V441" s="10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02"/>
      <c r="AU441" s="502"/>
      <c r="AV441" s="606"/>
      <c r="AW441" s="502"/>
      <c r="AX441" s="502"/>
      <c r="AY441" s="502"/>
      <c r="AZ441" s="502"/>
      <c r="BA441" s="502"/>
      <c r="BB441" s="502"/>
      <c r="BC441" s="502"/>
      <c r="BD441" s="502"/>
      <c r="BE441" s="502"/>
      <c r="BF441" s="502"/>
      <c r="BG441" s="502"/>
      <c r="BH441" s="502"/>
      <c r="BI441" s="502"/>
      <c r="BJ441" s="502"/>
      <c r="BK441" s="502"/>
      <c r="BL441" s="502"/>
      <c r="BM441" s="502"/>
      <c r="BN441" s="502"/>
      <c r="BO441" s="502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</row>
    <row r="442" s="504" customFormat="true" ht="12.75" hidden="true" customHeight="true" outlineLevel="0" collapsed="false">
      <c r="A442" s="5"/>
      <c r="B442" s="813" t="n">
        <f aca="false">B441+1</f>
        <v>227</v>
      </c>
      <c r="C442" s="814" t="n">
        <f aca="false">C441+D442</f>
        <v>21652.6806645151</v>
      </c>
      <c r="D442" s="815" t="n">
        <f aca="false">E442*$E$205*M442</f>
        <v>115.09802091089</v>
      </c>
      <c r="E442" s="601" t="n">
        <f aca="false">E441+$C$204</f>
        <v>7.29946860165464</v>
      </c>
      <c r="F442" s="816" t="n">
        <f aca="false">F441+1</f>
        <v>227</v>
      </c>
      <c r="G442" s="775" t="n">
        <f aca="false">C442</f>
        <v>21652.6806645151</v>
      </c>
      <c r="H442" s="817" t="n">
        <f aca="false">1000*(E442-E441)</f>
        <v>9.99999999999979</v>
      </c>
      <c r="I442" s="5"/>
      <c r="J442" s="818" t="n">
        <f aca="false">1000*(E442-$E$215)/(B442-$B$215)</f>
        <v>16.9333472624308</v>
      </c>
      <c r="K442" s="732" t="n">
        <f aca="false">AVERAGE($E$216:E442)</f>
        <v>6.13598842544321</v>
      </c>
      <c r="L442" s="819" t="n">
        <f aca="false">L441+1</f>
        <v>227</v>
      </c>
      <c r="M442" s="820" t="n">
        <f aca="false">IF(B442&lt;$E$104,$E$105,$E$106)</f>
        <v>3</v>
      </c>
      <c r="N442" s="821" t="n">
        <f aca="false">IF(B442&lt;$E$104,$E$105,$E$111)</f>
        <v>2.5</v>
      </c>
      <c r="O442" s="822" t="n">
        <f aca="false">E442*$E$205*N442</f>
        <v>95.915017425742</v>
      </c>
      <c r="P442" s="823" t="n">
        <f aca="false">P441+O442</f>
        <v>18095.5811541387</v>
      </c>
      <c r="Q442" s="606" t="n">
        <f aca="false">Q441+1</f>
        <v>227</v>
      </c>
      <c r="R442" s="824" t="n">
        <f aca="false">R441-1</f>
        <v>-227</v>
      </c>
      <c r="S442" s="5"/>
      <c r="T442" s="5"/>
      <c r="U442" s="5"/>
      <c r="V442" s="10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02"/>
      <c r="AU442" s="502"/>
      <c r="AV442" s="606"/>
      <c r="AW442" s="502"/>
      <c r="AX442" s="502"/>
      <c r="AY442" s="502"/>
      <c r="AZ442" s="502"/>
      <c r="BA442" s="502"/>
      <c r="BB442" s="502"/>
      <c r="BC442" s="502"/>
      <c r="BD442" s="502"/>
      <c r="BE442" s="502"/>
      <c r="BF442" s="502"/>
      <c r="BG442" s="502"/>
      <c r="BH442" s="502"/>
      <c r="BI442" s="502"/>
      <c r="BJ442" s="502"/>
      <c r="BK442" s="502"/>
      <c r="BL442" s="502"/>
      <c r="BM442" s="502"/>
      <c r="BN442" s="502"/>
      <c r="BO442" s="502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</row>
    <row r="443" s="504" customFormat="true" ht="12.75" hidden="true" customHeight="true" outlineLevel="0" collapsed="false">
      <c r="A443" s="5"/>
      <c r="B443" s="813" t="n">
        <f aca="false">B442+1</f>
        <v>228</v>
      </c>
      <c r="C443" s="814" t="n">
        <f aca="false">C442+D443</f>
        <v>21767.9363654259</v>
      </c>
      <c r="D443" s="815" t="n">
        <f aca="false">E443*$E$205*M443</f>
        <v>115.25570091089</v>
      </c>
      <c r="E443" s="601" t="n">
        <f aca="false">E442+$C$204</f>
        <v>7.30946860165464</v>
      </c>
      <c r="F443" s="816" t="n">
        <f aca="false">F442+1</f>
        <v>228</v>
      </c>
      <c r="G443" s="775" t="n">
        <f aca="false">C443</f>
        <v>21767.9363654259</v>
      </c>
      <c r="H443" s="817" t="n">
        <f aca="false">1000*(E443-E442)</f>
        <v>9.99999999999979</v>
      </c>
      <c r="I443" s="5"/>
      <c r="J443" s="818" t="n">
        <f aca="false">1000*(E443-$E$215)/(B443-$B$215)</f>
        <v>16.9029378446131</v>
      </c>
      <c r="K443" s="732" t="n">
        <f aca="false">AVERAGE($E$216:E443)</f>
        <v>6.14113526832133</v>
      </c>
      <c r="L443" s="819" t="n">
        <f aca="false">L442+1</f>
        <v>228</v>
      </c>
      <c r="M443" s="820" t="n">
        <f aca="false">IF(B443&lt;$E$104,$E$105,$E$106)</f>
        <v>3</v>
      </c>
      <c r="N443" s="821" t="n">
        <f aca="false">IF(B443&lt;$E$104,$E$105,$E$111)</f>
        <v>2.5</v>
      </c>
      <c r="O443" s="822" t="n">
        <f aca="false">E443*$E$205*N443</f>
        <v>96.046417425742</v>
      </c>
      <c r="P443" s="823" t="n">
        <f aca="false">P442+O443</f>
        <v>18191.6275715645</v>
      </c>
      <c r="Q443" s="606" t="n">
        <f aca="false">Q442+1</f>
        <v>228</v>
      </c>
      <c r="R443" s="824" t="n">
        <f aca="false">R442-1</f>
        <v>-228</v>
      </c>
      <c r="S443" s="5"/>
      <c r="T443" s="5"/>
      <c r="U443" s="5"/>
      <c r="V443" s="10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02"/>
      <c r="AU443" s="502"/>
      <c r="AV443" s="606"/>
      <c r="AW443" s="502"/>
      <c r="AX443" s="502"/>
      <c r="AY443" s="502"/>
      <c r="AZ443" s="502"/>
      <c r="BA443" s="502"/>
      <c r="BB443" s="502"/>
      <c r="BC443" s="502"/>
      <c r="BD443" s="502"/>
      <c r="BE443" s="502"/>
      <c r="BF443" s="502"/>
      <c r="BG443" s="502"/>
      <c r="BH443" s="502"/>
      <c r="BI443" s="502"/>
      <c r="BJ443" s="502"/>
      <c r="BK443" s="502"/>
      <c r="BL443" s="502"/>
      <c r="BM443" s="502"/>
      <c r="BN443" s="502"/>
      <c r="BO443" s="502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</row>
    <row r="444" s="504" customFormat="true" ht="12.75" hidden="true" customHeight="true" outlineLevel="0" collapsed="false">
      <c r="A444" s="5"/>
      <c r="B444" s="813" t="n">
        <f aca="false">B443+1</f>
        <v>229</v>
      </c>
      <c r="C444" s="814" t="n">
        <f aca="false">C443+D444</f>
        <v>21883.3497463368</v>
      </c>
      <c r="D444" s="815" t="n">
        <f aca="false">E444*$E$205*M444</f>
        <v>115.41338091089</v>
      </c>
      <c r="E444" s="601" t="n">
        <f aca="false">E443+$C$204</f>
        <v>7.31946860165464</v>
      </c>
      <c r="F444" s="816" t="n">
        <f aca="false">F443+1</f>
        <v>229</v>
      </c>
      <c r="G444" s="775" t="n">
        <f aca="false">C444</f>
        <v>21883.3497463368</v>
      </c>
      <c r="H444" s="817" t="n">
        <f aca="false">1000*(E444-E443)</f>
        <v>9.99999999999979</v>
      </c>
      <c r="I444" s="5"/>
      <c r="J444" s="818" t="n">
        <f aca="false">1000*(E444-$E$215)/(B444-$B$215)</f>
        <v>16.8727940112306</v>
      </c>
      <c r="K444" s="732" t="n">
        <f aca="false">AVERAGE($E$216:E444)</f>
        <v>6.1462808287289</v>
      </c>
      <c r="L444" s="819" t="n">
        <f aca="false">L443+1</f>
        <v>229</v>
      </c>
      <c r="M444" s="820" t="n">
        <f aca="false">IF(B444&lt;$E$104,$E$105,$E$106)</f>
        <v>3</v>
      </c>
      <c r="N444" s="821" t="n">
        <f aca="false">IF(B444&lt;$E$104,$E$105,$E$111)</f>
        <v>2.5</v>
      </c>
      <c r="O444" s="822" t="n">
        <f aca="false">E444*$E$205*N444</f>
        <v>96.177817425742</v>
      </c>
      <c r="P444" s="823" t="n">
        <f aca="false">P443+O444</f>
        <v>18287.8053889902</v>
      </c>
      <c r="Q444" s="606" t="n">
        <f aca="false">Q443+1</f>
        <v>229</v>
      </c>
      <c r="R444" s="824" t="n">
        <f aca="false">R443-1</f>
        <v>-229</v>
      </c>
      <c r="S444" s="5"/>
      <c r="T444" s="5"/>
      <c r="U444" s="5"/>
      <c r="V444" s="10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02"/>
      <c r="AU444" s="502"/>
      <c r="AV444" s="606"/>
      <c r="AW444" s="502"/>
      <c r="AX444" s="502"/>
      <c r="AY444" s="502"/>
      <c r="AZ444" s="502"/>
      <c r="BA444" s="502"/>
      <c r="BB444" s="502"/>
      <c r="BC444" s="502"/>
      <c r="BD444" s="502"/>
      <c r="BE444" s="502"/>
      <c r="BF444" s="502"/>
      <c r="BG444" s="502"/>
      <c r="BH444" s="502"/>
      <c r="BI444" s="502"/>
      <c r="BJ444" s="502"/>
      <c r="BK444" s="502"/>
      <c r="BL444" s="502"/>
      <c r="BM444" s="502"/>
      <c r="BN444" s="502"/>
      <c r="BO444" s="502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</row>
    <row r="445" s="504" customFormat="true" ht="12.75" hidden="true" customHeight="true" outlineLevel="0" collapsed="false">
      <c r="A445" s="5"/>
      <c r="B445" s="813" t="n">
        <f aca="false">B444+1</f>
        <v>230</v>
      </c>
      <c r="C445" s="814" t="n">
        <f aca="false">C444+D445</f>
        <v>21998.9208072477</v>
      </c>
      <c r="D445" s="815" t="n">
        <f aca="false">E445*$E$205*M445</f>
        <v>115.57106091089</v>
      </c>
      <c r="E445" s="601" t="n">
        <f aca="false">E444+$C$204</f>
        <v>7.32946860165464</v>
      </c>
      <c r="F445" s="816" t="n">
        <f aca="false">F444+1</f>
        <v>230</v>
      </c>
      <c r="G445" s="775" t="n">
        <f aca="false">C445</f>
        <v>21998.9208072477</v>
      </c>
      <c r="H445" s="817" t="n">
        <f aca="false">1000*(E445-E444)</f>
        <v>9.99999999999979</v>
      </c>
      <c r="I445" s="5"/>
      <c r="J445" s="818" t="n">
        <f aca="false">1000*(E445-$E$215)/(B445-$B$215)</f>
        <v>16.8429122981382</v>
      </c>
      <c r="K445" s="732" t="n">
        <f aca="false">AVERAGE($E$216:E445)</f>
        <v>6.1514251233938</v>
      </c>
      <c r="L445" s="819" t="n">
        <f aca="false">L444+1</f>
        <v>230</v>
      </c>
      <c r="M445" s="820" t="n">
        <f aca="false">IF(B445&lt;$E$104,$E$105,$E$106)</f>
        <v>3</v>
      </c>
      <c r="N445" s="821" t="n">
        <f aca="false">IF(B445&lt;$E$104,$E$105,$E$111)</f>
        <v>2.5</v>
      </c>
      <c r="O445" s="822" t="n">
        <f aca="false">E445*$E$205*N445</f>
        <v>96.309217425742</v>
      </c>
      <c r="P445" s="823" t="n">
        <f aca="false">P444+O445</f>
        <v>18384.114606416</v>
      </c>
      <c r="Q445" s="606" t="n">
        <f aca="false">Q444+1</f>
        <v>230</v>
      </c>
      <c r="R445" s="824" t="n">
        <f aca="false">R444-1</f>
        <v>-230</v>
      </c>
      <c r="S445" s="5"/>
      <c r="T445" s="5"/>
      <c r="U445" s="5"/>
      <c r="V445" s="10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02"/>
      <c r="AU445" s="502"/>
      <c r="AV445" s="606"/>
      <c r="AW445" s="502"/>
      <c r="AX445" s="502"/>
      <c r="AY445" s="502"/>
      <c r="AZ445" s="502"/>
      <c r="BA445" s="502"/>
      <c r="BB445" s="502"/>
      <c r="BC445" s="502"/>
      <c r="BD445" s="502"/>
      <c r="BE445" s="502"/>
      <c r="BF445" s="502"/>
      <c r="BG445" s="502"/>
      <c r="BH445" s="502"/>
      <c r="BI445" s="502"/>
      <c r="BJ445" s="502"/>
      <c r="BK445" s="502"/>
      <c r="BL445" s="502"/>
      <c r="BM445" s="502"/>
      <c r="BN445" s="502"/>
      <c r="BO445" s="502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</row>
    <row r="446" s="504" customFormat="true" ht="12.75" hidden="true" customHeight="true" outlineLevel="0" collapsed="false">
      <c r="A446" s="5"/>
      <c r="B446" s="813" t="n">
        <f aca="false">B445+1</f>
        <v>231</v>
      </c>
      <c r="C446" s="814" t="n">
        <f aca="false">C445+D446</f>
        <v>22114.6495481586</v>
      </c>
      <c r="D446" s="815" t="n">
        <f aca="false">E446*$E$205*M446</f>
        <v>115.72874091089</v>
      </c>
      <c r="E446" s="601" t="n">
        <f aca="false">E445+$C$204</f>
        <v>7.33946860165464</v>
      </c>
      <c r="F446" s="816" t="n">
        <f aca="false">F445+1</f>
        <v>231</v>
      </c>
      <c r="G446" s="775" t="n">
        <f aca="false">C446</f>
        <v>22114.6495481586</v>
      </c>
      <c r="H446" s="817" t="n">
        <f aca="false">1000*(E446-E445)</f>
        <v>9.99999999999979</v>
      </c>
      <c r="I446" s="5"/>
      <c r="J446" s="818" t="n">
        <f aca="false">1000*(E446-$E$215)/(B446-$B$215)</f>
        <v>16.8132893011766</v>
      </c>
      <c r="K446" s="732" t="n">
        <f aca="false">AVERAGE($E$216:E446)</f>
        <v>6.15656816875423</v>
      </c>
      <c r="L446" s="819" t="n">
        <f aca="false">L445+1</f>
        <v>231</v>
      </c>
      <c r="M446" s="820" t="n">
        <f aca="false">IF(B446&lt;$E$104,$E$105,$E$106)</f>
        <v>3</v>
      </c>
      <c r="N446" s="821" t="n">
        <f aca="false">IF(B446&lt;$E$104,$E$105,$E$111)</f>
        <v>2.5</v>
      </c>
      <c r="O446" s="822" t="n">
        <f aca="false">E446*$E$205*N446</f>
        <v>96.440617425742</v>
      </c>
      <c r="P446" s="823" t="n">
        <f aca="false">P445+O446</f>
        <v>18480.5552238417</v>
      </c>
      <c r="Q446" s="606" t="n">
        <f aca="false">Q445+1</f>
        <v>231</v>
      </c>
      <c r="R446" s="824" t="n">
        <f aca="false">R445-1</f>
        <v>-231</v>
      </c>
      <c r="S446" s="5"/>
      <c r="T446" s="5"/>
      <c r="U446" s="5"/>
      <c r="V446" s="10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02"/>
      <c r="AU446" s="502"/>
      <c r="AV446" s="606"/>
      <c r="AW446" s="502"/>
      <c r="AX446" s="502"/>
      <c r="AY446" s="502"/>
      <c r="AZ446" s="502"/>
      <c r="BA446" s="502"/>
      <c r="BB446" s="502"/>
      <c r="BC446" s="502"/>
      <c r="BD446" s="502"/>
      <c r="BE446" s="502"/>
      <c r="BF446" s="502"/>
      <c r="BG446" s="502"/>
      <c r="BH446" s="502"/>
      <c r="BI446" s="502"/>
      <c r="BJ446" s="502"/>
      <c r="BK446" s="502"/>
      <c r="BL446" s="502"/>
      <c r="BM446" s="502"/>
      <c r="BN446" s="502"/>
      <c r="BO446" s="502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</row>
    <row r="447" s="504" customFormat="true" ht="12.75" hidden="true" customHeight="true" outlineLevel="0" collapsed="false">
      <c r="A447" s="5"/>
      <c r="B447" s="813" t="n">
        <f aca="false">B446+1</f>
        <v>232</v>
      </c>
      <c r="C447" s="814" t="n">
        <f aca="false">C446+D447</f>
        <v>22230.5359690695</v>
      </c>
      <c r="D447" s="815" t="n">
        <f aca="false">E447*$E$205*M447</f>
        <v>115.88642091089</v>
      </c>
      <c r="E447" s="601" t="n">
        <f aca="false">E446+$C$204</f>
        <v>7.34946860165464</v>
      </c>
      <c r="F447" s="816" t="n">
        <f aca="false">F446+1</f>
        <v>232</v>
      </c>
      <c r="G447" s="775" t="n">
        <f aca="false">C447</f>
        <v>22230.5359690695</v>
      </c>
      <c r="H447" s="817" t="n">
        <f aca="false">1000*(E447-E446)</f>
        <v>9.99999999999979</v>
      </c>
      <c r="I447" s="5"/>
      <c r="J447" s="818" t="n">
        <f aca="false">1000*(E447-$E$215)/(B447-$B$215)</f>
        <v>16.7839216748784</v>
      </c>
      <c r="K447" s="732" t="n">
        <f aca="false">AVERAGE($E$216:E447)</f>
        <v>6.16170998096501</v>
      </c>
      <c r="L447" s="819" t="n">
        <f aca="false">L446+1</f>
        <v>232</v>
      </c>
      <c r="M447" s="820" t="n">
        <f aca="false">IF(B447&lt;$E$104,$E$105,$E$106)</f>
        <v>3</v>
      </c>
      <c r="N447" s="821" t="n">
        <f aca="false">IF(B447&lt;$E$104,$E$105,$E$111)</f>
        <v>2.5</v>
      </c>
      <c r="O447" s="822" t="n">
        <f aca="false">E447*$E$205*N447</f>
        <v>96.572017425742</v>
      </c>
      <c r="P447" s="823" t="n">
        <f aca="false">P446+O447</f>
        <v>18577.1272412674</v>
      </c>
      <c r="Q447" s="606" t="n">
        <f aca="false">Q446+1</f>
        <v>232</v>
      </c>
      <c r="R447" s="824" t="n">
        <f aca="false">R446-1</f>
        <v>-232</v>
      </c>
      <c r="S447" s="5"/>
      <c r="T447" s="5"/>
      <c r="U447" s="5"/>
      <c r="V447" s="10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02"/>
      <c r="AU447" s="502"/>
      <c r="AV447" s="606"/>
      <c r="AW447" s="502"/>
      <c r="AX447" s="502"/>
      <c r="AY447" s="502"/>
      <c r="AZ447" s="502"/>
      <c r="BA447" s="502"/>
      <c r="BB447" s="502"/>
      <c r="BC447" s="502"/>
      <c r="BD447" s="502"/>
      <c r="BE447" s="502"/>
      <c r="BF447" s="502"/>
      <c r="BG447" s="502"/>
      <c r="BH447" s="502"/>
      <c r="BI447" s="502"/>
      <c r="BJ447" s="502"/>
      <c r="BK447" s="502"/>
      <c r="BL447" s="502"/>
      <c r="BM447" s="502"/>
      <c r="BN447" s="502"/>
      <c r="BO447" s="502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</row>
    <row r="448" s="504" customFormat="true" ht="12.75" hidden="true" customHeight="true" outlineLevel="0" collapsed="false">
      <c r="A448" s="5"/>
      <c r="B448" s="813" t="n">
        <f aca="false">B447+1</f>
        <v>233</v>
      </c>
      <c r="C448" s="814" t="n">
        <f aca="false">C447+D448</f>
        <v>22346.5800699804</v>
      </c>
      <c r="D448" s="815" t="n">
        <f aca="false">E448*$E$205*M448</f>
        <v>116.04410091089</v>
      </c>
      <c r="E448" s="601" t="n">
        <f aca="false">E447+$C$204</f>
        <v>7.35946860165464</v>
      </c>
      <c r="F448" s="816" t="n">
        <f aca="false">F447+1</f>
        <v>233</v>
      </c>
      <c r="G448" s="775" t="n">
        <f aca="false">C448</f>
        <v>22346.5800699804</v>
      </c>
      <c r="H448" s="817" t="n">
        <f aca="false">1000*(E448-E447)</f>
        <v>9.99999999999979</v>
      </c>
      <c r="I448" s="5"/>
      <c r="J448" s="818" t="n">
        <f aca="false">1000*(E448-$E$215)/(B448-$B$215)</f>
        <v>16.7548061312094</v>
      </c>
      <c r="K448" s="732" t="n">
        <f aca="false">AVERAGE($E$216:E448)</f>
        <v>6.16685057590359</v>
      </c>
      <c r="L448" s="819" t="n">
        <f aca="false">L447+1</f>
        <v>233</v>
      </c>
      <c r="M448" s="820" t="n">
        <f aca="false">IF(B448&lt;$E$104,$E$105,$E$106)</f>
        <v>3</v>
      </c>
      <c r="N448" s="821" t="n">
        <f aca="false">IF(B448&lt;$E$104,$E$105,$E$111)</f>
        <v>2.5</v>
      </c>
      <c r="O448" s="822" t="n">
        <f aca="false">E448*$E$205*N448</f>
        <v>96.703417425742</v>
      </c>
      <c r="P448" s="823" t="n">
        <f aca="false">P447+O448</f>
        <v>18673.8306586932</v>
      </c>
      <c r="Q448" s="606" t="n">
        <f aca="false">Q447+1</f>
        <v>233</v>
      </c>
      <c r="R448" s="824" t="n">
        <f aca="false">R447-1</f>
        <v>-233</v>
      </c>
      <c r="S448" s="5"/>
      <c r="T448" s="5"/>
      <c r="U448" s="5"/>
      <c r="V448" s="10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02"/>
      <c r="AU448" s="502"/>
      <c r="AV448" s="606"/>
      <c r="AW448" s="502"/>
      <c r="AX448" s="502"/>
      <c r="AY448" s="502"/>
      <c r="AZ448" s="502"/>
      <c r="BA448" s="502"/>
      <c r="BB448" s="502"/>
      <c r="BC448" s="502"/>
      <c r="BD448" s="502"/>
      <c r="BE448" s="502"/>
      <c r="BF448" s="502"/>
      <c r="BG448" s="502"/>
      <c r="BH448" s="502"/>
      <c r="BI448" s="502"/>
      <c r="BJ448" s="502"/>
      <c r="BK448" s="502"/>
      <c r="BL448" s="502"/>
      <c r="BM448" s="502"/>
      <c r="BN448" s="502"/>
      <c r="BO448" s="502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</row>
    <row r="449" s="504" customFormat="true" ht="12.75" hidden="true" customHeight="true" outlineLevel="0" collapsed="false">
      <c r="A449" s="5"/>
      <c r="B449" s="813" t="n">
        <f aca="false">B448+1</f>
        <v>234</v>
      </c>
      <c r="C449" s="814" t="n">
        <f aca="false">C448+D449</f>
        <v>22462.7818508913</v>
      </c>
      <c r="D449" s="815" t="n">
        <f aca="false">E449*$E$205*M449</f>
        <v>116.20178091089</v>
      </c>
      <c r="E449" s="601" t="n">
        <f aca="false">E448+$C$204</f>
        <v>7.36946860165464</v>
      </c>
      <c r="F449" s="816" t="n">
        <f aca="false">F448+1</f>
        <v>234</v>
      </c>
      <c r="G449" s="775" t="n">
        <f aca="false">C449</f>
        <v>22462.7818508913</v>
      </c>
      <c r="H449" s="817" t="n">
        <f aca="false">1000*(E449-E448)</f>
        <v>9.99999999999979</v>
      </c>
      <c r="I449" s="5"/>
      <c r="J449" s="818" t="n">
        <f aca="false">1000*(E449-$E$215)/(B449-$B$215)</f>
        <v>16.725939438341</v>
      </c>
      <c r="K449" s="732" t="n">
        <f aca="false">AVERAGE($E$216:E449)</f>
        <v>6.17198996917603</v>
      </c>
      <c r="L449" s="819" t="n">
        <f aca="false">L448+1</f>
        <v>234</v>
      </c>
      <c r="M449" s="820" t="n">
        <f aca="false">IF(B449&lt;$E$104,$E$105,$E$106)</f>
        <v>3</v>
      </c>
      <c r="N449" s="821" t="n">
        <f aca="false">IF(B449&lt;$E$104,$E$105,$E$111)</f>
        <v>2.5</v>
      </c>
      <c r="O449" s="822" t="n">
        <f aca="false">E449*$E$205*N449</f>
        <v>96.834817425742</v>
      </c>
      <c r="P449" s="823" t="n">
        <f aca="false">P448+O449</f>
        <v>18770.6654761189</v>
      </c>
      <c r="Q449" s="606" t="n">
        <f aca="false">Q448+1</f>
        <v>234</v>
      </c>
      <c r="R449" s="824" t="n">
        <f aca="false">R448-1</f>
        <v>-234</v>
      </c>
      <c r="S449" s="5"/>
      <c r="T449" s="5"/>
      <c r="U449" s="5"/>
      <c r="V449" s="10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02"/>
      <c r="AU449" s="502"/>
      <c r="AV449" s="606"/>
      <c r="AW449" s="502"/>
      <c r="AX449" s="502"/>
      <c r="AY449" s="502"/>
      <c r="AZ449" s="502"/>
      <c r="BA449" s="502"/>
      <c r="BB449" s="502"/>
      <c r="BC449" s="502"/>
      <c r="BD449" s="502"/>
      <c r="BE449" s="502"/>
      <c r="BF449" s="502"/>
      <c r="BG449" s="502"/>
      <c r="BH449" s="502"/>
      <c r="BI449" s="502"/>
      <c r="BJ449" s="502"/>
      <c r="BK449" s="502"/>
      <c r="BL449" s="502"/>
      <c r="BM449" s="502"/>
      <c r="BN449" s="502"/>
      <c r="BO449" s="502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</row>
    <row r="450" s="504" customFormat="true" ht="12.75" hidden="true" customHeight="true" outlineLevel="0" collapsed="false">
      <c r="A450" s="5"/>
      <c r="B450" s="813" t="n">
        <f aca="false">B449+1</f>
        <v>235</v>
      </c>
      <c r="C450" s="814" t="n">
        <f aca="false">C449+D450</f>
        <v>22579.1413118022</v>
      </c>
      <c r="D450" s="815" t="n">
        <f aca="false">E450*$E$205*M450</f>
        <v>116.35946091089</v>
      </c>
      <c r="E450" s="601" t="n">
        <f aca="false">E449+$C$204</f>
        <v>7.37946860165464</v>
      </c>
      <c r="F450" s="816" t="n">
        <f aca="false">F449+1</f>
        <v>235</v>
      </c>
      <c r="G450" s="775" t="n">
        <f aca="false">C450</f>
        <v>22579.1413118022</v>
      </c>
      <c r="H450" s="817" t="n">
        <f aca="false">1000*(E450-E449)</f>
        <v>9.99999999999979</v>
      </c>
      <c r="I450" s="5"/>
      <c r="J450" s="818" t="n">
        <f aca="false">1000*(E450-$E$215)/(B450-$B$215)</f>
        <v>16.6973184194544</v>
      </c>
      <c r="K450" s="732" t="n">
        <f aca="false">AVERAGE($E$216:E450)</f>
        <v>6.17712817612275</v>
      </c>
      <c r="L450" s="819" t="n">
        <f aca="false">L449+1</f>
        <v>235</v>
      </c>
      <c r="M450" s="820" t="n">
        <f aca="false">IF(B450&lt;$E$104,$E$105,$E$106)</f>
        <v>3</v>
      </c>
      <c r="N450" s="821" t="n">
        <f aca="false">IF(B450&lt;$E$104,$E$105,$E$111)</f>
        <v>2.5</v>
      </c>
      <c r="O450" s="822" t="n">
        <f aca="false">E450*$E$205*N450</f>
        <v>96.966217425742</v>
      </c>
      <c r="P450" s="823" t="n">
        <f aca="false">P449+O450</f>
        <v>18867.6316935447</v>
      </c>
      <c r="Q450" s="606" t="n">
        <f aca="false">Q449+1</f>
        <v>235</v>
      </c>
      <c r="R450" s="824" t="n">
        <f aca="false">R449-1</f>
        <v>-235</v>
      </c>
      <c r="S450" s="5"/>
      <c r="T450" s="5"/>
      <c r="U450" s="5"/>
      <c r="V450" s="10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02"/>
      <c r="AU450" s="502"/>
      <c r="AV450" s="606"/>
      <c r="AW450" s="502"/>
      <c r="AX450" s="502"/>
      <c r="AY450" s="502"/>
      <c r="AZ450" s="502"/>
      <c r="BA450" s="502"/>
      <c r="BB450" s="502"/>
      <c r="BC450" s="502"/>
      <c r="BD450" s="502"/>
      <c r="BE450" s="502"/>
      <c r="BF450" s="502"/>
      <c r="BG450" s="502"/>
      <c r="BH450" s="502"/>
      <c r="BI450" s="502"/>
      <c r="BJ450" s="502"/>
      <c r="BK450" s="502"/>
      <c r="BL450" s="502"/>
      <c r="BM450" s="502"/>
      <c r="BN450" s="502"/>
      <c r="BO450" s="502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</row>
    <row r="451" s="504" customFormat="true" ht="12.75" hidden="true" customHeight="true" outlineLevel="0" collapsed="false">
      <c r="A451" s="5"/>
      <c r="B451" s="813" t="n">
        <f aca="false">B450+1</f>
        <v>236</v>
      </c>
      <c r="C451" s="814" t="n">
        <f aca="false">C450+D451</f>
        <v>22695.6584527131</v>
      </c>
      <c r="D451" s="815" t="n">
        <f aca="false">E451*$E$205*M451</f>
        <v>116.51714091089</v>
      </c>
      <c r="E451" s="601" t="n">
        <f aca="false">E450+$C$204</f>
        <v>7.38946860165464</v>
      </c>
      <c r="F451" s="816" t="n">
        <f aca="false">F450+1</f>
        <v>236</v>
      </c>
      <c r="G451" s="775" t="n">
        <f aca="false">C451</f>
        <v>22695.6584527131</v>
      </c>
      <c r="H451" s="817" t="n">
        <f aca="false">1000*(E451-E450)</f>
        <v>9.99999999999979</v>
      </c>
      <c r="I451" s="5"/>
      <c r="J451" s="818" t="n">
        <f aca="false">1000*(E451-$E$215)/(B451-$B$215)</f>
        <v>16.6689399515754</v>
      </c>
      <c r="K451" s="732" t="n">
        <f aca="false">AVERAGE($E$216:E451)</f>
        <v>6.18226521182416</v>
      </c>
      <c r="L451" s="819" t="n">
        <f aca="false">L450+1</f>
        <v>236</v>
      </c>
      <c r="M451" s="820" t="n">
        <f aca="false">IF(B451&lt;$E$104,$E$105,$E$106)</f>
        <v>3</v>
      </c>
      <c r="N451" s="821" t="n">
        <f aca="false">IF(B451&lt;$E$104,$E$105,$E$111)</f>
        <v>2.5</v>
      </c>
      <c r="O451" s="822" t="n">
        <f aca="false">E451*$E$205*N451</f>
        <v>97.097617425742</v>
      </c>
      <c r="P451" s="823" t="n">
        <f aca="false">P450+O451</f>
        <v>18964.7293109704</v>
      </c>
      <c r="Q451" s="606" t="n">
        <f aca="false">Q450+1</f>
        <v>236</v>
      </c>
      <c r="R451" s="824" t="n">
        <f aca="false">R450-1</f>
        <v>-236</v>
      </c>
      <c r="S451" s="5"/>
      <c r="T451" s="5"/>
      <c r="U451" s="5"/>
      <c r="V451" s="10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02"/>
      <c r="AU451" s="502"/>
      <c r="AV451" s="606"/>
      <c r="AW451" s="502"/>
      <c r="AX451" s="502"/>
      <c r="AY451" s="502"/>
      <c r="AZ451" s="502"/>
      <c r="BA451" s="502"/>
      <c r="BB451" s="502"/>
      <c r="BC451" s="502"/>
      <c r="BD451" s="502"/>
      <c r="BE451" s="502"/>
      <c r="BF451" s="502"/>
      <c r="BG451" s="502"/>
      <c r="BH451" s="502"/>
      <c r="BI451" s="502"/>
      <c r="BJ451" s="502"/>
      <c r="BK451" s="502"/>
      <c r="BL451" s="502"/>
      <c r="BM451" s="502"/>
      <c r="BN451" s="502"/>
      <c r="BO451" s="502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</row>
    <row r="452" s="504" customFormat="true" ht="12.75" hidden="true" customHeight="true" outlineLevel="0" collapsed="false">
      <c r="A452" s="5"/>
      <c r="B452" s="813" t="n">
        <f aca="false">B451+1</f>
        <v>237</v>
      </c>
      <c r="C452" s="814" t="n">
        <f aca="false">C451+D452</f>
        <v>22812.333273624</v>
      </c>
      <c r="D452" s="815" t="n">
        <f aca="false">E452*$E$205*M452</f>
        <v>116.67482091089</v>
      </c>
      <c r="E452" s="601" t="n">
        <f aca="false">E451+$C$204</f>
        <v>7.39946860165464</v>
      </c>
      <c r="F452" s="816" t="n">
        <f aca="false">F451+1</f>
        <v>237</v>
      </c>
      <c r="G452" s="775" t="n">
        <f aca="false">C452</f>
        <v>22812.333273624</v>
      </c>
      <c r="H452" s="817" t="n">
        <f aca="false">1000*(E452-E451)</f>
        <v>9.99999999999979</v>
      </c>
      <c r="I452" s="5"/>
      <c r="J452" s="818" t="n">
        <f aca="false">1000*(E452-$E$215)/(B452-$B$215)</f>
        <v>16.6408009644379</v>
      </c>
      <c r="K452" s="732" t="n">
        <f aca="false">AVERAGE($E$216:E452)</f>
        <v>6.18740109110614</v>
      </c>
      <c r="L452" s="819" t="n">
        <f aca="false">L451+1</f>
        <v>237</v>
      </c>
      <c r="M452" s="820" t="n">
        <f aca="false">IF(B452&lt;$E$104,$E$105,$E$106)</f>
        <v>3</v>
      </c>
      <c r="N452" s="821" t="n">
        <f aca="false">IF(B452&lt;$E$104,$E$105,$E$111)</f>
        <v>2.5</v>
      </c>
      <c r="O452" s="822" t="n">
        <f aca="false">E452*$E$205*N452</f>
        <v>97.229017425742</v>
      </c>
      <c r="P452" s="823" t="n">
        <f aca="false">P451+O452</f>
        <v>19061.9583283962</v>
      </c>
      <c r="Q452" s="606" t="n">
        <f aca="false">Q451+1</f>
        <v>237</v>
      </c>
      <c r="R452" s="824" t="n">
        <f aca="false">R451-1</f>
        <v>-237</v>
      </c>
      <c r="S452" s="5"/>
      <c r="T452" s="5"/>
      <c r="U452" s="5"/>
      <c r="V452" s="10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02"/>
      <c r="AU452" s="502"/>
      <c r="AV452" s="606"/>
      <c r="AW452" s="502"/>
      <c r="AX452" s="502"/>
      <c r="AY452" s="502"/>
      <c r="AZ452" s="502"/>
      <c r="BA452" s="502"/>
      <c r="BB452" s="502"/>
      <c r="BC452" s="502"/>
      <c r="BD452" s="502"/>
      <c r="BE452" s="502"/>
      <c r="BF452" s="502"/>
      <c r="BG452" s="502"/>
      <c r="BH452" s="502"/>
      <c r="BI452" s="502"/>
      <c r="BJ452" s="502"/>
      <c r="BK452" s="502"/>
      <c r="BL452" s="502"/>
      <c r="BM452" s="502"/>
      <c r="BN452" s="502"/>
      <c r="BO452" s="502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</row>
    <row r="453" s="504" customFormat="true" ht="12.75" hidden="true" customHeight="true" outlineLevel="0" collapsed="false">
      <c r="A453" s="5"/>
      <c r="B453" s="813" t="n">
        <f aca="false">B452+1</f>
        <v>238</v>
      </c>
      <c r="C453" s="814" t="n">
        <f aca="false">C452+D453</f>
        <v>22929.1657745349</v>
      </c>
      <c r="D453" s="815" t="n">
        <f aca="false">E453*$E$205*M453</f>
        <v>116.83250091089</v>
      </c>
      <c r="E453" s="601" t="n">
        <f aca="false">E452+$C$204</f>
        <v>7.40946860165464</v>
      </c>
      <c r="F453" s="816" t="n">
        <f aca="false">F452+1</f>
        <v>238</v>
      </c>
      <c r="G453" s="775" t="n">
        <f aca="false">C453</f>
        <v>22929.1657745349</v>
      </c>
      <c r="H453" s="817" t="n">
        <f aca="false">1000*(E453-E452)</f>
        <v>9.99999999999979</v>
      </c>
      <c r="I453" s="5"/>
      <c r="J453" s="818" t="n">
        <f aca="false">1000*(E453-$E$215)/(B453-$B$215)</f>
        <v>16.6128984393773</v>
      </c>
      <c r="K453" s="732" t="n">
        <f aca="false">AVERAGE($E$216:E453)</f>
        <v>6.19253582854542</v>
      </c>
      <c r="L453" s="819" t="n">
        <f aca="false">L452+1</f>
        <v>238</v>
      </c>
      <c r="M453" s="820" t="n">
        <f aca="false">IF(B453&lt;$E$104,$E$105,$E$106)</f>
        <v>3</v>
      </c>
      <c r="N453" s="821" t="n">
        <f aca="false">IF(B453&lt;$E$104,$E$105,$E$111)</f>
        <v>2.5</v>
      </c>
      <c r="O453" s="822" t="n">
        <f aca="false">E453*$E$205*N453</f>
        <v>97.360417425742</v>
      </c>
      <c r="P453" s="823" t="n">
        <f aca="false">P452+O453</f>
        <v>19159.3187458219</v>
      </c>
      <c r="Q453" s="606" t="n">
        <f aca="false">Q452+1</f>
        <v>238</v>
      </c>
      <c r="R453" s="824" t="n">
        <f aca="false">R452-1</f>
        <v>-238</v>
      </c>
      <c r="S453" s="5"/>
      <c r="T453" s="5"/>
      <c r="U453" s="5"/>
      <c r="V453" s="10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02"/>
      <c r="AU453" s="502"/>
      <c r="AV453" s="606"/>
      <c r="AW453" s="502"/>
      <c r="AX453" s="502"/>
      <c r="AY453" s="502"/>
      <c r="AZ453" s="502"/>
      <c r="BA453" s="502"/>
      <c r="BB453" s="502"/>
      <c r="BC453" s="502"/>
      <c r="BD453" s="502"/>
      <c r="BE453" s="502"/>
      <c r="BF453" s="502"/>
      <c r="BG453" s="502"/>
      <c r="BH453" s="502"/>
      <c r="BI453" s="502"/>
      <c r="BJ453" s="502"/>
      <c r="BK453" s="502"/>
      <c r="BL453" s="502"/>
      <c r="BM453" s="502"/>
      <c r="BN453" s="502"/>
      <c r="BO453" s="502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</row>
    <row r="454" s="504" customFormat="true" ht="12.75" hidden="true" customHeight="true" outlineLevel="0" collapsed="false">
      <c r="A454" s="5"/>
      <c r="B454" s="813" t="n">
        <f aca="false">B453+1</f>
        <v>239</v>
      </c>
      <c r="C454" s="814" t="n">
        <f aca="false">C453+D454</f>
        <v>23046.1559554457</v>
      </c>
      <c r="D454" s="815" t="n">
        <f aca="false">E454*$E$205*M454</f>
        <v>116.99018091089</v>
      </c>
      <c r="E454" s="601" t="n">
        <f aca="false">E453+$C$204</f>
        <v>7.41946860165464</v>
      </c>
      <c r="F454" s="816" t="n">
        <f aca="false">F453+1</f>
        <v>239</v>
      </c>
      <c r="G454" s="775" t="n">
        <f aca="false">C454</f>
        <v>23046.1559554457</v>
      </c>
      <c r="H454" s="817" t="n">
        <f aca="false">1000*(E454-E453)</f>
        <v>9.99999999999979</v>
      </c>
      <c r="I454" s="5"/>
      <c r="J454" s="818" t="n">
        <f aca="false">1000*(E454-$E$215)/(B454-$B$215)</f>
        <v>16.5852294082502</v>
      </c>
      <c r="K454" s="732" t="n">
        <f aca="false">AVERAGE($E$216:E454)</f>
        <v>6.19766943847475</v>
      </c>
      <c r="L454" s="819" t="n">
        <f aca="false">L453+1</f>
        <v>239</v>
      </c>
      <c r="M454" s="820" t="n">
        <f aca="false">IF(B454&lt;$E$104,$E$105,$E$106)</f>
        <v>3</v>
      </c>
      <c r="N454" s="821" t="n">
        <f aca="false">IF(B454&lt;$E$104,$E$105,$E$111)</f>
        <v>2.5</v>
      </c>
      <c r="O454" s="822" t="n">
        <f aca="false">E454*$E$205*N454</f>
        <v>97.491817425742</v>
      </c>
      <c r="P454" s="823" t="n">
        <f aca="false">P453+O454</f>
        <v>19256.8105632476</v>
      </c>
      <c r="Q454" s="606" t="n">
        <f aca="false">Q453+1</f>
        <v>239</v>
      </c>
      <c r="R454" s="824" t="n">
        <f aca="false">R453-1</f>
        <v>-239</v>
      </c>
      <c r="S454" s="5"/>
      <c r="T454" s="5"/>
      <c r="U454" s="5"/>
      <c r="V454" s="10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02"/>
      <c r="AU454" s="502"/>
      <c r="AV454" s="606"/>
      <c r="AW454" s="502"/>
      <c r="AX454" s="502"/>
      <c r="AY454" s="502"/>
      <c r="AZ454" s="502"/>
      <c r="BA454" s="502"/>
      <c r="BB454" s="502"/>
      <c r="BC454" s="502"/>
      <c r="BD454" s="502"/>
      <c r="BE454" s="502"/>
      <c r="BF454" s="502"/>
      <c r="BG454" s="502"/>
      <c r="BH454" s="502"/>
      <c r="BI454" s="502"/>
      <c r="BJ454" s="502"/>
      <c r="BK454" s="502"/>
      <c r="BL454" s="502"/>
      <c r="BM454" s="502"/>
      <c r="BN454" s="502"/>
      <c r="BO454" s="502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</row>
    <row r="455" s="504" customFormat="true" ht="12.75" hidden="true" customHeight="true" outlineLevel="0" collapsed="false">
      <c r="A455" s="5"/>
      <c r="B455" s="813" t="n">
        <f aca="false">B454+1</f>
        <v>240</v>
      </c>
      <c r="C455" s="814" t="n">
        <f aca="false">C454+D455</f>
        <v>23163.3038163566</v>
      </c>
      <c r="D455" s="815" t="n">
        <f aca="false">E455*$E$205*M455</f>
        <v>117.14786091089</v>
      </c>
      <c r="E455" s="601" t="n">
        <f aca="false">E454+$C$204</f>
        <v>7.42946860165464</v>
      </c>
      <c r="F455" s="816" t="n">
        <f aca="false">F454+1</f>
        <v>240</v>
      </c>
      <c r="G455" s="775" t="n">
        <f aca="false">C455</f>
        <v>23163.3038163566</v>
      </c>
      <c r="H455" s="817" t="n">
        <f aca="false">1000*(E455-E454)</f>
        <v>9.99999999999979</v>
      </c>
      <c r="I455" s="5"/>
      <c r="J455" s="818" t="n">
        <f aca="false">1000*(E455-$E$215)/(B455-$B$215)</f>
        <v>16.5577909523825</v>
      </c>
      <c r="K455" s="732" t="n">
        <f aca="false">AVERAGE($E$216:E455)</f>
        <v>6.202801934988</v>
      </c>
      <c r="L455" s="819" t="n">
        <f aca="false">L454+1</f>
        <v>240</v>
      </c>
      <c r="M455" s="820" t="n">
        <f aca="false">IF(B455&lt;$E$104,$E$105,$E$106)</f>
        <v>3</v>
      </c>
      <c r="N455" s="821" t="n">
        <f aca="false">IF(B455&lt;$E$104,$E$105,$E$111)</f>
        <v>2.5</v>
      </c>
      <c r="O455" s="822" t="n">
        <f aca="false">E455*$E$205*N455</f>
        <v>97.623217425742</v>
      </c>
      <c r="P455" s="823" t="n">
        <f aca="false">P454+O455</f>
        <v>19354.4337806734</v>
      </c>
      <c r="Q455" s="606" t="n">
        <f aca="false">Q454+1</f>
        <v>240</v>
      </c>
      <c r="R455" s="824" t="n">
        <f aca="false">R454-1</f>
        <v>-240</v>
      </c>
      <c r="S455" s="5"/>
      <c r="T455" s="5"/>
      <c r="U455" s="5"/>
      <c r="V455" s="10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02"/>
      <c r="AU455" s="502"/>
      <c r="AV455" s="606"/>
      <c r="AW455" s="502"/>
      <c r="AX455" s="502"/>
      <c r="AY455" s="502"/>
      <c r="AZ455" s="502"/>
      <c r="BA455" s="502"/>
      <c r="BB455" s="502"/>
      <c r="BC455" s="502"/>
      <c r="BD455" s="502"/>
      <c r="BE455" s="502"/>
      <c r="BF455" s="502"/>
      <c r="BG455" s="502"/>
      <c r="BH455" s="502"/>
      <c r="BI455" s="502"/>
      <c r="BJ455" s="502"/>
      <c r="BK455" s="502"/>
      <c r="BL455" s="502"/>
      <c r="BM455" s="502"/>
      <c r="BN455" s="502"/>
      <c r="BO455" s="502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</row>
    <row r="456" s="504" customFormat="true" ht="12.75" hidden="true" customHeight="true" outlineLevel="0" collapsed="false">
      <c r="A456" s="5"/>
      <c r="B456" s="813" t="n">
        <f aca="false">B455+1</f>
        <v>241</v>
      </c>
      <c r="C456" s="814" t="n">
        <f aca="false">C455+D456</f>
        <v>23280.6093572675</v>
      </c>
      <c r="D456" s="815" t="n">
        <f aca="false">E456*$E$205*M456</f>
        <v>117.30554091089</v>
      </c>
      <c r="E456" s="601" t="n">
        <f aca="false">E455+$C$204</f>
        <v>7.43946860165464</v>
      </c>
      <c r="F456" s="816" t="n">
        <f aca="false">F455+1</f>
        <v>241</v>
      </c>
      <c r="G456" s="775" t="n">
        <f aca="false">C456</f>
        <v>23280.6093572675</v>
      </c>
      <c r="H456" s="817" t="n">
        <f aca="false">1000*(E456-E455)</f>
        <v>9.99999999999979</v>
      </c>
      <c r="I456" s="5"/>
      <c r="J456" s="818" t="n">
        <f aca="false">1000*(E456-$E$215)/(B456-$B$215)</f>
        <v>16.5305802015427</v>
      </c>
      <c r="K456" s="732" t="n">
        <f aca="false">AVERAGE($E$216:E456)</f>
        <v>6.20793333194512</v>
      </c>
      <c r="L456" s="819" t="n">
        <f aca="false">L455+1</f>
        <v>241</v>
      </c>
      <c r="M456" s="820" t="n">
        <f aca="false">IF(B456&lt;$E$104,$E$105,$E$106)</f>
        <v>3</v>
      </c>
      <c r="N456" s="821" t="n">
        <f aca="false">IF(B456&lt;$E$104,$E$105,$E$111)</f>
        <v>2.5</v>
      </c>
      <c r="O456" s="822" t="n">
        <f aca="false">E456*$E$205*N456</f>
        <v>97.754617425742</v>
      </c>
      <c r="P456" s="823" t="n">
        <f aca="false">P455+O456</f>
        <v>19452.1883980991</v>
      </c>
      <c r="Q456" s="606" t="n">
        <f aca="false">Q455+1</f>
        <v>241</v>
      </c>
      <c r="R456" s="824" t="n">
        <f aca="false">R455-1</f>
        <v>-241</v>
      </c>
      <c r="S456" s="5"/>
      <c r="T456" s="5"/>
      <c r="U456" s="5"/>
      <c r="V456" s="10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02"/>
      <c r="AU456" s="502"/>
      <c r="AV456" s="606"/>
      <c r="AW456" s="502"/>
      <c r="AX456" s="502"/>
      <c r="AY456" s="502"/>
      <c r="AZ456" s="502"/>
      <c r="BA456" s="502"/>
      <c r="BB456" s="502"/>
      <c r="BC456" s="502"/>
      <c r="BD456" s="502"/>
      <c r="BE456" s="502"/>
      <c r="BF456" s="502"/>
      <c r="BG456" s="502"/>
      <c r="BH456" s="502"/>
      <c r="BI456" s="502"/>
      <c r="BJ456" s="502"/>
      <c r="BK456" s="502"/>
      <c r="BL456" s="502"/>
      <c r="BM456" s="502"/>
      <c r="BN456" s="502"/>
      <c r="BO456" s="502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</row>
    <row r="457" s="504" customFormat="true" ht="12.75" hidden="true" customHeight="true" outlineLevel="0" collapsed="false">
      <c r="A457" s="5"/>
      <c r="B457" s="813" t="n">
        <f aca="false">B456+1</f>
        <v>242</v>
      </c>
      <c r="C457" s="814" t="n">
        <f aca="false">C456+D457</f>
        <v>23398.0725781784</v>
      </c>
      <c r="D457" s="815" t="n">
        <f aca="false">E457*$E$205*M457</f>
        <v>117.46322091089</v>
      </c>
      <c r="E457" s="601" t="n">
        <f aca="false">E456+$C$204</f>
        <v>7.44946860165464</v>
      </c>
      <c r="F457" s="816" t="n">
        <f aca="false">F456+1</f>
        <v>242</v>
      </c>
      <c r="G457" s="775" t="n">
        <f aca="false">C457</f>
        <v>23398.0725781784</v>
      </c>
      <c r="H457" s="817" t="n">
        <f aca="false">1000*(E457-E456)</f>
        <v>9.99999999999979</v>
      </c>
      <c r="I457" s="5"/>
      <c r="J457" s="818" t="n">
        <f aca="false">1000*(E457-$E$215)/(B457-$B$215)</f>
        <v>16.5035943329413</v>
      </c>
      <c r="K457" s="732" t="n">
        <f aca="false">AVERAGE($E$216:E457)</f>
        <v>6.21306364297698</v>
      </c>
      <c r="L457" s="819" t="n">
        <f aca="false">L456+1</f>
        <v>242</v>
      </c>
      <c r="M457" s="820" t="n">
        <f aca="false">IF(B457&lt;$E$104,$E$105,$E$106)</f>
        <v>3</v>
      </c>
      <c r="N457" s="821" t="n">
        <f aca="false">IF(B457&lt;$E$104,$E$105,$E$111)</f>
        <v>2.5</v>
      </c>
      <c r="O457" s="822" t="n">
        <f aca="false">E457*$E$205*N457</f>
        <v>97.886017425742</v>
      </c>
      <c r="P457" s="823" t="n">
        <f aca="false">P456+O457</f>
        <v>19550.0744155249</v>
      </c>
      <c r="Q457" s="606" t="n">
        <f aca="false">Q456+1</f>
        <v>242</v>
      </c>
      <c r="R457" s="824" t="n">
        <f aca="false">R456-1</f>
        <v>-242</v>
      </c>
      <c r="S457" s="5"/>
      <c r="T457" s="5"/>
      <c r="U457" s="5"/>
      <c r="V457" s="10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02"/>
      <c r="AU457" s="502"/>
      <c r="AV457" s="606"/>
      <c r="AW457" s="502"/>
      <c r="AX457" s="502"/>
      <c r="AY457" s="502"/>
      <c r="AZ457" s="502"/>
      <c r="BA457" s="502"/>
      <c r="BB457" s="502"/>
      <c r="BC457" s="502"/>
      <c r="BD457" s="502"/>
      <c r="BE457" s="502"/>
      <c r="BF457" s="502"/>
      <c r="BG457" s="502"/>
      <c r="BH457" s="502"/>
      <c r="BI457" s="502"/>
      <c r="BJ457" s="502"/>
      <c r="BK457" s="502"/>
      <c r="BL457" s="502"/>
      <c r="BM457" s="502"/>
      <c r="BN457" s="502"/>
      <c r="BO457" s="502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</row>
    <row r="458" s="504" customFormat="true" ht="12.75" hidden="true" customHeight="true" outlineLevel="0" collapsed="false">
      <c r="A458" s="5"/>
      <c r="B458" s="813" t="n">
        <f aca="false">B457+1</f>
        <v>243</v>
      </c>
      <c r="C458" s="814" t="n">
        <f aca="false">C457+D458</f>
        <v>23515.6934790893</v>
      </c>
      <c r="D458" s="815" t="n">
        <f aca="false">E458*$E$205*M458</f>
        <v>117.62090091089</v>
      </c>
      <c r="E458" s="601" t="n">
        <f aca="false">E457+$C$204</f>
        <v>7.45946860165464</v>
      </c>
      <c r="F458" s="816" t="n">
        <f aca="false">F457+1</f>
        <v>243</v>
      </c>
      <c r="G458" s="775" t="n">
        <f aca="false">C458</f>
        <v>23515.6934790893</v>
      </c>
      <c r="H458" s="817" t="n">
        <f aca="false">1000*(E458-E457)</f>
        <v>9.99999999999979</v>
      </c>
      <c r="I458" s="5"/>
      <c r="J458" s="818" t="n">
        <f aca="false">1000*(E458-$E$215)/(B458-$B$215)</f>
        <v>16.4768305702543</v>
      </c>
      <c r="K458" s="732" t="n">
        <f aca="false">AVERAGE($E$216:E458)</f>
        <v>6.21819288149006</v>
      </c>
      <c r="L458" s="819" t="n">
        <f aca="false">L457+1</f>
        <v>243</v>
      </c>
      <c r="M458" s="820" t="n">
        <f aca="false">IF(B458&lt;$E$104,$E$105,$E$106)</f>
        <v>3</v>
      </c>
      <c r="N458" s="821" t="n">
        <f aca="false">IF(B458&lt;$E$104,$E$105,$E$111)</f>
        <v>2.5</v>
      </c>
      <c r="O458" s="822" t="n">
        <f aca="false">E458*$E$205*N458</f>
        <v>98.017417425742</v>
      </c>
      <c r="P458" s="823" t="n">
        <f aca="false">P457+O458</f>
        <v>19648.0918329506</v>
      </c>
      <c r="Q458" s="606" t="n">
        <f aca="false">Q457+1</f>
        <v>243</v>
      </c>
      <c r="R458" s="824" t="n">
        <f aca="false">R457-1</f>
        <v>-243</v>
      </c>
      <c r="S458" s="5"/>
      <c r="T458" s="5"/>
      <c r="U458" s="5"/>
      <c r="V458" s="10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02"/>
      <c r="AU458" s="502"/>
      <c r="AV458" s="606"/>
      <c r="AW458" s="502"/>
      <c r="AX458" s="502"/>
      <c r="AY458" s="502"/>
      <c r="AZ458" s="502"/>
      <c r="BA458" s="502"/>
      <c r="BB458" s="502"/>
      <c r="BC458" s="502"/>
      <c r="BD458" s="502"/>
      <c r="BE458" s="502"/>
      <c r="BF458" s="502"/>
      <c r="BG458" s="502"/>
      <c r="BH458" s="502"/>
      <c r="BI458" s="502"/>
      <c r="BJ458" s="502"/>
      <c r="BK458" s="502"/>
      <c r="BL458" s="502"/>
      <c r="BM458" s="502"/>
      <c r="BN458" s="502"/>
      <c r="BO458" s="502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</row>
    <row r="459" s="504" customFormat="true" ht="12.75" hidden="true" customHeight="true" outlineLevel="0" collapsed="false">
      <c r="A459" s="5"/>
      <c r="B459" s="813" t="n">
        <f aca="false">B458+1</f>
        <v>244</v>
      </c>
      <c r="C459" s="814" t="n">
        <f aca="false">C458+D459</f>
        <v>23633.4720600002</v>
      </c>
      <c r="D459" s="815" t="n">
        <f aca="false">E459*$E$205*M459</f>
        <v>117.77858091089</v>
      </c>
      <c r="E459" s="601" t="n">
        <f aca="false">E458+$C$204</f>
        <v>7.46946860165464</v>
      </c>
      <c r="F459" s="816" t="n">
        <f aca="false">F458+1</f>
        <v>244</v>
      </c>
      <c r="G459" s="775" t="n">
        <f aca="false">C459</f>
        <v>23633.4720600002</v>
      </c>
      <c r="H459" s="817" t="n">
        <f aca="false">1000*(E459-E458)</f>
        <v>9.99999999999979</v>
      </c>
      <c r="I459" s="5"/>
      <c r="J459" s="818" t="n">
        <f aca="false">1000*(E459-$E$215)/(B459-$B$215)</f>
        <v>16.4502861826713</v>
      </c>
      <c r="K459" s="732" t="n">
        <f aca="false">AVERAGE($E$216:E459)</f>
        <v>6.22332106067106</v>
      </c>
      <c r="L459" s="819" t="n">
        <f aca="false">L458+1</f>
        <v>244</v>
      </c>
      <c r="M459" s="820" t="n">
        <f aca="false">IF(B459&lt;$E$104,$E$105,$E$106)</f>
        <v>3</v>
      </c>
      <c r="N459" s="821" t="n">
        <f aca="false">IF(B459&lt;$E$104,$E$105,$E$111)</f>
        <v>2.5</v>
      </c>
      <c r="O459" s="822" t="n">
        <f aca="false">E459*$E$205*N459</f>
        <v>98.148817425742</v>
      </c>
      <c r="P459" s="823" t="n">
        <f aca="false">P458+O459</f>
        <v>19746.2406503764</v>
      </c>
      <c r="Q459" s="606" t="n">
        <f aca="false">Q458+1</f>
        <v>244</v>
      </c>
      <c r="R459" s="824" t="n">
        <f aca="false">R458-1</f>
        <v>-244</v>
      </c>
      <c r="S459" s="5"/>
      <c r="T459" s="5"/>
      <c r="U459" s="5"/>
      <c r="V459" s="10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02"/>
      <c r="AU459" s="502"/>
      <c r="AV459" s="606"/>
      <c r="AW459" s="502"/>
      <c r="AX459" s="502"/>
      <c r="AY459" s="502"/>
      <c r="AZ459" s="502"/>
      <c r="BA459" s="502"/>
      <c r="BB459" s="502"/>
      <c r="BC459" s="502"/>
      <c r="BD459" s="502"/>
      <c r="BE459" s="502"/>
      <c r="BF459" s="502"/>
      <c r="BG459" s="502"/>
      <c r="BH459" s="502"/>
      <c r="BI459" s="502"/>
      <c r="BJ459" s="502"/>
      <c r="BK459" s="502"/>
      <c r="BL459" s="502"/>
      <c r="BM459" s="502"/>
      <c r="BN459" s="502"/>
      <c r="BO459" s="502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</row>
    <row r="460" s="504" customFormat="true" ht="12.75" hidden="true" customHeight="true" outlineLevel="0" collapsed="false">
      <c r="A460" s="5"/>
      <c r="B460" s="813" t="n">
        <f aca="false">B459+1</f>
        <v>245</v>
      </c>
      <c r="C460" s="814" t="n">
        <f aca="false">C459+D460</f>
        <v>23751.4083209111</v>
      </c>
      <c r="D460" s="815" t="n">
        <f aca="false">E460*$E$205*M460</f>
        <v>117.93626091089</v>
      </c>
      <c r="E460" s="601" t="n">
        <f aca="false">E459+$C$204</f>
        <v>7.47946860165464</v>
      </c>
      <c r="F460" s="816" t="n">
        <f aca="false">F459+1</f>
        <v>245</v>
      </c>
      <c r="G460" s="775" t="n">
        <f aca="false">C460</f>
        <v>23751.4083209111</v>
      </c>
      <c r="H460" s="817" t="n">
        <f aca="false">1000*(E460-E459)</f>
        <v>9.99999999999979</v>
      </c>
      <c r="I460" s="5"/>
      <c r="J460" s="818" t="n">
        <f aca="false">1000*(E460-$E$215)/(B460-$B$215)</f>
        <v>16.4239584839665</v>
      </c>
      <c r="K460" s="732" t="n">
        <f aca="false">AVERAGE($E$216:E460)</f>
        <v>6.2284481934914</v>
      </c>
      <c r="L460" s="819" t="n">
        <f aca="false">L459+1</f>
        <v>245</v>
      </c>
      <c r="M460" s="820" t="n">
        <f aca="false">IF(B460&lt;$E$104,$E$105,$E$106)</f>
        <v>3</v>
      </c>
      <c r="N460" s="821" t="n">
        <f aca="false">IF(B460&lt;$E$104,$E$105,$E$111)</f>
        <v>2.5</v>
      </c>
      <c r="O460" s="822" t="n">
        <f aca="false">E460*$E$205*N460</f>
        <v>98.2802174257419</v>
      </c>
      <c r="P460" s="823" t="n">
        <f aca="false">P459+O460</f>
        <v>19844.5208678021</v>
      </c>
      <c r="Q460" s="606" t="n">
        <f aca="false">Q459+1</f>
        <v>245</v>
      </c>
      <c r="R460" s="824" t="n">
        <f aca="false">R459-1</f>
        <v>-245</v>
      </c>
      <c r="S460" s="5"/>
      <c r="T460" s="5"/>
      <c r="U460" s="5"/>
      <c r="V460" s="10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02"/>
      <c r="AU460" s="502"/>
      <c r="AV460" s="606"/>
      <c r="AW460" s="502"/>
      <c r="AX460" s="502"/>
      <c r="AY460" s="502"/>
      <c r="AZ460" s="502"/>
      <c r="BA460" s="502"/>
      <c r="BB460" s="502"/>
      <c r="BC460" s="502"/>
      <c r="BD460" s="502"/>
      <c r="BE460" s="502"/>
      <c r="BF460" s="502"/>
      <c r="BG460" s="502"/>
      <c r="BH460" s="502"/>
      <c r="BI460" s="502"/>
      <c r="BJ460" s="502"/>
      <c r="BK460" s="502"/>
      <c r="BL460" s="502"/>
      <c r="BM460" s="502"/>
      <c r="BN460" s="502"/>
      <c r="BO460" s="502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</row>
    <row r="461" s="504" customFormat="true" ht="12.75" hidden="true" customHeight="true" outlineLevel="0" collapsed="false">
      <c r="A461" s="5"/>
      <c r="B461" s="813" t="n">
        <f aca="false">B460+1</f>
        <v>246</v>
      </c>
      <c r="C461" s="814" t="n">
        <f aca="false">C460+D461</f>
        <v>23869.502261822</v>
      </c>
      <c r="D461" s="815" t="n">
        <f aca="false">E461*$E$205*M461</f>
        <v>118.09394091089</v>
      </c>
      <c r="E461" s="601" t="n">
        <f aca="false">E460+$C$204</f>
        <v>7.48946860165464</v>
      </c>
      <c r="F461" s="816" t="n">
        <f aca="false">F460+1</f>
        <v>246</v>
      </c>
      <c r="G461" s="775" t="n">
        <f aca="false">C461</f>
        <v>23869.502261822</v>
      </c>
      <c r="H461" s="817" t="n">
        <f aca="false">1000*(E461-E460)</f>
        <v>9.99999999999979</v>
      </c>
      <c r="I461" s="5"/>
      <c r="J461" s="818" t="n">
        <f aca="false">1000*(E461-$E$215)/(B461-$B$215)</f>
        <v>16.3978448315927</v>
      </c>
      <c r="K461" s="732" t="n">
        <f aca="false">AVERAGE($E$216:E461)</f>
        <v>6.23357429271158</v>
      </c>
      <c r="L461" s="819" t="n">
        <f aca="false">L460+1</f>
        <v>246</v>
      </c>
      <c r="M461" s="820" t="n">
        <f aca="false">IF(B461&lt;$E$104,$E$105,$E$106)</f>
        <v>3</v>
      </c>
      <c r="N461" s="821" t="n">
        <f aca="false">IF(B461&lt;$E$104,$E$105,$E$111)</f>
        <v>2.5</v>
      </c>
      <c r="O461" s="822" t="n">
        <f aca="false">E461*$E$205*N461</f>
        <v>98.4116174257419</v>
      </c>
      <c r="P461" s="823" t="n">
        <f aca="false">P460+O461</f>
        <v>19942.9324852278</v>
      </c>
      <c r="Q461" s="606" t="n">
        <f aca="false">Q460+1</f>
        <v>246</v>
      </c>
      <c r="R461" s="824" t="n">
        <f aca="false">R460-1</f>
        <v>-246</v>
      </c>
      <c r="S461" s="5"/>
      <c r="T461" s="5"/>
      <c r="U461" s="5"/>
      <c r="V461" s="10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02"/>
      <c r="AU461" s="502"/>
      <c r="AV461" s="606"/>
      <c r="AW461" s="502"/>
      <c r="AX461" s="502"/>
      <c r="AY461" s="502"/>
      <c r="AZ461" s="502"/>
      <c r="BA461" s="502"/>
      <c r="BB461" s="502"/>
      <c r="BC461" s="502"/>
      <c r="BD461" s="502"/>
      <c r="BE461" s="502"/>
      <c r="BF461" s="502"/>
      <c r="BG461" s="502"/>
      <c r="BH461" s="502"/>
      <c r="BI461" s="502"/>
      <c r="BJ461" s="502"/>
      <c r="BK461" s="502"/>
      <c r="BL461" s="502"/>
      <c r="BM461" s="502"/>
      <c r="BN461" s="502"/>
      <c r="BO461" s="502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</row>
    <row r="462" s="504" customFormat="true" ht="12.75" hidden="true" customHeight="true" outlineLevel="0" collapsed="false">
      <c r="A462" s="5"/>
      <c r="B462" s="813" t="n">
        <f aca="false">B461+1</f>
        <v>247</v>
      </c>
      <c r="C462" s="814" t="n">
        <f aca="false">C461+D462</f>
        <v>23987.7538827329</v>
      </c>
      <c r="D462" s="815" t="n">
        <f aca="false">E462*$E$205*M462</f>
        <v>118.25162091089</v>
      </c>
      <c r="E462" s="601" t="n">
        <f aca="false">E461+$C$204</f>
        <v>7.49946860165464</v>
      </c>
      <c r="F462" s="816" t="n">
        <f aca="false">F461+1</f>
        <v>247</v>
      </c>
      <c r="G462" s="775" t="n">
        <f aca="false">C462</f>
        <v>23987.7538827329</v>
      </c>
      <c r="H462" s="817" t="n">
        <f aca="false">1000*(E462-E461)</f>
        <v>9.99999999999979</v>
      </c>
      <c r="I462" s="5"/>
      <c r="J462" s="818" t="n">
        <f aca="false">1000*(E462-$E$215)/(B462-$B$215)</f>
        <v>16.3719426257967</v>
      </c>
      <c r="K462" s="732" t="n">
        <f aca="false">AVERAGE($E$216:E462)</f>
        <v>6.23869937088544</v>
      </c>
      <c r="L462" s="819" t="n">
        <f aca="false">L461+1</f>
        <v>247</v>
      </c>
      <c r="M462" s="820" t="n">
        <f aca="false">IF(B462&lt;$E$104,$E$105,$E$106)</f>
        <v>3</v>
      </c>
      <c r="N462" s="821" t="n">
        <f aca="false">IF(B462&lt;$E$104,$E$105,$E$111)</f>
        <v>2.5</v>
      </c>
      <c r="O462" s="822" t="n">
        <f aca="false">E462*$E$205*N462</f>
        <v>98.5430174257419</v>
      </c>
      <c r="P462" s="823" t="n">
        <f aca="false">P461+O462</f>
        <v>20041.4755026536</v>
      </c>
      <c r="Q462" s="606" t="n">
        <f aca="false">Q461+1</f>
        <v>247</v>
      </c>
      <c r="R462" s="824" t="n">
        <f aca="false">R461-1</f>
        <v>-247</v>
      </c>
      <c r="S462" s="5"/>
      <c r="T462" s="5"/>
      <c r="U462" s="5"/>
      <c r="V462" s="10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02"/>
      <c r="AU462" s="502"/>
      <c r="AV462" s="606"/>
      <c r="AW462" s="502"/>
      <c r="AX462" s="502"/>
      <c r="AY462" s="502"/>
      <c r="AZ462" s="502"/>
      <c r="BA462" s="502"/>
      <c r="BB462" s="502"/>
      <c r="BC462" s="502"/>
      <c r="BD462" s="502"/>
      <c r="BE462" s="502"/>
      <c r="BF462" s="502"/>
      <c r="BG462" s="502"/>
      <c r="BH462" s="502"/>
      <c r="BI462" s="502"/>
      <c r="BJ462" s="502"/>
      <c r="BK462" s="502"/>
      <c r="BL462" s="502"/>
      <c r="BM462" s="502"/>
      <c r="BN462" s="502"/>
      <c r="BO462" s="502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</row>
    <row r="463" s="504" customFormat="true" ht="12.75" hidden="true" customHeight="true" outlineLevel="0" collapsed="false">
      <c r="A463" s="5"/>
      <c r="B463" s="813" t="n">
        <f aca="false">B462+1</f>
        <v>248</v>
      </c>
      <c r="C463" s="814" t="n">
        <f aca="false">C462+D463</f>
        <v>24106.1631836438</v>
      </c>
      <c r="D463" s="815" t="n">
        <f aca="false">E463*$E$205*M463</f>
        <v>118.40930091089</v>
      </c>
      <c r="E463" s="601" t="n">
        <f aca="false">E462+$C$204</f>
        <v>7.50946860165464</v>
      </c>
      <c r="F463" s="816" t="n">
        <f aca="false">F462+1</f>
        <v>248</v>
      </c>
      <c r="G463" s="775" t="n">
        <f aca="false">C463</f>
        <v>24106.1631836438</v>
      </c>
      <c r="H463" s="817" t="n">
        <f aca="false">1000*(E463-E462)</f>
        <v>9.99999999999979</v>
      </c>
      <c r="I463" s="5"/>
      <c r="J463" s="818" t="n">
        <f aca="false">1000*(E463-$E$215)/(B463-$B$215)</f>
        <v>16.3462493087572</v>
      </c>
      <c r="K463" s="732" t="n">
        <f aca="false">AVERAGE($E$216:E463)</f>
        <v>6.24382344036434</v>
      </c>
      <c r="L463" s="819" t="n">
        <f aca="false">L462+1</f>
        <v>248</v>
      </c>
      <c r="M463" s="820" t="n">
        <f aca="false">IF(B463&lt;$E$104,$E$105,$E$106)</f>
        <v>3</v>
      </c>
      <c r="N463" s="821" t="n">
        <f aca="false">IF(B463&lt;$E$104,$E$105,$E$111)</f>
        <v>2.5</v>
      </c>
      <c r="O463" s="822" t="n">
        <f aca="false">E463*$E$205*N463</f>
        <v>98.6744174257419</v>
      </c>
      <c r="P463" s="823" t="n">
        <f aca="false">P462+O463</f>
        <v>20140.1499200793</v>
      </c>
      <c r="Q463" s="606" t="n">
        <f aca="false">Q462+1</f>
        <v>248</v>
      </c>
      <c r="R463" s="824" t="n">
        <f aca="false">R462-1</f>
        <v>-248</v>
      </c>
      <c r="S463" s="5"/>
      <c r="T463" s="5"/>
      <c r="U463" s="5"/>
      <c r="V463" s="10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02"/>
      <c r="AU463" s="502"/>
      <c r="AV463" s="606"/>
      <c r="AW463" s="502"/>
      <c r="AX463" s="502"/>
      <c r="AY463" s="502"/>
      <c r="AZ463" s="502"/>
      <c r="BA463" s="502"/>
      <c r="BB463" s="502"/>
      <c r="BC463" s="502"/>
      <c r="BD463" s="502"/>
      <c r="BE463" s="502"/>
      <c r="BF463" s="502"/>
      <c r="BG463" s="502"/>
      <c r="BH463" s="502"/>
      <c r="BI463" s="502"/>
      <c r="BJ463" s="502"/>
      <c r="BK463" s="502"/>
      <c r="BL463" s="502"/>
      <c r="BM463" s="502"/>
      <c r="BN463" s="502"/>
      <c r="BO463" s="502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</row>
    <row r="464" s="504" customFormat="true" ht="12.75" hidden="true" customHeight="true" outlineLevel="0" collapsed="false">
      <c r="A464" s="5"/>
      <c r="B464" s="813" t="n">
        <f aca="false">B463+1</f>
        <v>249</v>
      </c>
      <c r="C464" s="814" t="n">
        <f aca="false">C463+D464</f>
        <v>24224.7301645546</v>
      </c>
      <c r="D464" s="815" t="n">
        <f aca="false">E464*$E$205*M464</f>
        <v>118.56698091089</v>
      </c>
      <c r="E464" s="601" t="n">
        <f aca="false">E463+$C$204</f>
        <v>7.51946860165464</v>
      </c>
      <c r="F464" s="816" t="n">
        <f aca="false">F463+1</f>
        <v>249</v>
      </c>
      <c r="G464" s="775" t="n">
        <f aca="false">C464</f>
        <v>24224.7301645546</v>
      </c>
      <c r="H464" s="817" t="n">
        <f aca="false">1000*(E464-E463)</f>
        <v>9.99999999999979</v>
      </c>
      <c r="I464" s="5"/>
      <c r="J464" s="818" t="n">
        <f aca="false">1000*(E464-$E$215)/(B464-$B$215)</f>
        <v>16.3207623637421</v>
      </c>
      <c r="K464" s="732" t="n">
        <f aca="false">AVERAGE($E$216:E464)</f>
        <v>6.24894651330125</v>
      </c>
      <c r="L464" s="819" t="n">
        <f aca="false">L463+1</f>
        <v>249</v>
      </c>
      <c r="M464" s="820" t="n">
        <f aca="false">IF(B464&lt;$E$104,$E$105,$E$106)</f>
        <v>3</v>
      </c>
      <c r="N464" s="821" t="n">
        <f aca="false">IF(B464&lt;$E$104,$E$105,$E$111)</f>
        <v>2.5</v>
      </c>
      <c r="O464" s="822" t="n">
        <f aca="false">E464*$E$205*N464</f>
        <v>98.8058174257419</v>
      </c>
      <c r="P464" s="823" t="n">
        <f aca="false">P463+O464</f>
        <v>20238.9557375051</v>
      </c>
      <c r="Q464" s="606" t="n">
        <f aca="false">Q463+1</f>
        <v>249</v>
      </c>
      <c r="R464" s="824" t="n">
        <f aca="false">R463-1</f>
        <v>-249</v>
      </c>
      <c r="S464" s="5"/>
      <c r="T464" s="5"/>
      <c r="U464" s="5"/>
      <c r="V464" s="10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02"/>
      <c r="AU464" s="502"/>
      <c r="AV464" s="606"/>
      <c r="AW464" s="502"/>
      <c r="AX464" s="502"/>
      <c r="AY464" s="502"/>
      <c r="AZ464" s="502"/>
      <c r="BA464" s="502"/>
      <c r="BB464" s="502"/>
      <c r="BC464" s="502"/>
      <c r="BD464" s="502"/>
      <c r="BE464" s="502"/>
      <c r="BF464" s="502"/>
      <c r="BG464" s="502"/>
      <c r="BH464" s="502"/>
      <c r="BI464" s="502"/>
      <c r="BJ464" s="502"/>
      <c r="BK464" s="502"/>
      <c r="BL464" s="502"/>
      <c r="BM464" s="502"/>
      <c r="BN464" s="502"/>
      <c r="BO464" s="502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</row>
    <row r="465" s="504" customFormat="true" ht="12.75" hidden="true" customHeight="true" outlineLevel="0" collapsed="false">
      <c r="A465" s="5"/>
      <c r="B465" s="827" t="n">
        <f aca="false">B464+1</f>
        <v>250</v>
      </c>
      <c r="C465" s="768" t="n">
        <f aca="false">C464+D465</f>
        <v>24343.4548254655</v>
      </c>
      <c r="D465" s="828" t="n">
        <f aca="false">E465*$E$205*M465</f>
        <v>118.72466091089</v>
      </c>
      <c r="E465" s="787" t="n">
        <f aca="false">E464+$C$204</f>
        <v>7.52946860165464</v>
      </c>
      <c r="F465" s="829" t="n">
        <f aca="false">F464+1</f>
        <v>250</v>
      </c>
      <c r="G465" s="830" t="n">
        <f aca="false">C465</f>
        <v>24343.4548254655</v>
      </c>
      <c r="H465" s="831" t="n">
        <f aca="false">1000*(E465-E464)</f>
        <v>9.99999999999979</v>
      </c>
      <c r="I465" s="785"/>
      <c r="J465" s="832" t="n">
        <f aca="false">1000*(E465-$E$215)/(B465-$B$215)</f>
        <v>16.2954793142872</v>
      </c>
      <c r="K465" s="787" t="n">
        <f aca="false">AVERAGE($E$216:E465)</f>
        <v>6.25406860165466</v>
      </c>
      <c r="L465" s="833" t="n">
        <f aca="false">L464+1</f>
        <v>250</v>
      </c>
      <c r="M465" s="834" t="n">
        <f aca="false">IF(B465&lt;$E$104,$E$105,$E$106)</f>
        <v>3</v>
      </c>
      <c r="N465" s="835" t="n">
        <f aca="false">IF(B465&lt;$E$104,$E$105,$E$111)</f>
        <v>2.5</v>
      </c>
      <c r="O465" s="836" t="n">
        <f aca="false">E465*$E$205*N465</f>
        <v>98.9372174257419</v>
      </c>
      <c r="P465" s="837" t="n">
        <f aca="false">P464+O465</f>
        <v>20337.8929549308</v>
      </c>
      <c r="Q465" s="742" t="n">
        <f aca="false">Q464+1</f>
        <v>250</v>
      </c>
      <c r="R465" s="838" t="n">
        <f aca="false">R464-1</f>
        <v>-250</v>
      </c>
      <c r="S465" s="5"/>
      <c r="T465" s="5"/>
      <c r="U465" s="5"/>
      <c r="V465" s="10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02"/>
      <c r="AU465" s="502"/>
      <c r="AV465" s="606"/>
      <c r="AW465" s="502"/>
      <c r="AX465" s="502"/>
      <c r="AY465" s="502"/>
      <c r="AZ465" s="502"/>
      <c r="BA465" s="502"/>
      <c r="BB465" s="502"/>
      <c r="BC465" s="502"/>
      <c r="BD465" s="502"/>
      <c r="BE465" s="502"/>
      <c r="BF465" s="502"/>
      <c r="BG465" s="502"/>
      <c r="BH465" s="502"/>
      <c r="BI465" s="502"/>
      <c r="BJ465" s="502"/>
      <c r="BK465" s="502"/>
      <c r="BL465" s="502"/>
      <c r="BM465" s="502"/>
      <c r="BN465" s="502"/>
      <c r="BO465" s="502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</row>
    <row r="466" s="504" customFormat="true" ht="12.75" hidden="true" customHeight="true" outlineLevel="0" collapsed="false">
      <c r="A466" s="5"/>
      <c r="B466" s="813" t="n">
        <f aca="false">B465+1</f>
        <v>251</v>
      </c>
      <c r="C466" s="814" t="n">
        <f aca="false">C465+D466</f>
        <v>24462.3371663764</v>
      </c>
      <c r="D466" s="815" t="n">
        <f aca="false">E466*$E$205*M466</f>
        <v>118.88234091089</v>
      </c>
      <c r="E466" s="601" t="n">
        <f aca="false">E465+$C$204</f>
        <v>7.53946860165464</v>
      </c>
      <c r="F466" s="816" t="n">
        <f aca="false">F465+1</f>
        <v>251</v>
      </c>
      <c r="G466" s="775" t="n">
        <f aca="false">C466</f>
        <v>24462.3371663764</v>
      </c>
      <c r="H466" s="817" t="n">
        <f aca="false">1000*(E466-E465)</f>
        <v>9.99999999999979</v>
      </c>
      <c r="I466" s="5"/>
      <c r="J466" s="818" t="n">
        <f aca="false">1000*(E466-$E$215)/(B466-$B$215)</f>
        <v>16.2703977233936</v>
      </c>
      <c r="K466" s="732" t="n">
        <f aca="false">AVERAGE($E$216:E466)</f>
        <v>6.25918971719251</v>
      </c>
      <c r="L466" s="819" t="n">
        <f aca="false">L465+1</f>
        <v>251</v>
      </c>
      <c r="M466" s="820" t="n">
        <f aca="false">IF(B466&lt;$E$104,$E$105,$E$106)</f>
        <v>3</v>
      </c>
      <c r="N466" s="821" t="n">
        <f aca="false">IF(B466&lt;$E$104,$E$105,$E$111)</f>
        <v>2.5</v>
      </c>
      <c r="O466" s="822" t="n">
        <f aca="false">E466*$E$205*N466</f>
        <v>99.0686174257419</v>
      </c>
      <c r="P466" s="823" t="n">
        <f aca="false">P465+O466</f>
        <v>20436.9615723565</v>
      </c>
      <c r="Q466" s="606" t="n">
        <f aca="false">Q465+1</f>
        <v>251</v>
      </c>
      <c r="R466" s="824" t="n">
        <f aca="false">R465-1</f>
        <v>-251</v>
      </c>
      <c r="S466" s="5"/>
      <c r="T466" s="5"/>
      <c r="U466" s="5"/>
      <c r="V466" s="10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02"/>
      <c r="AU466" s="502"/>
      <c r="AV466" s="606"/>
      <c r="AW466" s="502"/>
      <c r="AX466" s="502"/>
      <c r="AY466" s="502"/>
      <c r="AZ466" s="502"/>
      <c r="BA466" s="502"/>
      <c r="BB466" s="502"/>
      <c r="BC466" s="502"/>
      <c r="BD466" s="502"/>
      <c r="BE466" s="502"/>
      <c r="BF466" s="502"/>
      <c r="BG466" s="502"/>
      <c r="BH466" s="502"/>
      <c r="BI466" s="502"/>
      <c r="BJ466" s="502"/>
      <c r="BK466" s="502"/>
      <c r="BL466" s="502"/>
      <c r="BM466" s="502"/>
      <c r="BN466" s="502"/>
      <c r="BO466" s="502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</row>
    <row r="467" s="504" customFormat="true" ht="12.75" hidden="true" customHeight="true" outlineLevel="0" collapsed="false">
      <c r="A467" s="5"/>
      <c r="B467" s="813" t="n">
        <f aca="false">B466+1</f>
        <v>252</v>
      </c>
      <c r="C467" s="814" t="n">
        <f aca="false">C466+D467</f>
        <v>24581.3771872873</v>
      </c>
      <c r="D467" s="815" t="n">
        <f aca="false">E467*$E$205*M467</f>
        <v>119.04002091089</v>
      </c>
      <c r="E467" s="601" t="n">
        <f aca="false">E466+$C$204</f>
        <v>7.54946860165464</v>
      </c>
      <c r="F467" s="816" t="n">
        <f aca="false">F466+1</f>
        <v>252</v>
      </c>
      <c r="G467" s="775" t="n">
        <f aca="false">C467</f>
        <v>24581.3771872873</v>
      </c>
      <c r="H467" s="817" t="n">
        <f aca="false">1000*(E467-E466)</f>
        <v>9.99999999999979</v>
      </c>
      <c r="I467" s="5"/>
      <c r="J467" s="818" t="n">
        <f aca="false">1000*(E467-$E$215)/(B467-$B$215)</f>
        <v>16.2455151927452</v>
      </c>
      <c r="K467" s="732" t="n">
        <f aca="false">AVERAGE($E$216:E467)</f>
        <v>6.26430987149593</v>
      </c>
      <c r="L467" s="819" t="n">
        <f aca="false">L466+1</f>
        <v>252</v>
      </c>
      <c r="M467" s="820" t="n">
        <f aca="false">IF(B467&lt;$E$104,$E$105,$E$106)</f>
        <v>3</v>
      </c>
      <c r="N467" s="821" t="n">
        <f aca="false">IF(B467&lt;$E$104,$E$105,$E$111)</f>
        <v>2.5</v>
      </c>
      <c r="O467" s="822" t="n">
        <f aca="false">E467*$E$205*N467</f>
        <v>99.2000174257419</v>
      </c>
      <c r="P467" s="823" t="n">
        <f aca="false">P466+O467</f>
        <v>20536.1615897823</v>
      </c>
      <c r="Q467" s="606" t="n">
        <f aca="false">Q466+1</f>
        <v>252</v>
      </c>
      <c r="R467" s="824" t="n">
        <f aca="false">R466-1</f>
        <v>-252</v>
      </c>
      <c r="S467" s="5"/>
      <c r="T467" s="5"/>
      <c r="U467" s="5"/>
      <c r="V467" s="10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02"/>
      <c r="AU467" s="502"/>
      <c r="AV467" s="606"/>
      <c r="AW467" s="502"/>
      <c r="AX467" s="502"/>
      <c r="AY467" s="502"/>
      <c r="AZ467" s="502"/>
      <c r="BA467" s="502"/>
      <c r="BB467" s="502"/>
      <c r="BC467" s="502"/>
      <c r="BD467" s="502"/>
      <c r="BE467" s="502"/>
      <c r="BF467" s="502"/>
      <c r="BG467" s="502"/>
      <c r="BH467" s="502"/>
      <c r="BI467" s="502"/>
      <c r="BJ467" s="502"/>
      <c r="BK467" s="502"/>
      <c r="BL467" s="502"/>
      <c r="BM467" s="502"/>
      <c r="BN467" s="502"/>
      <c r="BO467" s="502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</row>
    <row r="468" s="504" customFormat="true" ht="12.75" hidden="true" customHeight="true" outlineLevel="0" collapsed="false">
      <c r="A468" s="5"/>
      <c r="B468" s="813" t="n">
        <f aca="false">B467+1</f>
        <v>253</v>
      </c>
      <c r="C468" s="814" t="n">
        <f aca="false">C467+D468</f>
        <v>24700.5748881982</v>
      </c>
      <c r="D468" s="815" t="n">
        <f aca="false">E468*$E$205*M468</f>
        <v>119.19770091089</v>
      </c>
      <c r="E468" s="601" t="n">
        <f aca="false">E467+$C$204</f>
        <v>7.55946860165464</v>
      </c>
      <c r="F468" s="816" t="n">
        <f aca="false">F467+1</f>
        <v>253</v>
      </c>
      <c r="G468" s="775" t="n">
        <f aca="false">C468</f>
        <v>24700.5748881982</v>
      </c>
      <c r="H468" s="817" t="n">
        <f aca="false">1000*(E468-E467)</f>
        <v>9.99999999999979</v>
      </c>
      <c r="I468" s="5"/>
      <c r="J468" s="818" t="n">
        <f aca="false">1000*(E468-$E$215)/(B468-$B$215)</f>
        <v>16.2208293619438</v>
      </c>
      <c r="K468" s="732" t="n">
        <f aca="false">AVERAGE($E$216:E468)</f>
        <v>6.26942907596296</v>
      </c>
      <c r="L468" s="819" t="n">
        <f aca="false">L467+1</f>
        <v>253</v>
      </c>
      <c r="M468" s="820" t="n">
        <f aca="false">IF(B468&lt;$E$104,$E$105,$E$106)</f>
        <v>3</v>
      </c>
      <c r="N468" s="821" t="n">
        <f aca="false">IF(B468&lt;$E$104,$E$105,$E$111)</f>
        <v>2.5</v>
      </c>
      <c r="O468" s="822" t="n">
        <f aca="false">E468*$E$205*N468</f>
        <v>99.3314174257419</v>
      </c>
      <c r="P468" s="823" t="n">
        <f aca="false">P467+O468</f>
        <v>20635.493007208</v>
      </c>
      <c r="Q468" s="606" t="n">
        <f aca="false">Q467+1</f>
        <v>253</v>
      </c>
      <c r="R468" s="824" t="n">
        <f aca="false">R467-1</f>
        <v>-253</v>
      </c>
      <c r="S468" s="5"/>
      <c r="T468" s="5"/>
      <c r="U468" s="5"/>
      <c r="V468" s="10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02"/>
      <c r="AU468" s="502"/>
      <c r="AV468" s="606"/>
      <c r="AW468" s="502"/>
      <c r="AX468" s="502"/>
      <c r="AY468" s="502"/>
      <c r="AZ468" s="502"/>
      <c r="BA468" s="502"/>
      <c r="BB468" s="502"/>
      <c r="BC468" s="502"/>
      <c r="BD468" s="502"/>
      <c r="BE468" s="502"/>
      <c r="BF468" s="502"/>
      <c r="BG468" s="502"/>
      <c r="BH468" s="502"/>
      <c r="BI468" s="502"/>
      <c r="BJ468" s="502"/>
      <c r="BK468" s="502"/>
      <c r="BL468" s="502"/>
      <c r="BM468" s="502"/>
      <c r="BN468" s="502"/>
      <c r="BO468" s="502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</row>
    <row r="469" s="504" customFormat="true" ht="12.75" hidden="true" customHeight="true" outlineLevel="0" collapsed="false">
      <c r="A469" s="5"/>
      <c r="B469" s="813" t="n">
        <f aca="false">B468+1</f>
        <v>254</v>
      </c>
      <c r="C469" s="814" t="n">
        <f aca="false">C468+D469</f>
        <v>24819.9302691091</v>
      </c>
      <c r="D469" s="815" t="n">
        <f aca="false">E469*$E$205*M469</f>
        <v>119.35538091089</v>
      </c>
      <c r="E469" s="601" t="n">
        <f aca="false">E468+$C$204</f>
        <v>7.56946860165464</v>
      </c>
      <c r="F469" s="816" t="n">
        <f aca="false">F468+1</f>
        <v>254</v>
      </c>
      <c r="G469" s="775" t="n">
        <f aca="false">C469</f>
        <v>24819.9302691091</v>
      </c>
      <c r="H469" s="817" t="n">
        <f aca="false">1000*(E469-E468)</f>
        <v>9.99999999999979</v>
      </c>
      <c r="I469" s="5"/>
      <c r="J469" s="818" t="n">
        <f aca="false">1000*(E469-$E$215)/(B469-$B$215)</f>
        <v>16.196337907763</v>
      </c>
      <c r="K469" s="732" t="n">
        <f aca="false">AVERAGE($E$216:E469)</f>
        <v>6.27454734181214</v>
      </c>
      <c r="L469" s="819" t="n">
        <f aca="false">L468+1</f>
        <v>254</v>
      </c>
      <c r="M469" s="820" t="n">
        <f aca="false">IF(B469&lt;$E$104,$E$105,$E$106)</f>
        <v>3</v>
      </c>
      <c r="N469" s="821" t="n">
        <f aca="false">IF(B469&lt;$E$104,$E$105,$E$111)</f>
        <v>2.5</v>
      </c>
      <c r="O469" s="822" t="n">
        <f aca="false">E469*$E$205*N469</f>
        <v>99.4628174257419</v>
      </c>
      <c r="P469" s="823" t="n">
        <f aca="false">P468+O469</f>
        <v>20734.9558246338</v>
      </c>
      <c r="Q469" s="606" t="n">
        <f aca="false">Q468+1</f>
        <v>254</v>
      </c>
      <c r="R469" s="824" t="n">
        <f aca="false">R468-1</f>
        <v>-254</v>
      </c>
      <c r="S469" s="5"/>
      <c r="T469" s="5"/>
      <c r="U469" s="5"/>
      <c r="V469" s="10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02"/>
      <c r="AU469" s="502"/>
      <c r="AV469" s="606"/>
      <c r="AW469" s="502"/>
      <c r="AX469" s="502"/>
      <c r="AY469" s="502"/>
      <c r="AZ469" s="502"/>
      <c r="BA469" s="502"/>
      <c r="BB469" s="502"/>
      <c r="BC469" s="502"/>
      <c r="BD469" s="502"/>
      <c r="BE469" s="502"/>
      <c r="BF469" s="502"/>
      <c r="BG469" s="502"/>
      <c r="BH469" s="502"/>
      <c r="BI469" s="502"/>
      <c r="BJ469" s="502"/>
      <c r="BK469" s="502"/>
      <c r="BL469" s="502"/>
      <c r="BM469" s="502"/>
      <c r="BN469" s="502"/>
      <c r="BO469" s="502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</row>
    <row r="470" s="504" customFormat="true" ht="12.75" hidden="true" customHeight="true" outlineLevel="0" collapsed="false">
      <c r="A470" s="5"/>
      <c r="B470" s="813" t="n">
        <f aca="false">B469+1</f>
        <v>255</v>
      </c>
      <c r="C470" s="814" t="n">
        <f aca="false">C469+D470</f>
        <v>24939.44333002</v>
      </c>
      <c r="D470" s="815" t="n">
        <f aca="false">E470*$E$205*M470</f>
        <v>119.51306091089</v>
      </c>
      <c r="E470" s="601" t="n">
        <f aca="false">E469+$C$204</f>
        <v>7.57946860165464</v>
      </c>
      <c r="F470" s="816" t="n">
        <f aca="false">F469+1</f>
        <v>255</v>
      </c>
      <c r="G470" s="775" t="n">
        <f aca="false">C470</f>
        <v>24939.44333002</v>
      </c>
      <c r="H470" s="817" t="n">
        <f aca="false">1000*(E470-E469)</f>
        <v>9.99999999999979</v>
      </c>
      <c r="I470" s="5"/>
      <c r="J470" s="818" t="n">
        <f aca="false">1000*(E470-$E$215)/(B470-$B$215)</f>
        <v>16.1720385434188</v>
      </c>
      <c r="K470" s="732" t="n">
        <f aca="false">AVERAGE($E$216:E470)</f>
        <v>6.27966468008603</v>
      </c>
      <c r="L470" s="819" t="n">
        <f aca="false">L469+1</f>
        <v>255</v>
      </c>
      <c r="M470" s="820" t="n">
        <f aca="false">IF(B470&lt;$E$104,$E$105,$E$106)</f>
        <v>3</v>
      </c>
      <c r="N470" s="821" t="n">
        <f aca="false">IF(B470&lt;$E$104,$E$105,$E$111)</f>
        <v>2.5</v>
      </c>
      <c r="O470" s="822" t="n">
        <f aca="false">E470*$E$205*N470</f>
        <v>99.5942174257419</v>
      </c>
      <c r="P470" s="823" t="n">
        <f aca="false">P469+O470</f>
        <v>20834.5500420595</v>
      </c>
      <c r="Q470" s="606" t="n">
        <f aca="false">Q469+1</f>
        <v>255</v>
      </c>
      <c r="R470" s="824" t="n">
        <f aca="false">R469-1</f>
        <v>-255</v>
      </c>
      <c r="S470" s="5"/>
      <c r="T470" s="5"/>
      <c r="U470" s="5"/>
      <c r="V470" s="10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02"/>
      <c r="AU470" s="502"/>
      <c r="AV470" s="606"/>
      <c r="AW470" s="502"/>
      <c r="AX470" s="502"/>
      <c r="AY470" s="502"/>
      <c r="AZ470" s="502"/>
      <c r="BA470" s="502"/>
      <c r="BB470" s="502"/>
      <c r="BC470" s="502"/>
      <c r="BD470" s="502"/>
      <c r="BE470" s="502"/>
      <c r="BF470" s="502"/>
      <c r="BG470" s="502"/>
      <c r="BH470" s="502"/>
      <c r="BI470" s="502"/>
      <c r="BJ470" s="502"/>
      <c r="BK470" s="502"/>
      <c r="BL470" s="502"/>
      <c r="BM470" s="502"/>
      <c r="BN470" s="502"/>
      <c r="BO470" s="502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</row>
    <row r="471" s="504" customFormat="true" ht="12.75" hidden="true" customHeight="true" outlineLevel="0" collapsed="false">
      <c r="A471" s="5"/>
      <c r="B471" s="813" t="n">
        <f aca="false">B470+1</f>
        <v>256</v>
      </c>
      <c r="C471" s="814" t="n">
        <f aca="false">C470+D471</f>
        <v>25059.1140709309</v>
      </c>
      <c r="D471" s="815" t="n">
        <f aca="false">E471*$E$205*M471</f>
        <v>119.67074091089</v>
      </c>
      <c r="E471" s="601" t="n">
        <f aca="false">E470+$C$204</f>
        <v>7.58946860165464</v>
      </c>
      <c r="F471" s="816" t="n">
        <f aca="false">F470+1</f>
        <v>256</v>
      </c>
      <c r="G471" s="775" t="n">
        <f aca="false">C471</f>
        <v>25059.1140709309</v>
      </c>
      <c r="H471" s="817" t="n">
        <f aca="false">1000*(E471-E470)</f>
        <v>9.99999999999979</v>
      </c>
      <c r="I471" s="5"/>
      <c r="J471" s="818" t="n">
        <f aca="false">1000*(E471-$E$215)/(B471-$B$215)</f>
        <v>16.1479290178586</v>
      </c>
      <c r="K471" s="732" t="n">
        <f aca="false">AVERAGE($E$216:E471)</f>
        <v>6.28478110165466</v>
      </c>
      <c r="L471" s="819" t="n">
        <f aca="false">L470+1</f>
        <v>256</v>
      </c>
      <c r="M471" s="820" t="n">
        <f aca="false">IF(B471&lt;$E$104,$E$105,$E$106)</f>
        <v>3</v>
      </c>
      <c r="N471" s="821" t="n">
        <f aca="false">IF(B471&lt;$E$104,$E$105,$E$111)</f>
        <v>2.5</v>
      </c>
      <c r="O471" s="822" t="n">
        <f aca="false">E471*$E$205*N471</f>
        <v>99.7256174257419</v>
      </c>
      <c r="P471" s="823" t="n">
        <f aca="false">P470+O471</f>
        <v>20934.2756594853</v>
      </c>
      <c r="Q471" s="606" t="n">
        <f aca="false">Q470+1</f>
        <v>256</v>
      </c>
      <c r="R471" s="824" t="n">
        <f aca="false">R470-1</f>
        <v>-256</v>
      </c>
      <c r="S471" s="5"/>
      <c r="T471" s="5"/>
      <c r="U471" s="5"/>
      <c r="V471" s="10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02"/>
      <c r="AU471" s="502"/>
      <c r="AV471" s="606"/>
      <c r="AW471" s="502"/>
      <c r="AX471" s="502"/>
      <c r="AY471" s="502"/>
      <c r="AZ471" s="502"/>
      <c r="BA471" s="502"/>
      <c r="BB471" s="502"/>
      <c r="BC471" s="502"/>
      <c r="BD471" s="502"/>
      <c r="BE471" s="502"/>
      <c r="BF471" s="502"/>
      <c r="BG471" s="502"/>
      <c r="BH471" s="502"/>
      <c r="BI471" s="502"/>
      <c r="BJ471" s="502"/>
      <c r="BK471" s="502"/>
      <c r="BL471" s="502"/>
      <c r="BM471" s="502"/>
      <c r="BN471" s="502"/>
      <c r="BO471" s="502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</row>
    <row r="472" s="504" customFormat="true" ht="12.75" hidden="true" customHeight="true" outlineLevel="0" collapsed="false">
      <c r="A472" s="5"/>
      <c r="B472" s="813" t="n">
        <f aca="false">B471+1</f>
        <v>257</v>
      </c>
      <c r="C472" s="814" t="n">
        <f aca="false">C471+D472</f>
        <v>25178.9424918418</v>
      </c>
      <c r="D472" s="815" t="n">
        <f aca="false">E472*$E$205*M472</f>
        <v>119.82842091089</v>
      </c>
      <c r="E472" s="601" t="n">
        <f aca="false">E471+$C$204</f>
        <v>7.59946860165464</v>
      </c>
      <c r="F472" s="816" t="n">
        <f aca="false">F471+1</f>
        <v>257</v>
      </c>
      <c r="G472" s="775" t="n">
        <f aca="false">C472</f>
        <v>25178.9424918418</v>
      </c>
      <c r="H472" s="817" t="n">
        <f aca="false">1000*(E472-E471)</f>
        <v>9.99999999999979</v>
      </c>
      <c r="I472" s="5"/>
      <c r="J472" s="818" t="n">
        <f aca="false">1000*(E472-$E$215)/(B472-$B$215)</f>
        <v>16.1240071150653</v>
      </c>
      <c r="K472" s="732" t="n">
        <f aca="false">AVERAGE($E$216:E472)</f>
        <v>6.28989661721887</v>
      </c>
      <c r="L472" s="819" t="n">
        <f aca="false">L471+1</f>
        <v>257</v>
      </c>
      <c r="M472" s="820" t="n">
        <f aca="false">IF(B472&lt;$E$104,$E$105,$E$106)</f>
        <v>3</v>
      </c>
      <c r="N472" s="821" t="n">
        <f aca="false">IF(B472&lt;$E$104,$E$105,$E$111)</f>
        <v>2.5</v>
      </c>
      <c r="O472" s="822" t="n">
        <f aca="false">E472*$E$205*N472</f>
        <v>99.8570174257419</v>
      </c>
      <c r="P472" s="823" t="n">
        <f aca="false">P471+O472</f>
        <v>21034.132676911</v>
      </c>
      <c r="Q472" s="606" t="n">
        <f aca="false">Q471+1</f>
        <v>257</v>
      </c>
      <c r="R472" s="824" t="n">
        <f aca="false">R471-1</f>
        <v>-257</v>
      </c>
      <c r="S472" s="5"/>
      <c r="T472" s="5"/>
      <c r="U472" s="5"/>
      <c r="V472" s="10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02"/>
      <c r="AU472" s="502"/>
      <c r="AV472" s="606"/>
      <c r="AW472" s="502"/>
      <c r="AX472" s="502"/>
      <c r="AY472" s="502"/>
      <c r="AZ472" s="502"/>
      <c r="BA472" s="502"/>
      <c r="BB472" s="502"/>
      <c r="BC472" s="502"/>
      <c r="BD472" s="502"/>
      <c r="BE472" s="502"/>
      <c r="BF472" s="502"/>
      <c r="BG472" s="502"/>
      <c r="BH472" s="502"/>
      <c r="BI472" s="502"/>
      <c r="BJ472" s="502"/>
      <c r="BK472" s="502"/>
      <c r="BL472" s="502"/>
      <c r="BM472" s="502"/>
      <c r="BN472" s="502"/>
      <c r="BO472" s="502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</row>
    <row r="473" s="504" customFormat="true" ht="12.75" hidden="true" customHeight="true" outlineLevel="0" collapsed="false">
      <c r="A473" s="5"/>
      <c r="B473" s="813" t="n">
        <f aca="false">B472+1</f>
        <v>258</v>
      </c>
      <c r="C473" s="814" t="n">
        <f aca="false">C472+D473</f>
        <v>25298.9285927527</v>
      </c>
      <c r="D473" s="815" t="n">
        <f aca="false">E473*$E$205*M473</f>
        <v>119.98610091089</v>
      </c>
      <c r="E473" s="601" t="n">
        <f aca="false">E472+$C$204</f>
        <v>7.60946860165464</v>
      </c>
      <c r="F473" s="816" t="n">
        <f aca="false">F472+1</f>
        <v>258</v>
      </c>
      <c r="G473" s="775" t="n">
        <f aca="false">C473</f>
        <v>25298.9285927527</v>
      </c>
      <c r="H473" s="817" t="n">
        <f aca="false">1000*(E473-E472)</f>
        <v>9.99999999999979</v>
      </c>
      <c r="I473" s="5"/>
      <c r="J473" s="818" t="n">
        <f aca="false">1000*(E473-$E$215)/(B473-$B$215)</f>
        <v>16.100270653379</v>
      </c>
      <c r="K473" s="732" t="n">
        <f aca="false">AVERAGE($E$216:E473)</f>
        <v>6.29501123731358</v>
      </c>
      <c r="L473" s="819" t="n">
        <f aca="false">L472+1</f>
        <v>258</v>
      </c>
      <c r="M473" s="820" t="n">
        <f aca="false">IF(B473&lt;$E$104,$E$105,$E$106)</f>
        <v>3</v>
      </c>
      <c r="N473" s="821" t="n">
        <f aca="false">IF(B473&lt;$E$104,$E$105,$E$111)</f>
        <v>2.5</v>
      </c>
      <c r="O473" s="822" t="n">
        <f aca="false">E473*$E$205*N473</f>
        <v>99.9884174257419</v>
      </c>
      <c r="P473" s="823" t="n">
        <f aca="false">P472+O473</f>
        <v>21134.1210943367</v>
      </c>
      <c r="Q473" s="606" t="n">
        <f aca="false">Q472+1</f>
        <v>258</v>
      </c>
      <c r="R473" s="824" t="n">
        <f aca="false">R472-1</f>
        <v>-258</v>
      </c>
      <c r="S473" s="5"/>
      <c r="T473" s="5"/>
      <c r="U473" s="5"/>
      <c r="V473" s="10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02"/>
      <c r="AU473" s="502"/>
      <c r="AV473" s="606"/>
      <c r="AW473" s="502"/>
      <c r="AX473" s="502"/>
      <c r="AY473" s="502"/>
      <c r="AZ473" s="502"/>
      <c r="BA473" s="502"/>
      <c r="BB473" s="502"/>
      <c r="BC473" s="502"/>
      <c r="BD473" s="502"/>
      <c r="BE473" s="502"/>
      <c r="BF473" s="502"/>
      <c r="BG473" s="502"/>
      <c r="BH473" s="502"/>
      <c r="BI473" s="502"/>
      <c r="BJ473" s="502"/>
      <c r="BK473" s="502"/>
      <c r="BL473" s="502"/>
      <c r="BM473" s="502"/>
      <c r="BN473" s="502"/>
      <c r="BO473" s="502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</row>
    <row r="474" s="504" customFormat="true" ht="12.75" hidden="true" customHeight="true" outlineLevel="0" collapsed="false">
      <c r="A474" s="5"/>
      <c r="B474" s="813" t="n">
        <f aca="false">B473+1</f>
        <v>259</v>
      </c>
      <c r="C474" s="814" t="n">
        <f aca="false">C473+D474</f>
        <v>25419.0723736635</v>
      </c>
      <c r="D474" s="815" t="n">
        <f aca="false">E474*$E$205*M474</f>
        <v>120.14378091089</v>
      </c>
      <c r="E474" s="601" t="n">
        <f aca="false">E473+$C$204</f>
        <v>7.61946860165464</v>
      </c>
      <c r="F474" s="816" t="n">
        <f aca="false">F473+1</f>
        <v>259</v>
      </c>
      <c r="G474" s="775" t="n">
        <f aca="false">C474</f>
        <v>25419.0723736635</v>
      </c>
      <c r="H474" s="817" t="n">
        <f aca="false">1000*(E474-E473)</f>
        <v>9.99999999999979</v>
      </c>
      <c r="I474" s="5"/>
      <c r="J474" s="818" t="n">
        <f aca="false">1000*(E474-$E$215)/(B474-$B$215)</f>
        <v>16.0767174848332</v>
      </c>
      <c r="K474" s="732" t="n">
        <f aca="false">AVERAGE($E$216:E474)</f>
        <v>6.30012497231103</v>
      </c>
      <c r="L474" s="819" t="n">
        <f aca="false">L473+1</f>
        <v>259</v>
      </c>
      <c r="M474" s="820" t="n">
        <f aca="false">IF(B474&lt;$E$104,$E$105,$E$106)</f>
        <v>3</v>
      </c>
      <c r="N474" s="821" t="n">
        <f aca="false">IF(B474&lt;$E$104,$E$105,$E$111)</f>
        <v>2.5</v>
      </c>
      <c r="O474" s="822" t="n">
        <f aca="false">E474*$E$205*N474</f>
        <v>100.119817425742</v>
      </c>
      <c r="P474" s="823" t="n">
        <f aca="false">P473+O474</f>
        <v>21234.2409117625</v>
      </c>
      <c r="Q474" s="606" t="n">
        <f aca="false">Q473+1</f>
        <v>259</v>
      </c>
      <c r="R474" s="824" t="n">
        <f aca="false">R473-1</f>
        <v>-259</v>
      </c>
      <c r="S474" s="5"/>
      <c r="T474" s="5"/>
      <c r="U474" s="5"/>
      <c r="V474" s="10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02"/>
      <c r="AU474" s="502"/>
      <c r="AV474" s="606"/>
      <c r="AW474" s="502"/>
      <c r="AX474" s="502"/>
      <c r="AY474" s="502"/>
      <c r="AZ474" s="502"/>
      <c r="BA474" s="502"/>
      <c r="BB474" s="502"/>
      <c r="BC474" s="502"/>
      <c r="BD474" s="502"/>
      <c r="BE474" s="502"/>
      <c r="BF474" s="502"/>
      <c r="BG474" s="502"/>
      <c r="BH474" s="502"/>
      <c r="BI474" s="502"/>
      <c r="BJ474" s="502"/>
      <c r="BK474" s="502"/>
      <c r="BL474" s="502"/>
      <c r="BM474" s="502"/>
      <c r="BN474" s="502"/>
      <c r="BO474" s="502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</row>
    <row r="475" s="504" customFormat="true" ht="12.75" hidden="true" customHeight="true" outlineLevel="0" collapsed="false">
      <c r="A475" s="5"/>
      <c r="B475" s="813" t="n">
        <f aca="false">B474+1</f>
        <v>260</v>
      </c>
      <c r="C475" s="814" t="n">
        <f aca="false">C474+D475</f>
        <v>25539.3738345744</v>
      </c>
      <c r="D475" s="815" t="n">
        <f aca="false">E475*$E$205*M475</f>
        <v>120.30146091089</v>
      </c>
      <c r="E475" s="601" t="n">
        <f aca="false">E474+$C$204</f>
        <v>7.62946860165464</v>
      </c>
      <c r="F475" s="816" t="n">
        <f aca="false">F474+1</f>
        <v>260</v>
      </c>
      <c r="G475" s="775" t="n">
        <f aca="false">C475</f>
        <v>25539.3738345744</v>
      </c>
      <c r="H475" s="817" t="n">
        <f aca="false">1000*(E475-E474)</f>
        <v>9.99999999999979</v>
      </c>
      <c r="I475" s="5"/>
      <c r="J475" s="818" t="n">
        <f aca="false">1000*(E475-$E$215)/(B475-$B$215)</f>
        <v>16.0533454945069</v>
      </c>
      <c r="K475" s="732" t="n">
        <f aca="false">AVERAGE($E$216:E475)</f>
        <v>6.30523783242389</v>
      </c>
      <c r="L475" s="819" t="n">
        <f aca="false">L474+1</f>
        <v>260</v>
      </c>
      <c r="M475" s="820" t="n">
        <f aca="false">IF(B475&lt;$E$104,$E$105,$E$106)</f>
        <v>3</v>
      </c>
      <c r="N475" s="821" t="n">
        <f aca="false">IF(B475&lt;$E$104,$E$105,$E$111)</f>
        <v>2.5</v>
      </c>
      <c r="O475" s="822" t="n">
        <f aca="false">E475*$E$205*N475</f>
        <v>100.251217425742</v>
      </c>
      <c r="P475" s="823" t="n">
        <f aca="false">P474+O475</f>
        <v>21334.4921291882</v>
      </c>
      <c r="Q475" s="606" t="n">
        <f aca="false">Q474+1</f>
        <v>260</v>
      </c>
      <c r="R475" s="824" t="n">
        <f aca="false">R474-1</f>
        <v>-260</v>
      </c>
      <c r="S475" s="5"/>
      <c r="T475" s="5"/>
      <c r="U475" s="5"/>
      <c r="V475" s="10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02"/>
      <c r="AU475" s="502"/>
      <c r="AV475" s="606"/>
      <c r="AW475" s="502"/>
      <c r="AX475" s="502"/>
      <c r="AY475" s="502"/>
      <c r="AZ475" s="502"/>
      <c r="BA475" s="502"/>
      <c r="BB475" s="502"/>
      <c r="BC475" s="502"/>
      <c r="BD475" s="502"/>
      <c r="BE475" s="502"/>
      <c r="BF475" s="502"/>
      <c r="BG475" s="502"/>
      <c r="BH475" s="502"/>
      <c r="BI475" s="502"/>
      <c r="BJ475" s="502"/>
      <c r="BK475" s="502"/>
      <c r="BL475" s="502"/>
      <c r="BM475" s="502"/>
      <c r="BN475" s="502"/>
      <c r="BO475" s="502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</row>
    <row r="476" s="504" customFormat="true" ht="12.75" hidden="true" customHeight="true" outlineLevel="0" collapsed="false">
      <c r="A476" s="5"/>
      <c r="B476" s="813" t="n">
        <f aca="false">B475+1</f>
        <v>261</v>
      </c>
      <c r="C476" s="814" t="n">
        <f aca="false">C475+D476</f>
        <v>25659.8329754853</v>
      </c>
      <c r="D476" s="815" t="n">
        <f aca="false">E476*$E$205*M476</f>
        <v>120.45914091089</v>
      </c>
      <c r="E476" s="601" t="n">
        <f aca="false">E475+$C$204</f>
        <v>7.63946860165463</v>
      </c>
      <c r="F476" s="816" t="n">
        <f aca="false">F475+1</f>
        <v>261</v>
      </c>
      <c r="G476" s="775" t="n">
        <f aca="false">C476</f>
        <v>25659.8329754853</v>
      </c>
      <c r="H476" s="817" t="n">
        <f aca="false">1000*(E476-E475)</f>
        <v>9.99999999999979</v>
      </c>
      <c r="I476" s="5"/>
      <c r="J476" s="818" t="n">
        <f aca="false">1000*(E476-$E$215)/(B476-$B$215)</f>
        <v>16.0301525998919</v>
      </c>
      <c r="K476" s="732" t="n">
        <f aca="false">AVERAGE($E$216:E476)</f>
        <v>6.3103498277083</v>
      </c>
      <c r="L476" s="819" t="n">
        <f aca="false">L475+1</f>
        <v>261</v>
      </c>
      <c r="M476" s="820" t="n">
        <f aca="false">IF(B476&lt;$E$104,$E$105,$E$106)</f>
        <v>3</v>
      </c>
      <c r="N476" s="821" t="n">
        <f aca="false">IF(B476&lt;$E$104,$E$105,$E$111)</f>
        <v>2.5</v>
      </c>
      <c r="O476" s="822" t="n">
        <f aca="false">E476*$E$205*N476</f>
        <v>100.382617425742</v>
      </c>
      <c r="P476" s="823" t="n">
        <f aca="false">P475+O476</f>
        <v>21434.874746614</v>
      </c>
      <c r="Q476" s="606" t="n">
        <f aca="false">Q475+1</f>
        <v>261</v>
      </c>
      <c r="R476" s="824" t="n">
        <f aca="false">R475-1</f>
        <v>-261</v>
      </c>
      <c r="S476" s="5"/>
      <c r="T476" s="5"/>
      <c r="U476" s="5"/>
      <c r="V476" s="10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02"/>
      <c r="AU476" s="502"/>
      <c r="AV476" s="606"/>
      <c r="AW476" s="502"/>
      <c r="AX476" s="502"/>
      <c r="AY476" s="502"/>
      <c r="AZ476" s="502"/>
      <c r="BA476" s="502"/>
      <c r="BB476" s="502"/>
      <c r="BC476" s="502"/>
      <c r="BD476" s="502"/>
      <c r="BE476" s="502"/>
      <c r="BF476" s="502"/>
      <c r="BG476" s="502"/>
      <c r="BH476" s="502"/>
      <c r="BI476" s="502"/>
      <c r="BJ476" s="502"/>
      <c r="BK476" s="502"/>
      <c r="BL476" s="502"/>
      <c r="BM476" s="502"/>
      <c r="BN476" s="502"/>
      <c r="BO476" s="502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</row>
    <row r="477" s="504" customFormat="true" ht="12.75" hidden="true" customHeight="true" outlineLevel="0" collapsed="false">
      <c r="A477" s="5"/>
      <c r="B477" s="813" t="n">
        <f aca="false">B476+1</f>
        <v>262</v>
      </c>
      <c r="C477" s="814" t="n">
        <f aca="false">C476+D477</f>
        <v>25780.4497963962</v>
      </c>
      <c r="D477" s="815" t="n">
        <f aca="false">E477*$E$205*M477</f>
        <v>120.61682091089</v>
      </c>
      <c r="E477" s="601" t="n">
        <f aca="false">E476+$C$204</f>
        <v>7.64946860165463</v>
      </c>
      <c r="F477" s="816" t="n">
        <f aca="false">F476+1</f>
        <v>262</v>
      </c>
      <c r="G477" s="775" t="n">
        <f aca="false">C477</f>
        <v>25780.4497963962</v>
      </c>
      <c r="H477" s="817" t="n">
        <f aca="false">1000*(E477-E476)</f>
        <v>9.99999999999979</v>
      </c>
      <c r="I477" s="5"/>
      <c r="J477" s="818" t="n">
        <f aca="false">1000*(E477-$E$215)/(B477-$B$215)</f>
        <v>16.007136750274</v>
      </c>
      <c r="K477" s="732" t="n">
        <f aca="false">AVERAGE($E$216:E477)</f>
        <v>6.31546096806688</v>
      </c>
      <c r="L477" s="819" t="n">
        <f aca="false">L476+1</f>
        <v>262</v>
      </c>
      <c r="M477" s="820" t="n">
        <f aca="false">IF(B477&lt;$E$104,$E$105,$E$106)</f>
        <v>3</v>
      </c>
      <c r="N477" s="821" t="n">
        <f aca="false">IF(B477&lt;$E$104,$E$105,$E$111)</f>
        <v>2.5</v>
      </c>
      <c r="O477" s="822" t="n">
        <f aca="false">E477*$E$205*N477</f>
        <v>100.514017425742</v>
      </c>
      <c r="P477" s="823" t="n">
        <f aca="false">P476+O477</f>
        <v>21535.3887640397</v>
      </c>
      <c r="Q477" s="606" t="n">
        <f aca="false">Q476+1</f>
        <v>262</v>
      </c>
      <c r="R477" s="824" t="n">
        <f aca="false">R476-1</f>
        <v>-262</v>
      </c>
      <c r="S477" s="5"/>
      <c r="T477" s="5"/>
      <c r="U477" s="5"/>
      <c r="V477" s="10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02"/>
      <c r="AU477" s="502"/>
      <c r="AV477" s="606"/>
      <c r="AW477" s="502"/>
      <c r="AX477" s="502"/>
      <c r="AY477" s="502"/>
      <c r="AZ477" s="502"/>
      <c r="BA477" s="502"/>
      <c r="BB477" s="502"/>
      <c r="BC477" s="502"/>
      <c r="BD477" s="502"/>
      <c r="BE477" s="502"/>
      <c r="BF477" s="502"/>
      <c r="BG477" s="502"/>
      <c r="BH477" s="502"/>
      <c r="BI477" s="502"/>
      <c r="BJ477" s="502"/>
      <c r="BK477" s="502"/>
      <c r="BL477" s="502"/>
      <c r="BM477" s="502"/>
      <c r="BN477" s="502"/>
      <c r="BO477" s="502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</row>
    <row r="478" s="504" customFormat="true" ht="12.75" hidden="true" customHeight="true" outlineLevel="0" collapsed="false">
      <c r="A478" s="5"/>
      <c r="B478" s="813" t="n">
        <f aca="false">B477+1</f>
        <v>263</v>
      </c>
      <c r="C478" s="814" t="n">
        <f aca="false">C477+D478</f>
        <v>25901.2242973071</v>
      </c>
      <c r="D478" s="815" t="n">
        <f aca="false">E478*$E$205*M478</f>
        <v>120.77450091089</v>
      </c>
      <c r="E478" s="601" t="n">
        <f aca="false">E477+$C$204</f>
        <v>7.65946860165463</v>
      </c>
      <c r="F478" s="816" t="n">
        <f aca="false">F477+1</f>
        <v>263</v>
      </c>
      <c r="G478" s="775" t="n">
        <f aca="false">C478</f>
        <v>25901.2242973071</v>
      </c>
      <c r="H478" s="817" t="n">
        <f aca="false">1000*(E478-E477)</f>
        <v>9.99999999999979</v>
      </c>
      <c r="I478" s="5"/>
      <c r="J478" s="818" t="n">
        <f aca="false">1000*(E478-$E$215)/(B478-$B$215)</f>
        <v>15.9842959261285</v>
      </c>
      <c r="K478" s="732" t="n">
        <f aca="false">AVERAGE($E$216:E478)</f>
        <v>6.32057126325162</v>
      </c>
      <c r="L478" s="819" t="n">
        <f aca="false">L477+1</f>
        <v>263</v>
      </c>
      <c r="M478" s="820" t="n">
        <f aca="false">IF(B478&lt;$E$104,$E$105,$E$106)</f>
        <v>3</v>
      </c>
      <c r="N478" s="821" t="n">
        <f aca="false">IF(B478&lt;$E$104,$E$105,$E$111)</f>
        <v>2.5</v>
      </c>
      <c r="O478" s="822" t="n">
        <f aca="false">E478*$E$205*N478</f>
        <v>100.645417425742</v>
      </c>
      <c r="P478" s="823" t="n">
        <f aca="false">P477+O478</f>
        <v>21636.0341814654</v>
      </c>
      <c r="Q478" s="606" t="n">
        <f aca="false">Q477+1</f>
        <v>263</v>
      </c>
      <c r="R478" s="824" t="n">
        <f aca="false">R477-1</f>
        <v>-263</v>
      </c>
      <c r="S478" s="5"/>
      <c r="T478" s="5"/>
      <c r="U478" s="5"/>
      <c r="V478" s="10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02"/>
      <c r="AU478" s="502"/>
      <c r="AV478" s="606"/>
      <c r="AW478" s="502"/>
      <c r="AX478" s="502"/>
      <c r="AY478" s="502"/>
      <c r="AZ478" s="502"/>
      <c r="BA478" s="502"/>
      <c r="BB478" s="502"/>
      <c r="BC478" s="502"/>
      <c r="BD478" s="502"/>
      <c r="BE478" s="502"/>
      <c r="BF478" s="502"/>
      <c r="BG478" s="502"/>
      <c r="BH478" s="502"/>
      <c r="BI478" s="502"/>
      <c r="BJ478" s="502"/>
      <c r="BK478" s="502"/>
      <c r="BL478" s="502"/>
      <c r="BM478" s="502"/>
      <c r="BN478" s="502"/>
      <c r="BO478" s="502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</row>
    <row r="479" s="504" customFormat="true" ht="12.75" hidden="true" customHeight="true" outlineLevel="0" collapsed="false">
      <c r="A479" s="5"/>
      <c r="B479" s="813" t="n">
        <f aca="false">B478+1</f>
        <v>264</v>
      </c>
      <c r="C479" s="814" t="n">
        <f aca="false">C478+D479</f>
        <v>26022.156478218</v>
      </c>
      <c r="D479" s="815" t="n">
        <f aca="false">E479*$E$205*M479</f>
        <v>120.93218091089</v>
      </c>
      <c r="E479" s="601" t="n">
        <f aca="false">E478+$C$204</f>
        <v>7.66946860165463</v>
      </c>
      <c r="F479" s="816" t="n">
        <f aca="false">F478+1</f>
        <v>264</v>
      </c>
      <c r="G479" s="775" t="n">
        <f aca="false">C479</f>
        <v>26022.156478218</v>
      </c>
      <c r="H479" s="817" t="n">
        <f aca="false">1000*(E479-E478)</f>
        <v>9.99999999999979</v>
      </c>
      <c r="I479" s="5"/>
      <c r="J479" s="818" t="n">
        <f aca="false">1000*(E479-$E$215)/(B479-$B$215)</f>
        <v>15.9616281385295</v>
      </c>
      <c r="K479" s="732" t="n">
        <f aca="false">AVERAGE($E$216:E479)</f>
        <v>6.32568072286678</v>
      </c>
      <c r="L479" s="819" t="n">
        <f aca="false">L478+1</f>
        <v>264</v>
      </c>
      <c r="M479" s="820" t="n">
        <f aca="false">IF(B479&lt;$E$104,$E$105,$E$106)</f>
        <v>3</v>
      </c>
      <c r="N479" s="821" t="n">
        <f aca="false">IF(B479&lt;$E$104,$E$105,$E$111)</f>
        <v>2.5</v>
      </c>
      <c r="O479" s="822" t="n">
        <f aca="false">E479*$E$205*N479</f>
        <v>100.776817425742</v>
      </c>
      <c r="P479" s="823" t="n">
        <f aca="false">P478+O479</f>
        <v>21736.8109988912</v>
      </c>
      <c r="Q479" s="606" t="n">
        <f aca="false">Q478+1</f>
        <v>264</v>
      </c>
      <c r="R479" s="824" t="n">
        <f aca="false">R478-1</f>
        <v>-264</v>
      </c>
      <c r="S479" s="5"/>
      <c r="T479" s="5"/>
      <c r="U479" s="5"/>
      <c r="V479" s="10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02"/>
      <c r="AU479" s="502"/>
      <c r="AV479" s="606"/>
      <c r="AW479" s="502"/>
      <c r="AX479" s="502"/>
      <c r="AY479" s="502"/>
      <c r="AZ479" s="502"/>
      <c r="BA479" s="502"/>
      <c r="BB479" s="502"/>
      <c r="BC479" s="502"/>
      <c r="BD479" s="502"/>
      <c r="BE479" s="502"/>
      <c r="BF479" s="502"/>
      <c r="BG479" s="502"/>
      <c r="BH479" s="502"/>
      <c r="BI479" s="502"/>
      <c r="BJ479" s="502"/>
      <c r="BK479" s="502"/>
      <c r="BL479" s="502"/>
      <c r="BM479" s="502"/>
      <c r="BN479" s="502"/>
      <c r="BO479" s="502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</row>
    <row r="480" s="504" customFormat="true" ht="12.75" hidden="true" customHeight="true" outlineLevel="0" collapsed="false">
      <c r="A480" s="5"/>
      <c r="B480" s="813" t="n">
        <f aca="false">B479+1</f>
        <v>265</v>
      </c>
      <c r="C480" s="814" t="n">
        <f aca="false">C479+D480</f>
        <v>26143.2463391289</v>
      </c>
      <c r="D480" s="815" t="n">
        <f aca="false">E480*$E$205*M480</f>
        <v>121.08986091089</v>
      </c>
      <c r="E480" s="601" t="n">
        <f aca="false">E479+$C$204</f>
        <v>7.67946860165463</v>
      </c>
      <c r="F480" s="816" t="n">
        <f aca="false">F479+1</f>
        <v>265</v>
      </c>
      <c r="G480" s="775" t="n">
        <f aca="false">C480</f>
        <v>26143.2463391289</v>
      </c>
      <c r="H480" s="817" t="n">
        <f aca="false">1000*(E480-E479)</f>
        <v>9.99999999999979</v>
      </c>
      <c r="I480" s="5"/>
      <c r="J480" s="818" t="n">
        <f aca="false">1000*(E480-$E$215)/(B480-$B$215)</f>
        <v>15.9391314285728</v>
      </c>
      <c r="K480" s="732" t="n">
        <f aca="false">AVERAGE($E$216:E480)</f>
        <v>6.33078935637164</v>
      </c>
      <c r="L480" s="819" t="n">
        <f aca="false">L479+1</f>
        <v>265</v>
      </c>
      <c r="M480" s="820" t="n">
        <f aca="false">IF(B480&lt;$E$104,$E$105,$E$106)</f>
        <v>3</v>
      </c>
      <c r="N480" s="821" t="n">
        <f aca="false">IF(B480&lt;$E$104,$E$105,$E$111)</f>
        <v>2.5</v>
      </c>
      <c r="O480" s="822" t="n">
        <f aca="false">E480*$E$205*N480</f>
        <v>100.908217425742</v>
      </c>
      <c r="P480" s="823" t="n">
        <f aca="false">P479+O480</f>
        <v>21837.7192163169</v>
      </c>
      <c r="Q480" s="606" t="n">
        <f aca="false">Q479+1</f>
        <v>265</v>
      </c>
      <c r="R480" s="824" t="n">
        <f aca="false">R479-1</f>
        <v>-265</v>
      </c>
      <c r="S480" s="5"/>
      <c r="T480" s="5"/>
      <c r="U480" s="5"/>
      <c r="V480" s="10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02"/>
      <c r="AU480" s="502"/>
      <c r="AV480" s="606"/>
      <c r="AW480" s="502"/>
      <c r="AX480" s="502"/>
      <c r="AY480" s="502"/>
      <c r="AZ480" s="502"/>
      <c r="BA480" s="502"/>
      <c r="BB480" s="502"/>
      <c r="BC480" s="502"/>
      <c r="BD480" s="502"/>
      <c r="BE480" s="502"/>
      <c r="BF480" s="502"/>
      <c r="BG480" s="502"/>
      <c r="BH480" s="502"/>
      <c r="BI480" s="502"/>
      <c r="BJ480" s="502"/>
      <c r="BK480" s="502"/>
      <c r="BL480" s="502"/>
      <c r="BM480" s="502"/>
      <c r="BN480" s="502"/>
      <c r="BO480" s="502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</row>
    <row r="481" s="504" customFormat="true" ht="12.75" hidden="true" customHeight="true" outlineLevel="0" collapsed="false">
      <c r="A481" s="5"/>
      <c r="B481" s="813" t="n">
        <f aca="false">B480+1</f>
        <v>266</v>
      </c>
      <c r="C481" s="814" t="n">
        <f aca="false">C480+D481</f>
        <v>26264.4938800398</v>
      </c>
      <c r="D481" s="815" t="n">
        <f aca="false">E481*$E$205*M481</f>
        <v>121.24754091089</v>
      </c>
      <c r="E481" s="601" t="n">
        <f aca="false">E480+$C$204</f>
        <v>7.68946860165463</v>
      </c>
      <c r="F481" s="816" t="n">
        <f aca="false">F480+1</f>
        <v>266</v>
      </c>
      <c r="G481" s="775" t="n">
        <f aca="false">C481</f>
        <v>26264.4938800398</v>
      </c>
      <c r="H481" s="817" t="n">
        <f aca="false">1000*(E481-E480)</f>
        <v>9.99999999999979</v>
      </c>
      <c r="I481" s="5"/>
      <c r="J481" s="818" t="n">
        <f aca="false">1000*(E481-$E$215)/(B481-$B$215)</f>
        <v>15.9168038668112</v>
      </c>
      <c r="K481" s="732" t="n">
        <f aca="false">AVERAGE($E$216:E481)</f>
        <v>6.33589717308324</v>
      </c>
      <c r="L481" s="819" t="n">
        <f aca="false">L480+1</f>
        <v>266</v>
      </c>
      <c r="M481" s="820" t="n">
        <f aca="false">IF(B481&lt;$E$104,$E$105,$E$106)</f>
        <v>3</v>
      </c>
      <c r="N481" s="821" t="n">
        <f aca="false">IF(B481&lt;$E$104,$E$105,$E$111)</f>
        <v>2.5</v>
      </c>
      <c r="O481" s="822" t="n">
        <f aca="false">E481*$E$205*N481</f>
        <v>101.039617425742</v>
      </c>
      <c r="P481" s="823" t="n">
        <f aca="false">P480+O481</f>
        <v>21938.7588337427</v>
      </c>
      <c r="Q481" s="606" t="n">
        <f aca="false">Q480+1</f>
        <v>266</v>
      </c>
      <c r="R481" s="824" t="n">
        <f aca="false">R480-1</f>
        <v>-266</v>
      </c>
      <c r="S481" s="5"/>
      <c r="T481" s="5"/>
      <c r="U481" s="5"/>
      <c r="V481" s="10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02"/>
      <c r="AU481" s="502"/>
      <c r="AV481" s="606"/>
      <c r="AW481" s="502"/>
      <c r="AX481" s="502"/>
      <c r="AY481" s="502"/>
      <c r="AZ481" s="502"/>
      <c r="BA481" s="502"/>
      <c r="BB481" s="502"/>
      <c r="BC481" s="502"/>
      <c r="BD481" s="502"/>
      <c r="BE481" s="502"/>
      <c r="BF481" s="502"/>
      <c r="BG481" s="502"/>
      <c r="BH481" s="502"/>
      <c r="BI481" s="502"/>
      <c r="BJ481" s="502"/>
      <c r="BK481" s="502"/>
      <c r="BL481" s="502"/>
      <c r="BM481" s="502"/>
      <c r="BN481" s="502"/>
      <c r="BO481" s="502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</row>
    <row r="482" s="504" customFormat="true" ht="12.75" hidden="true" customHeight="true" outlineLevel="0" collapsed="false">
      <c r="A482" s="5"/>
      <c r="B482" s="813" t="n">
        <f aca="false">B481+1</f>
        <v>267</v>
      </c>
      <c r="C482" s="814" t="n">
        <f aca="false">C481+D482</f>
        <v>26385.8991009507</v>
      </c>
      <c r="D482" s="815" t="n">
        <f aca="false">E482*$E$205*M482</f>
        <v>121.40522091089</v>
      </c>
      <c r="E482" s="601" t="n">
        <f aca="false">E481+$C$204</f>
        <v>7.69946860165463</v>
      </c>
      <c r="F482" s="816" t="n">
        <f aca="false">F481+1</f>
        <v>267</v>
      </c>
      <c r="G482" s="775" t="n">
        <f aca="false">C482</f>
        <v>26385.8991009507</v>
      </c>
      <c r="H482" s="817" t="n">
        <f aca="false">1000*(E482-E481)</f>
        <v>9.99999999999979</v>
      </c>
      <c r="I482" s="5"/>
      <c r="J482" s="818" t="n">
        <f aca="false">1000*(E482-$E$215)/(B482-$B$215)</f>
        <v>15.8946435527033</v>
      </c>
      <c r="K482" s="732" t="n">
        <f aca="false">AVERAGE($E$216:E482)</f>
        <v>6.34100418217901</v>
      </c>
      <c r="L482" s="819" t="n">
        <f aca="false">L481+1</f>
        <v>267</v>
      </c>
      <c r="M482" s="820" t="n">
        <f aca="false">IF(B482&lt;$E$104,$E$105,$E$106)</f>
        <v>3</v>
      </c>
      <c r="N482" s="821" t="n">
        <f aca="false">IF(B482&lt;$E$104,$E$105,$E$111)</f>
        <v>2.5</v>
      </c>
      <c r="O482" s="822" t="n">
        <f aca="false">E482*$E$205*N482</f>
        <v>101.171017425742</v>
      </c>
      <c r="P482" s="823" t="n">
        <f aca="false">P481+O482</f>
        <v>22039.9298511684</v>
      </c>
      <c r="Q482" s="606" t="n">
        <f aca="false">Q481+1</f>
        <v>267</v>
      </c>
      <c r="R482" s="824" t="n">
        <f aca="false">R481-1</f>
        <v>-267</v>
      </c>
      <c r="S482" s="5"/>
      <c r="T482" s="5"/>
      <c r="U482" s="5"/>
      <c r="V482" s="10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02"/>
      <c r="AU482" s="502"/>
      <c r="AV482" s="606"/>
      <c r="AW482" s="502"/>
      <c r="AX482" s="502"/>
      <c r="AY482" s="502"/>
      <c r="AZ482" s="502"/>
      <c r="BA482" s="502"/>
      <c r="BB482" s="502"/>
      <c r="BC482" s="502"/>
      <c r="BD482" s="502"/>
      <c r="BE482" s="502"/>
      <c r="BF482" s="502"/>
      <c r="BG482" s="502"/>
      <c r="BH482" s="502"/>
      <c r="BI482" s="502"/>
      <c r="BJ482" s="502"/>
      <c r="BK482" s="502"/>
      <c r="BL482" s="502"/>
      <c r="BM482" s="502"/>
      <c r="BN482" s="502"/>
      <c r="BO482" s="502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</row>
    <row r="483" s="504" customFormat="true" ht="12.75" hidden="true" customHeight="true" outlineLevel="0" collapsed="false">
      <c r="A483" s="5"/>
      <c r="B483" s="813" t="n">
        <f aca="false">B482+1</f>
        <v>268</v>
      </c>
      <c r="C483" s="814" t="n">
        <f aca="false">C482+D483</f>
        <v>26507.4620018616</v>
      </c>
      <c r="D483" s="815" t="n">
        <f aca="false">E483*$E$205*M483</f>
        <v>121.56290091089</v>
      </c>
      <c r="E483" s="601" t="n">
        <f aca="false">E482+$C$204</f>
        <v>7.70946860165463</v>
      </c>
      <c r="F483" s="816" t="n">
        <f aca="false">F482+1</f>
        <v>268</v>
      </c>
      <c r="G483" s="775" t="n">
        <f aca="false">C483</f>
        <v>26507.4620018616</v>
      </c>
      <c r="H483" s="817" t="n">
        <f aca="false">1000*(E483-E482)</f>
        <v>9.99999999999979</v>
      </c>
      <c r="I483" s="5"/>
      <c r="J483" s="818" t="n">
        <f aca="false">1000*(E483-$E$215)/(B483-$B$215)</f>
        <v>15.8726486140738</v>
      </c>
      <c r="K483" s="732" t="n">
        <f aca="false">AVERAGE($E$216:E483)</f>
        <v>6.34611039269944</v>
      </c>
      <c r="L483" s="819" t="n">
        <f aca="false">L482+1</f>
        <v>268</v>
      </c>
      <c r="M483" s="820" t="n">
        <f aca="false">IF(B483&lt;$E$104,$E$105,$E$106)</f>
        <v>3</v>
      </c>
      <c r="N483" s="821" t="n">
        <f aca="false">IF(B483&lt;$E$104,$E$105,$E$111)</f>
        <v>2.5</v>
      </c>
      <c r="O483" s="822" t="n">
        <f aca="false">E483*$E$205*N483</f>
        <v>101.302417425742</v>
      </c>
      <c r="P483" s="823" t="n">
        <f aca="false">P482+O483</f>
        <v>22141.2322685942</v>
      </c>
      <c r="Q483" s="606" t="n">
        <f aca="false">Q482+1</f>
        <v>268</v>
      </c>
      <c r="R483" s="824" t="n">
        <f aca="false">R482-1</f>
        <v>-268</v>
      </c>
      <c r="S483" s="5"/>
      <c r="T483" s="5"/>
      <c r="U483" s="5"/>
      <c r="V483" s="10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02"/>
      <c r="AU483" s="502"/>
      <c r="AV483" s="606"/>
      <c r="AW483" s="502"/>
      <c r="AX483" s="502"/>
      <c r="AY483" s="502"/>
      <c r="AZ483" s="502"/>
      <c r="BA483" s="502"/>
      <c r="BB483" s="502"/>
      <c r="BC483" s="502"/>
      <c r="BD483" s="502"/>
      <c r="BE483" s="502"/>
      <c r="BF483" s="502"/>
      <c r="BG483" s="502"/>
      <c r="BH483" s="502"/>
      <c r="BI483" s="502"/>
      <c r="BJ483" s="502"/>
      <c r="BK483" s="502"/>
      <c r="BL483" s="502"/>
      <c r="BM483" s="502"/>
      <c r="BN483" s="502"/>
      <c r="BO483" s="502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</row>
    <row r="484" s="504" customFormat="true" ht="12.75" hidden="true" customHeight="true" outlineLevel="0" collapsed="false">
      <c r="A484" s="5"/>
      <c r="B484" s="813" t="n">
        <f aca="false">B483+1</f>
        <v>269</v>
      </c>
      <c r="C484" s="814" t="n">
        <f aca="false">C483+D484</f>
        <v>26629.1825827724</v>
      </c>
      <c r="D484" s="815" t="n">
        <f aca="false">E484*$E$205*M484</f>
        <v>121.72058091089</v>
      </c>
      <c r="E484" s="601" t="n">
        <f aca="false">E483+$C$204</f>
        <v>7.71946860165463</v>
      </c>
      <c r="F484" s="816" t="n">
        <f aca="false">F483+1</f>
        <v>269</v>
      </c>
      <c r="G484" s="775" t="n">
        <f aca="false">C484</f>
        <v>26629.1825827724</v>
      </c>
      <c r="H484" s="817" t="n">
        <f aca="false">1000*(E484-E483)</f>
        <v>9.99999999999979</v>
      </c>
      <c r="I484" s="5"/>
      <c r="J484" s="818" t="n">
        <f aca="false">1000*(E484-$E$215)/(B484-$B$215)</f>
        <v>15.8508172065866</v>
      </c>
      <c r="K484" s="732" t="n">
        <f aca="false">AVERAGE($E$216:E484)</f>
        <v>6.35121581355057</v>
      </c>
      <c r="L484" s="819" t="n">
        <f aca="false">L483+1</f>
        <v>269</v>
      </c>
      <c r="M484" s="820" t="n">
        <f aca="false">IF(B484&lt;$E$104,$E$105,$E$106)</f>
        <v>3</v>
      </c>
      <c r="N484" s="821" t="n">
        <f aca="false">IF(B484&lt;$E$104,$E$105,$E$111)</f>
        <v>2.5</v>
      </c>
      <c r="O484" s="822" t="n">
        <f aca="false">E484*$E$205*N484</f>
        <v>101.433817425742</v>
      </c>
      <c r="P484" s="823" t="n">
        <f aca="false">P483+O484</f>
        <v>22242.6660860199</v>
      </c>
      <c r="Q484" s="606" t="n">
        <f aca="false">Q483+1</f>
        <v>269</v>
      </c>
      <c r="R484" s="824" t="n">
        <f aca="false">R483-1</f>
        <v>-269</v>
      </c>
      <c r="S484" s="5"/>
      <c r="T484" s="5"/>
      <c r="U484" s="5"/>
      <c r="V484" s="10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02"/>
      <c r="AU484" s="502"/>
      <c r="AV484" s="606"/>
      <c r="AW484" s="502"/>
      <c r="AX484" s="502"/>
      <c r="AY484" s="502"/>
      <c r="AZ484" s="502"/>
      <c r="BA484" s="502"/>
      <c r="BB484" s="502"/>
      <c r="BC484" s="502"/>
      <c r="BD484" s="502"/>
      <c r="BE484" s="502"/>
      <c r="BF484" s="502"/>
      <c r="BG484" s="502"/>
      <c r="BH484" s="502"/>
      <c r="BI484" s="502"/>
      <c r="BJ484" s="502"/>
      <c r="BK484" s="502"/>
      <c r="BL484" s="502"/>
      <c r="BM484" s="502"/>
      <c r="BN484" s="502"/>
      <c r="BO484" s="502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</row>
    <row r="485" s="504" customFormat="true" ht="12.75" hidden="true" customHeight="true" outlineLevel="0" collapsed="false">
      <c r="A485" s="5"/>
      <c r="B485" s="813" t="n">
        <f aca="false">B484+1</f>
        <v>270</v>
      </c>
      <c r="C485" s="814" t="n">
        <f aca="false">C484+D485</f>
        <v>26751.0608436833</v>
      </c>
      <c r="D485" s="815" t="n">
        <f aca="false">E485*$E$205*M485</f>
        <v>121.87826091089</v>
      </c>
      <c r="E485" s="601" t="n">
        <f aca="false">E484+$C$204</f>
        <v>7.72946860165463</v>
      </c>
      <c r="F485" s="816" t="n">
        <f aca="false">F484+1</f>
        <v>270</v>
      </c>
      <c r="G485" s="775" t="n">
        <f aca="false">C485</f>
        <v>26751.0608436833</v>
      </c>
      <c r="H485" s="817" t="n">
        <f aca="false">1000*(E485-E484)</f>
        <v>9.99999999999979</v>
      </c>
      <c r="I485" s="5"/>
      <c r="J485" s="818" t="n">
        <f aca="false">1000*(E485-$E$215)/(B485-$B$215)</f>
        <v>15.8291475132288</v>
      </c>
      <c r="K485" s="732" t="n">
        <f aca="false">AVERAGE($E$216:E485)</f>
        <v>6.35632045350651</v>
      </c>
      <c r="L485" s="819" t="n">
        <f aca="false">L484+1</f>
        <v>270</v>
      </c>
      <c r="M485" s="820" t="n">
        <f aca="false">IF(B485&lt;$E$104,$E$105,$E$106)</f>
        <v>3</v>
      </c>
      <c r="N485" s="821" t="n">
        <f aca="false">IF(B485&lt;$E$104,$E$105,$E$111)</f>
        <v>2.5</v>
      </c>
      <c r="O485" s="822" t="n">
        <f aca="false">E485*$E$205*N485</f>
        <v>101.565217425742</v>
      </c>
      <c r="P485" s="823" t="n">
        <f aca="false">P484+O485</f>
        <v>22344.2313034456</v>
      </c>
      <c r="Q485" s="606" t="n">
        <f aca="false">Q484+1</f>
        <v>270</v>
      </c>
      <c r="R485" s="824" t="n">
        <f aca="false">R484-1</f>
        <v>-270</v>
      </c>
      <c r="S485" s="5"/>
      <c r="T485" s="5"/>
      <c r="U485" s="5"/>
      <c r="V485" s="10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02"/>
      <c r="AU485" s="502"/>
      <c r="AV485" s="606"/>
      <c r="AW485" s="502"/>
      <c r="AX485" s="502"/>
      <c r="AY485" s="502"/>
      <c r="AZ485" s="502"/>
      <c r="BA485" s="502"/>
      <c r="BB485" s="502"/>
      <c r="BC485" s="502"/>
      <c r="BD485" s="502"/>
      <c r="BE485" s="502"/>
      <c r="BF485" s="502"/>
      <c r="BG485" s="502"/>
      <c r="BH485" s="502"/>
      <c r="BI485" s="502"/>
      <c r="BJ485" s="502"/>
      <c r="BK485" s="502"/>
      <c r="BL485" s="502"/>
      <c r="BM485" s="502"/>
      <c r="BN485" s="502"/>
      <c r="BO485" s="502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</row>
    <row r="486" s="504" customFormat="true" ht="12.75" hidden="true" customHeight="true" outlineLevel="0" collapsed="false">
      <c r="A486" s="5"/>
      <c r="B486" s="813" t="n">
        <f aca="false">B485+1</f>
        <v>271</v>
      </c>
      <c r="C486" s="814" t="n">
        <f aca="false">C485+D486</f>
        <v>26873.0967845942</v>
      </c>
      <c r="D486" s="815" t="n">
        <f aca="false">E486*$E$205*M486</f>
        <v>122.03594091089</v>
      </c>
      <c r="E486" s="601" t="n">
        <f aca="false">E485+$C$204</f>
        <v>7.73946860165463</v>
      </c>
      <c r="F486" s="816" t="n">
        <f aca="false">F485+1</f>
        <v>271</v>
      </c>
      <c r="G486" s="775" t="n">
        <f aca="false">C486</f>
        <v>26873.0967845942</v>
      </c>
      <c r="H486" s="817" t="n">
        <f aca="false">1000*(E486-E485)</f>
        <v>9.99999999999979</v>
      </c>
      <c r="I486" s="5"/>
      <c r="J486" s="818" t="n">
        <f aca="false">1000*(E486-$E$215)/(B486-$B$215)</f>
        <v>15.8076377438073</v>
      </c>
      <c r="K486" s="732" t="n">
        <f aca="false">AVERAGE($E$216:E486)</f>
        <v>6.36142432121186</v>
      </c>
      <c r="L486" s="819" t="n">
        <f aca="false">L485+1</f>
        <v>271</v>
      </c>
      <c r="M486" s="820" t="n">
        <f aca="false">IF(B486&lt;$E$104,$E$105,$E$106)</f>
        <v>3</v>
      </c>
      <c r="N486" s="821" t="n">
        <f aca="false">IF(B486&lt;$E$104,$E$105,$E$111)</f>
        <v>2.5</v>
      </c>
      <c r="O486" s="822" t="n">
        <f aca="false">E486*$E$205*N486</f>
        <v>101.696617425742</v>
      </c>
      <c r="P486" s="823" t="n">
        <f aca="false">P485+O486</f>
        <v>22445.9279208714</v>
      </c>
      <c r="Q486" s="606" t="n">
        <f aca="false">Q485+1</f>
        <v>271</v>
      </c>
      <c r="R486" s="824" t="n">
        <f aca="false">R485-1</f>
        <v>-271</v>
      </c>
      <c r="S486" s="5"/>
      <c r="T486" s="5"/>
      <c r="U486" s="5"/>
      <c r="V486" s="10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02"/>
      <c r="AU486" s="502"/>
      <c r="AV486" s="606"/>
      <c r="AW486" s="502"/>
      <c r="AX486" s="502"/>
      <c r="AY486" s="502"/>
      <c r="AZ486" s="502"/>
      <c r="BA486" s="502"/>
      <c r="BB486" s="502"/>
      <c r="BC486" s="502"/>
      <c r="BD486" s="502"/>
      <c r="BE486" s="502"/>
      <c r="BF486" s="502"/>
      <c r="BG486" s="502"/>
      <c r="BH486" s="502"/>
      <c r="BI486" s="502"/>
      <c r="BJ486" s="502"/>
      <c r="BK486" s="502"/>
      <c r="BL486" s="502"/>
      <c r="BM486" s="502"/>
      <c r="BN486" s="502"/>
      <c r="BO486" s="502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</row>
    <row r="487" s="504" customFormat="true" ht="12.75" hidden="true" customHeight="true" outlineLevel="0" collapsed="false">
      <c r="A487" s="5"/>
      <c r="B487" s="813" t="n">
        <f aca="false">B486+1</f>
        <v>272</v>
      </c>
      <c r="C487" s="814" t="n">
        <f aca="false">C486+D487</f>
        <v>26995.2904055051</v>
      </c>
      <c r="D487" s="815" t="n">
        <f aca="false">E487*$E$205*M487</f>
        <v>122.19362091089</v>
      </c>
      <c r="E487" s="601" t="n">
        <f aca="false">E486+$C$204</f>
        <v>7.74946860165463</v>
      </c>
      <c r="F487" s="816" t="n">
        <f aca="false">F486+1</f>
        <v>272</v>
      </c>
      <c r="G487" s="775" t="n">
        <f aca="false">C487</f>
        <v>26995.2904055051</v>
      </c>
      <c r="H487" s="817" t="n">
        <f aca="false">1000*(E487-E486)</f>
        <v>9.99999999999979</v>
      </c>
      <c r="I487" s="5"/>
      <c r="J487" s="818" t="n">
        <f aca="false">1000*(E487-$E$215)/(B487-$B$215)</f>
        <v>15.7862861344551</v>
      </c>
      <c r="K487" s="732" t="n">
        <f aca="false">AVERAGE($E$216:E487)</f>
        <v>6.36652742518407</v>
      </c>
      <c r="L487" s="819" t="n">
        <f aca="false">L486+1</f>
        <v>272</v>
      </c>
      <c r="M487" s="820" t="n">
        <f aca="false">IF(B487&lt;$E$104,$E$105,$E$106)</f>
        <v>3</v>
      </c>
      <c r="N487" s="821" t="n">
        <f aca="false">IF(B487&lt;$E$104,$E$105,$E$111)</f>
        <v>2.5</v>
      </c>
      <c r="O487" s="822" t="n">
        <f aca="false">E487*$E$205*N487</f>
        <v>101.828017425742</v>
      </c>
      <c r="P487" s="823" t="n">
        <f aca="false">P486+O487</f>
        <v>22547.7559382971</v>
      </c>
      <c r="Q487" s="606" t="n">
        <f aca="false">Q486+1</f>
        <v>272</v>
      </c>
      <c r="R487" s="824" t="n">
        <f aca="false">R486-1</f>
        <v>-272</v>
      </c>
      <c r="S487" s="5"/>
      <c r="T487" s="5"/>
      <c r="U487" s="5"/>
      <c r="V487" s="10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02"/>
      <c r="AU487" s="502"/>
      <c r="AV487" s="606"/>
      <c r="AW487" s="502"/>
      <c r="AX487" s="502"/>
      <c r="AY487" s="502"/>
      <c r="AZ487" s="502"/>
      <c r="BA487" s="502"/>
      <c r="BB487" s="502"/>
      <c r="BC487" s="502"/>
      <c r="BD487" s="502"/>
      <c r="BE487" s="502"/>
      <c r="BF487" s="502"/>
      <c r="BG487" s="502"/>
      <c r="BH487" s="502"/>
      <c r="BI487" s="502"/>
      <c r="BJ487" s="502"/>
      <c r="BK487" s="502"/>
      <c r="BL487" s="502"/>
      <c r="BM487" s="502"/>
      <c r="BN487" s="502"/>
      <c r="BO487" s="502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</row>
    <row r="488" s="504" customFormat="true" ht="12.75" hidden="true" customHeight="true" outlineLevel="0" collapsed="false">
      <c r="A488" s="5"/>
      <c r="B488" s="813" t="n">
        <f aca="false">B487+1</f>
        <v>273</v>
      </c>
      <c r="C488" s="814" t="n">
        <f aca="false">C487+D488</f>
        <v>27117.641706416</v>
      </c>
      <c r="D488" s="815" t="n">
        <f aca="false">E488*$E$205*M488</f>
        <v>122.35130091089</v>
      </c>
      <c r="E488" s="601" t="n">
        <f aca="false">E487+$C$204</f>
        <v>7.75946860165463</v>
      </c>
      <c r="F488" s="816" t="n">
        <f aca="false">F487+1</f>
        <v>273</v>
      </c>
      <c r="G488" s="775" t="n">
        <f aca="false">C488</f>
        <v>27117.641706416</v>
      </c>
      <c r="H488" s="817" t="n">
        <f aca="false">1000*(E488-E487)</f>
        <v>9.99999999999979</v>
      </c>
      <c r="I488" s="5"/>
      <c r="J488" s="818" t="n">
        <f aca="false">1000*(E488-$E$215)/(B488-$B$215)</f>
        <v>15.7650909471494</v>
      </c>
      <c r="K488" s="732" t="n">
        <f aca="false">AVERAGE($E$216:E488)</f>
        <v>6.37162977381583</v>
      </c>
      <c r="L488" s="819" t="n">
        <f aca="false">L487+1</f>
        <v>273</v>
      </c>
      <c r="M488" s="820" t="n">
        <f aca="false">IF(B488&lt;$E$104,$E$105,$E$106)</f>
        <v>3</v>
      </c>
      <c r="N488" s="821" t="n">
        <f aca="false">IF(B488&lt;$E$104,$E$105,$E$111)</f>
        <v>2.5</v>
      </c>
      <c r="O488" s="822" t="n">
        <f aca="false">E488*$E$205*N488</f>
        <v>101.959417425742</v>
      </c>
      <c r="P488" s="823" t="n">
        <f aca="false">P487+O488</f>
        <v>22649.7153557229</v>
      </c>
      <c r="Q488" s="606" t="n">
        <f aca="false">Q487+1</f>
        <v>273</v>
      </c>
      <c r="R488" s="824" t="n">
        <f aca="false">R487-1</f>
        <v>-273</v>
      </c>
      <c r="S488" s="5"/>
      <c r="T488" s="5"/>
      <c r="U488" s="5"/>
      <c r="V488" s="10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02"/>
      <c r="AU488" s="502"/>
      <c r="AV488" s="606"/>
      <c r="AW488" s="502"/>
      <c r="AX488" s="502"/>
      <c r="AY488" s="502"/>
      <c r="AZ488" s="502"/>
      <c r="BA488" s="502"/>
      <c r="BB488" s="502"/>
      <c r="BC488" s="502"/>
      <c r="BD488" s="502"/>
      <c r="BE488" s="502"/>
      <c r="BF488" s="502"/>
      <c r="BG488" s="502"/>
      <c r="BH488" s="502"/>
      <c r="BI488" s="502"/>
      <c r="BJ488" s="502"/>
      <c r="BK488" s="502"/>
      <c r="BL488" s="502"/>
      <c r="BM488" s="502"/>
      <c r="BN488" s="502"/>
      <c r="BO488" s="502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</row>
    <row r="489" s="504" customFormat="true" ht="12.75" hidden="true" customHeight="true" outlineLevel="0" collapsed="false">
      <c r="A489" s="5"/>
      <c r="B489" s="813" t="n">
        <f aca="false">B488+1</f>
        <v>274</v>
      </c>
      <c r="C489" s="814" t="n">
        <f aca="false">C488+D489</f>
        <v>27240.1506873269</v>
      </c>
      <c r="D489" s="815" t="n">
        <f aca="false">E489*$E$205*M489</f>
        <v>122.50898091089</v>
      </c>
      <c r="E489" s="601" t="n">
        <f aca="false">E488+$C$204</f>
        <v>7.76946860165463</v>
      </c>
      <c r="F489" s="816" t="n">
        <f aca="false">F488+1</f>
        <v>274</v>
      </c>
      <c r="G489" s="775" t="n">
        <f aca="false">C489</f>
        <v>27240.1506873269</v>
      </c>
      <c r="H489" s="817" t="n">
        <f aca="false">1000*(E489-E488)</f>
        <v>9.99999999999979</v>
      </c>
      <c r="I489" s="5"/>
      <c r="J489" s="818" t="n">
        <f aca="false">1000*(E489-$E$215)/(B489-$B$215)</f>
        <v>15.7440504692401</v>
      </c>
      <c r="K489" s="732" t="n">
        <f aca="false">AVERAGE($E$216:E489)</f>
        <v>6.37673137537729</v>
      </c>
      <c r="L489" s="819" t="n">
        <f aca="false">L488+1</f>
        <v>274</v>
      </c>
      <c r="M489" s="820" t="n">
        <f aca="false">IF(B489&lt;$E$104,$E$105,$E$106)</f>
        <v>3</v>
      </c>
      <c r="N489" s="821" t="n">
        <f aca="false">IF(B489&lt;$E$104,$E$105,$E$111)</f>
        <v>2.5</v>
      </c>
      <c r="O489" s="822" t="n">
        <f aca="false">E489*$E$205*N489</f>
        <v>102.090817425742</v>
      </c>
      <c r="P489" s="823" t="n">
        <f aca="false">P488+O489</f>
        <v>22751.8061731486</v>
      </c>
      <c r="Q489" s="606" t="n">
        <f aca="false">Q488+1</f>
        <v>274</v>
      </c>
      <c r="R489" s="824" t="n">
        <f aca="false">R488-1</f>
        <v>-274</v>
      </c>
      <c r="S489" s="5"/>
      <c r="T489" s="5"/>
      <c r="U489" s="5"/>
      <c r="V489" s="10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02"/>
      <c r="AU489" s="502"/>
      <c r="AV489" s="606"/>
      <c r="AW489" s="502"/>
      <c r="AX489" s="502"/>
      <c r="AY489" s="502"/>
      <c r="AZ489" s="502"/>
      <c r="BA489" s="502"/>
      <c r="BB489" s="502"/>
      <c r="BC489" s="502"/>
      <c r="BD489" s="502"/>
      <c r="BE489" s="502"/>
      <c r="BF489" s="502"/>
      <c r="BG489" s="502"/>
      <c r="BH489" s="502"/>
      <c r="BI489" s="502"/>
      <c r="BJ489" s="502"/>
      <c r="BK489" s="502"/>
      <c r="BL489" s="502"/>
      <c r="BM489" s="502"/>
      <c r="BN489" s="502"/>
      <c r="BO489" s="502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</row>
    <row r="490" s="504" customFormat="true" ht="12.75" hidden="true" customHeight="true" outlineLevel="0" collapsed="false">
      <c r="A490" s="5"/>
      <c r="B490" s="813" t="n">
        <f aca="false">B489+1</f>
        <v>275</v>
      </c>
      <c r="C490" s="814" t="n">
        <f aca="false">C489+D490</f>
        <v>27362.8173482378</v>
      </c>
      <c r="D490" s="815" t="n">
        <f aca="false">E490*$E$205*M490</f>
        <v>122.66666091089</v>
      </c>
      <c r="E490" s="601" t="n">
        <f aca="false">E489+$C$204</f>
        <v>7.77946860165463</v>
      </c>
      <c r="F490" s="816" t="n">
        <f aca="false">F489+1</f>
        <v>275</v>
      </c>
      <c r="G490" s="775" t="n">
        <f aca="false">C490</f>
        <v>27362.8173482378</v>
      </c>
      <c r="H490" s="817" t="n">
        <f aca="false">1000*(E490-E489)</f>
        <v>9.99999999999979</v>
      </c>
      <c r="I490" s="5"/>
      <c r="J490" s="818" t="n">
        <f aca="false">1000*(E490-$E$215)/(B490-$B$215)</f>
        <v>15.7231630129883</v>
      </c>
      <c r="K490" s="732" t="n">
        <f aca="false">AVERAGE($E$216:E490)</f>
        <v>6.3818322380183</v>
      </c>
      <c r="L490" s="819" t="n">
        <f aca="false">L489+1</f>
        <v>275</v>
      </c>
      <c r="M490" s="820" t="n">
        <f aca="false">IF(B490&lt;$E$104,$E$105,$E$106)</f>
        <v>3</v>
      </c>
      <c r="N490" s="821" t="n">
        <f aca="false">IF(B490&lt;$E$104,$E$105,$E$111)</f>
        <v>2.5</v>
      </c>
      <c r="O490" s="822" t="n">
        <f aca="false">E490*$E$205*N490</f>
        <v>102.222217425742</v>
      </c>
      <c r="P490" s="823" t="n">
        <f aca="false">P489+O490</f>
        <v>22854.0283905744</v>
      </c>
      <c r="Q490" s="606" t="n">
        <f aca="false">Q489+1</f>
        <v>275</v>
      </c>
      <c r="R490" s="824" t="n">
        <f aca="false">R489-1</f>
        <v>-275</v>
      </c>
      <c r="S490" s="5"/>
      <c r="T490" s="5"/>
      <c r="U490" s="5"/>
      <c r="V490" s="10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02"/>
      <c r="AU490" s="502"/>
      <c r="AV490" s="606"/>
      <c r="AW490" s="502"/>
      <c r="AX490" s="502"/>
      <c r="AY490" s="502"/>
      <c r="AZ490" s="502"/>
      <c r="BA490" s="502"/>
      <c r="BB490" s="502"/>
      <c r="BC490" s="502"/>
      <c r="BD490" s="502"/>
      <c r="BE490" s="502"/>
      <c r="BF490" s="502"/>
      <c r="BG490" s="502"/>
      <c r="BH490" s="502"/>
      <c r="BI490" s="502"/>
      <c r="BJ490" s="502"/>
      <c r="BK490" s="502"/>
      <c r="BL490" s="502"/>
      <c r="BM490" s="502"/>
      <c r="BN490" s="502"/>
      <c r="BO490" s="502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</row>
    <row r="491" s="504" customFormat="true" ht="12.75" hidden="true" customHeight="true" outlineLevel="0" collapsed="false">
      <c r="A491" s="5"/>
      <c r="B491" s="813" t="n">
        <f aca="false">B490+1</f>
        <v>276</v>
      </c>
      <c r="C491" s="814" t="n">
        <f aca="false">C490+D491</f>
        <v>27485.6416891487</v>
      </c>
      <c r="D491" s="815" t="n">
        <f aca="false">E491*$E$205*M491</f>
        <v>122.82434091089</v>
      </c>
      <c r="E491" s="601" t="n">
        <f aca="false">E490+$C$204</f>
        <v>7.78946860165463</v>
      </c>
      <c r="F491" s="816" t="n">
        <f aca="false">F490+1</f>
        <v>276</v>
      </c>
      <c r="G491" s="775" t="n">
        <f aca="false">C491</f>
        <v>27485.6416891487</v>
      </c>
      <c r="H491" s="817" t="n">
        <f aca="false">1000*(E491-E490)</f>
        <v>9.99999999999979</v>
      </c>
      <c r="I491" s="5"/>
      <c r="J491" s="818" t="n">
        <f aca="false">1000*(E491-$E$215)/(B491-$B$215)</f>
        <v>15.7024269151152</v>
      </c>
      <c r="K491" s="732" t="n">
        <f aca="false">AVERAGE($E$216:E491)</f>
        <v>6.3869323697706</v>
      </c>
      <c r="L491" s="819" t="n">
        <f aca="false">L490+1</f>
        <v>276</v>
      </c>
      <c r="M491" s="820" t="n">
        <f aca="false">IF(B491&lt;$E$104,$E$105,$E$106)</f>
        <v>3</v>
      </c>
      <c r="N491" s="821" t="n">
        <f aca="false">IF(B491&lt;$E$104,$E$105,$E$111)</f>
        <v>2.5</v>
      </c>
      <c r="O491" s="822" t="n">
        <f aca="false">E491*$E$205*N491</f>
        <v>102.353617425742</v>
      </c>
      <c r="P491" s="823" t="n">
        <f aca="false">P490+O491</f>
        <v>22956.3820080001</v>
      </c>
      <c r="Q491" s="606" t="n">
        <f aca="false">Q490+1</f>
        <v>276</v>
      </c>
      <c r="R491" s="824" t="n">
        <f aca="false">R490-1</f>
        <v>-276</v>
      </c>
      <c r="S491" s="5"/>
      <c r="T491" s="5"/>
      <c r="U491" s="5"/>
      <c r="V491" s="10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02"/>
      <c r="AU491" s="502"/>
      <c r="AV491" s="606"/>
      <c r="AW491" s="502"/>
      <c r="AX491" s="502"/>
      <c r="AY491" s="502"/>
      <c r="AZ491" s="502"/>
      <c r="BA491" s="502"/>
      <c r="BB491" s="502"/>
      <c r="BC491" s="502"/>
      <c r="BD491" s="502"/>
      <c r="BE491" s="502"/>
      <c r="BF491" s="502"/>
      <c r="BG491" s="502"/>
      <c r="BH491" s="502"/>
      <c r="BI491" s="502"/>
      <c r="BJ491" s="502"/>
      <c r="BK491" s="502"/>
      <c r="BL491" s="502"/>
      <c r="BM491" s="502"/>
      <c r="BN491" s="502"/>
      <c r="BO491" s="502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</row>
    <row r="492" s="504" customFormat="true" ht="12.75" hidden="true" customHeight="true" outlineLevel="0" collapsed="false">
      <c r="A492" s="5"/>
      <c r="B492" s="813" t="n">
        <f aca="false">B491+1</f>
        <v>277</v>
      </c>
      <c r="C492" s="814" t="n">
        <f aca="false">C491+D492</f>
        <v>27608.6237100596</v>
      </c>
      <c r="D492" s="815" t="n">
        <f aca="false">E492*$E$205*M492</f>
        <v>122.98202091089</v>
      </c>
      <c r="E492" s="601" t="n">
        <f aca="false">E491+$C$204</f>
        <v>7.79946860165463</v>
      </c>
      <c r="F492" s="816" t="n">
        <f aca="false">F491+1</f>
        <v>277</v>
      </c>
      <c r="G492" s="775" t="n">
        <f aca="false">C492</f>
        <v>27608.6237100596</v>
      </c>
      <c r="H492" s="817" t="n">
        <f aca="false">1000*(E492-E491)</f>
        <v>9.99999999999979</v>
      </c>
      <c r="I492" s="5"/>
      <c r="J492" s="818" t="n">
        <f aca="false">1000*(E492-$E$215)/(B492-$B$215)</f>
        <v>15.6818405363602</v>
      </c>
      <c r="K492" s="732" t="n">
        <f aca="false">AVERAGE($E$216:E492)</f>
        <v>6.39203177854997</v>
      </c>
      <c r="L492" s="819" t="n">
        <f aca="false">L491+1</f>
        <v>277</v>
      </c>
      <c r="M492" s="820" t="n">
        <f aca="false">IF(B492&lt;$E$104,$E$105,$E$106)</f>
        <v>3</v>
      </c>
      <c r="N492" s="821" t="n">
        <f aca="false">IF(B492&lt;$E$104,$E$105,$E$111)</f>
        <v>2.5</v>
      </c>
      <c r="O492" s="822" t="n">
        <f aca="false">E492*$E$205*N492</f>
        <v>102.485017425742</v>
      </c>
      <c r="P492" s="823" t="n">
        <f aca="false">P491+O492</f>
        <v>23058.8670254258</v>
      </c>
      <c r="Q492" s="606" t="n">
        <f aca="false">Q491+1</f>
        <v>277</v>
      </c>
      <c r="R492" s="824" t="n">
        <f aca="false">R491-1</f>
        <v>-277</v>
      </c>
      <c r="S492" s="5"/>
      <c r="T492" s="5"/>
      <c r="U492" s="5"/>
      <c r="V492" s="10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02"/>
      <c r="AU492" s="502"/>
      <c r="AV492" s="606"/>
      <c r="AW492" s="502"/>
      <c r="AX492" s="502"/>
      <c r="AY492" s="502"/>
      <c r="AZ492" s="502"/>
      <c r="BA492" s="502"/>
      <c r="BB492" s="502"/>
      <c r="BC492" s="502"/>
      <c r="BD492" s="502"/>
      <c r="BE492" s="502"/>
      <c r="BF492" s="502"/>
      <c r="BG492" s="502"/>
      <c r="BH492" s="502"/>
      <c r="BI492" s="502"/>
      <c r="BJ492" s="502"/>
      <c r="BK492" s="502"/>
      <c r="BL492" s="502"/>
      <c r="BM492" s="502"/>
      <c r="BN492" s="502"/>
      <c r="BO492" s="502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</row>
    <row r="493" s="504" customFormat="true" ht="12.75" hidden="true" customHeight="true" outlineLevel="0" collapsed="false">
      <c r="A493" s="5"/>
      <c r="B493" s="813" t="n">
        <f aca="false">B492+1</f>
        <v>278</v>
      </c>
      <c r="C493" s="814" t="n">
        <f aca="false">C492+D493</f>
        <v>27731.7634109705</v>
      </c>
      <c r="D493" s="815" t="n">
        <f aca="false">E493*$E$205*M493</f>
        <v>123.13970091089</v>
      </c>
      <c r="E493" s="601" t="n">
        <f aca="false">E492+$C$204</f>
        <v>7.80946860165463</v>
      </c>
      <c r="F493" s="816" t="n">
        <f aca="false">F492+1</f>
        <v>278</v>
      </c>
      <c r="G493" s="775" t="n">
        <f aca="false">C493</f>
        <v>27731.7634109705</v>
      </c>
      <c r="H493" s="817" t="n">
        <f aca="false">1000*(E493-E492)</f>
        <v>9.99999999999979</v>
      </c>
      <c r="I493" s="5"/>
      <c r="J493" s="818" t="n">
        <f aca="false">1000*(E493-$E$215)/(B493-$B$215)</f>
        <v>15.6614022610496</v>
      </c>
      <c r="K493" s="732" t="n">
        <f aca="false">AVERAGE($E$216:E493)</f>
        <v>6.39713047215826</v>
      </c>
      <c r="L493" s="819" t="n">
        <f aca="false">L492+1</f>
        <v>278</v>
      </c>
      <c r="M493" s="820" t="n">
        <f aca="false">IF(B493&lt;$E$104,$E$105,$E$106)</f>
        <v>3</v>
      </c>
      <c r="N493" s="821" t="n">
        <f aca="false">IF(B493&lt;$E$104,$E$105,$E$111)</f>
        <v>2.5</v>
      </c>
      <c r="O493" s="822" t="n">
        <f aca="false">E493*$E$205*N493</f>
        <v>102.616417425742</v>
      </c>
      <c r="P493" s="823" t="n">
        <f aca="false">P492+O493</f>
        <v>23161.4834428516</v>
      </c>
      <c r="Q493" s="606" t="n">
        <f aca="false">Q492+1</f>
        <v>278</v>
      </c>
      <c r="R493" s="824" t="n">
        <f aca="false">R492-1</f>
        <v>-278</v>
      </c>
      <c r="S493" s="5"/>
      <c r="T493" s="5"/>
      <c r="U493" s="5"/>
      <c r="V493" s="10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02"/>
      <c r="AU493" s="502"/>
      <c r="AV493" s="606"/>
      <c r="AW493" s="502"/>
      <c r="AX493" s="502"/>
      <c r="AY493" s="502"/>
      <c r="AZ493" s="502"/>
      <c r="BA493" s="502"/>
      <c r="BB493" s="502"/>
      <c r="BC493" s="502"/>
      <c r="BD493" s="502"/>
      <c r="BE493" s="502"/>
      <c r="BF493" s="502"/>
      <c r="BG493" s="502"/>
      <c r="BH493" s="502"/>
      <c r="BI493" s="502"/>
      <c r="BJ493" s="502"/>
      <c r="BK493" s="502"/>
      <c r="BL493" s="502"/>
      <c r="BM493" s="502"/>
      <c r="BN493" s="502"/>
      <c r="BO493" s="502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</row>
    <row r="494" s="504" customFormat="true" ht="12.75" hidden="true" customHeight="true" outlineLevel="0" collapsed="false">
      <c r="A494" s="5"/>
      <c r="B494" s="813" t="n">
        <f aca="false">B493+1</f>
        <v>279</v>
      </c>
      <c r="C494" s="814" t="n">
        <f aca="false">C493+D494</f>
        <v>27855.0607918814</v>
      </c>
      <c r="D494" s="815" t="n">
        <f aca="false">E494*$E$205*M494</f>
        <v>123.29738091089</v>
      </c>
      <c r="E494" s="601" t="n">
        <f aca="false">E493+$C$204</f>
        <v>7.81946860165463</v>
      </c>
      <c r="F494" s="816" t="n">
        <f aca="false">F493+1</f>
        <v>279</v>
      </c>
      <c r="G494" s="775" t="n">
        <f aca="false">C494</f>
        <v>27855.0607918814</v>
      </c>
      <c r="H494" s="817" t="n">
        <f aca="false">1000*(E494-E493)</f>
        <v>9.99999999999979</v>
      </c>
      <c r="I494" s="5"/>
      <c r="J494" s="818" t="n">
        <f aca="false">1000*(E494-$E$215)/(B494-$B$215)</f>
        <v>15.6411104966731</v>
      </c>
      <c r="K494" s="732" t="n">
        <f aca="false">AVERAGE($E$216:E494)</f>
        <v>6.40222845828548</v>
      </c>
      <c r="L494" s="819" t="n">
        <f aca="false">L493+1</f>
        <v>279</v>
      </c>
      <c r="M494" s="820" t="n">
        <f aca="false">IF(B494&lt;$E$104,$E$105,$E$106)</f>
        <v>3</v>
      </c>
      <c r="N494" s="821" t="n">
        <f aca="false">IF(B494&lt;$E$104,$E$105,$E$111)</f>
        <v>2.5</v>
      </c>
      <c r="O494" s="822" t="n">
        <f aca="false">E494*$E$205*N494</f>
        <v>102.747817425742</v>
      </c>
      <c r="P494" s="823" t="n">
        <f aca="false">P493+O494</f>
        <v>23264.2312602773</v>
      </c>
      <c r="Q494" s="606" t="n">
        <f aca="false">Q493+1</f>
        <v>279</v>
      </c>
      <c r="R494" s="824" t="n">
        <f aca="false">R493-1</f>
        <v>-279</v>
      </c>
      <c r="S494" s="5"/>
      <c r="T494" s="5"/>
      <c r="U494" s="5"/>
      <c r="V494" s="10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02"/>
      <c r="AU494" s="502"/>
      <c r="AV494" s="606"/>
      <c r="AW494" s="502"/>
      <c r="AX494" s="502"/>
      <c r="AY494" s="502"/>
      <c r="AZ494" s="502"/>
      <c r="BA494" s="502"/>
      <c r="BB494" s="502"/>
      <c r="BC494" s="502"/>
      <c r="BD494" s="502"/>
      <c r="BE494" s="502"/>
      <c r="BF494" s="502"/>
      <c r="BG494" s="502"/>
      <c r="BH494" s="502"/>
      <c r="BI494" s="502"/>
      <c r="BJ494" s="502"/>
      <c r="BK494" s="502"/>
      <c r="BL494" s="502"/>
      <c r="BM494" s="502"/>
      <c r="BN494" s="502"/>
      <c r="BO494" s="502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</row>
    <row r="495" s="504" customFormat="true" ht="12.75" hidden="true" customHeight="true" outlineLevel="0" collapsed="false">
      <c r="A495" s="5"/>
      <c r="B495" s="813" t="n">
        <f aca="false">B494+1</f>
        <v>280</v>
      </c>
      <c r="C495" s="814" t="n">
        <f aca="false">C494+D495</f>
        <v>27978.5158527922</v>
      </c>
      <c r="D495" s="815" t="n">
        <f aca="false">E495*$E$205*M495</f>
        <v>123.45506091089</v>
      </c>
      <c r="E495" s="601" t="n">
        <f aca="false">E494+$C$204</f>
        <v>7.82946860165463</v>
      </c>
      <c r="F495" s="816" t="n">
        <f aca="false">F494+1</f>
        <v>280</v>
      </c>
      <c r="G495" s="775" t="n">
        <f aca="false">C495</f>
        <v>27978.5158527922</v>
      </c>
      <c r="H495" s="817" t="n">
        <f aca="false">1000*(E495-E494)</f>
        <v>9.99999999999979</v>
      </c>
      <c r="I495" s="5"/>
      <c r="J495" s="818" t="n">
        <f aca="false">1000*(E495-$E$215)/(B495-$B$215)</f>
        <v>15.6209636734707</v>
      </c>
      <c r="K495" s="732" t="n">
        <f aca="false">AVERAGE($E$216:E495)</f>
        <v>6.4073257445118</v>
      </c>
      <c r="L495" s="819" t="n">
        <f aca="false">L494+1</f>
        <v>280</v>
      </c>
      <c r="M495" s="820" t="n">
        <f aca="false">IF(B495&lt;$E$104,$E$105,$E$106)</f>
        <v>3</v>
      </c>
      <c r="N495" s="821" t="n">
        <f aca="false">IF(B495&lt;$E$104,$E$105,$E$111)</f>
        <v>2.5</v>
      </c>
      <c r="O495" s="822" t="n">
        <f aca="false">E495*$E$205*N495</f>
        <v>102.879217425742</v>
      </c>
      <c r="P495" s="823" t="n">
        <f aca="false">P494+O495</f>
        <v>23367.1104777031</v>
      </c>
      <c r="Q495" s="606" t="n">
        <f aca="false">Q494+1</f>
        <v>280</v>
      </c>
      <c r="R495" s="824" t="n">
        <f aca="false">R494-1</f>
        <v>-280</v>
      </c>
      <c r="S495" s="5"/>
      <c r="T495" s="5"/>
      <c r="U495" s="5"/>
      <c r="V495" s="10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02"/>
      <c r="AU495" s="502"/>
      <c r="AV495" s="606"/>
      <c r="AW495" s="502"/>
      <c r="AX495" s="502"/>
      <c r="AY495" s="502"/>
      <c r="AZ495" s="502"/>
      <c r="BA495" s="502"/>
      <c r="BB495" s="502"/>
      <c r="BC495" s="502"/>
      <c r="BD495" s="502"/>
      <c r="BE495" s="502"/>
      <c r="BF495" s="502"/>
      <c r="BG495" s="502"/>
      <c r="BH495" s="502"/>
      <c r="BI495" s="502"/>
      <c r="BJ495" s="502"/>
      <c r="BK495" s="502"/>
      <c r="BL495" s="502"/>
      <c r="BM495" s="502"/>
      <c r="BN495" s="502"/>
      <c r="BO495" s="502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</row>
    <row r="496" s="504" customFormat="true" ht="12.75" hidden="true" customHeight="true" outlineLevel="0" collapsed="false">
      <c r="A496" s="5"/>
      <c r="B496" s="813" t="n">
        <f aca="false">B495+1</f>
        <v>281</v>
      </c>
      <c r="C496" s="814" t="n">
        <f aca="false">C495+D496</f>
        <v>28102.1285937031</v>
      </c>
      <c r="D496" s="815" t="n">
        <f aca="false">E496*$E$205*M496</f>
        <v>123.61274091089</v>
      </c>
      <c r="E496" s="601" t="n">
        <f aca="false">E495+$C$204</f>
        <v>7.83946860165463</v>
      </c>
      <c r="F496" s="816" t="n">
        <f aca="false">F495+1</f>
        <v>281</v>
      </c>
      <c r="G496" s="775" t="n">
        <f aca="false">C496</f>
        <v>28102.1285937031</v>
      </c>
      <c r="H496" s="817" t="n">
        <f aca="false">1000*(E496-E495)</f>
        <v>9.99999999999979</v>
      </c>
      <c r="I496" s="5"/>
      <c r="J496" s="818" t="n">
        <f aca="false">1000*(E496-$E$215)/(B496-$B$215)</f>
        <v>15.6009602440277</v>
      </c>
      <c r="K496" s="732" t="n">
        <f aca="false">AVERAGE($E$216:E496)</f>
        <v>6.41242233830946</v>
      </c>
      <c r="L496" s="819" t="n">
        <f aca="false">L495+1</f>
        <v>281</v>
      </c>
      <c r="M496" s="820" t="n">
        <f aca="false">IF(B496&lt;$E$104,$E$105,$E$106)</f>
        <v>3</v>
      </c>
      <c r="N496" s="821" t="n">
        <f aca="false">IF(B496&lt;$E$104,$E$105,$E$111)</f>
        <v>2.5</v>
      </c>
      <c r="O496" s="822" t="n">
        <f aca="false">E496*$E$205*N496</f>
        <v>103.010617425742</v>
      </c>
      <c r="P496" s="823" t="n">
        <f aca="false">P495+O496</f>
        <v>23470.1210951288</v>
      </c>
      <c r="Q496" s="606" t="n">
        <f aca="false">Q495+1</f>
        <v>281</v>
      </c>
      <c r="R496" s="824" t="n">
        <f aca="false">R495-1</f>
        <v>-281</v>
      </c>
      <c r="S496" s="5"/>
      <c r="T496" s="5"/>
      <c r="U496" s="5"/>
      <c r="V496" s="10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02"/>
      <c r="AU496" s="502"/>
      <c r="AV496" s="606"/>
      <c r="AW496" s="502"/>
      <c r="AX496" s="502"/>
      <c r="AY496" s="502"/>
      <c r="AZ496" s="502"/>
      <c r="BA496" s="502"/>
      <c r="BB496" s="502"/>
      <c r="BC496" s="502"/>
      <c r="BD496" s="502"/>
      <c r="BE496" s="502"/>
      <c r="BF496" s="502"/>
      <c r="BG496" s="502"/>
      <c r="BH496" s="502"/>
      <c r="BI496" s="502"/>
      <c r="BJ496" s="502"/>
      <c r="BK496" s="502"/>
      <c r="BL496" s="502"/>
      <c r="BM496" s="502"/>
      <c r="BN496" s="502"/>
      <c r="BO496" s="502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</row>
    <row r="497" s="504" customFormat="true" ht="12.75" hidden="true" customHeight="true" outlineLevel="0" collapsed="false">
      <c r="A497" s="5"/>
      <c r="B497" s="813" t="n">
        <f aca="false">B496+1</f>
        <v>282</v>
      </c>
      <c r="C497" s="814" t="n">
        <f aca="false">C496+D497</f>
        <v>28225.899014614</v>
      </c>
      <c r="D497" s="815" t="n">
        <f aca="false">E497*$E$205*M497</f>
        <v>123.77042091089</v>
      </c>
      <c r="E497" s="601" t="n">
        <f aca="false">E496+$C$204</f>
        <v>7.84946860165463</v>
      </c>
      <c r="F497" s="816" t="n">
        <f aca="false">F496+1</f>
        <v>282</v>
      </c>
      <c r="G497" s="775" t="n">
        <f aca="false">C497</f>
        <v>28225.899014614</v>
      </c>
      <c r="H497" s="817" t="n">
        <f aca="false">1000*(E497-E496)</f>
        <v>9.99999999999979</v>
      </c>
      <c r="I497" s="5"/>
      <c r="J497" s="818" t="n">
        <f aca="false">1000*(E497-$E$215)/(B497-$B$215)</f>
        <v>15.5810986828787</v>
      </c>
      <c r="K497" s="732" t="n">
        <f aca="false">AVERAGE($E$216:E497)</f>
        <v>6.41751824704473</v>
      </c>
      <c r="L497" s="819" t="n">
        <f aca="false">L496+1</f>
        <v>282</v>
      </c>
      <c r="M497" s="820" t="n">
        <f aca="false">IF(B497&lt;$E$104,$E$105,$E$106)</f>
        <v>3</v>
      </c>
      <c r="N497" s="821" t="n">
        <f aca="false">IF(B497&lt;$E$104,$E$105,$E$111)</f>
        <v>2.5</v>
      </c>
      <c r="O497" s="822" t="n">
        <f aca="false">E497*$E$205*N497</f>
        <v>103.142017425742</v>
      </c>
      <c r="P497" s="823" t="n">
        <f aca="false">P496+O497</f>
        <v>23573.2631125545</v>
      </c>
      <c r="Q497" s="606" t="n">
        <f aca="false">Q496+1</f>
        <v>282</v>
      </c>
      <c r="R497" s="824" t="n">
        <f aca="false">R496-1</f>
        <v>-282</v>
      </c>
      <c r="S497" s="5"/>
      <c r="T497" s="5"/>
      <c r="U497" s="5"/>
      <c r="V497" s="10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02"/>
      <c r="AU497" s="502"/>
      <c r="AV497" s="606"/>
      <c r="AW497" s="502"/>
      <c r="AX497" s="502"/>
      <c r="AY497" s="502"/>
      <c r="AZ497" s="502"/>
      <c r="BA497" s="502"/>
      <c r="BB497" s="502"/>
      <c r="BC497" s="502"/>
      <c r="BD497" s="502"/>
      <c r="BE497" s="502"/>
      <c r="BF497" s="502"/>
      <c r="BG497" s="502"/>
      <c r="BH497" s="502"/>
      <c r="BI497" s="502"/>
      <c r="BJ497" s="502"/>
      <c r="BK497" s="502"/>
      <c r="BL497" s="502"/>
      <c r="BM497" s="502"/>
      <c r="BN497" s="502"/>
      <c r="BO497" s="502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</row>
    <row r="498" s="504" customFormat="true" ht="12.75" hidden="true" customHeight="true" outlineLevel="0" collapsed="false">
      <c r="A498" s="5"/>
      <c r="B498" s="813" t="n">
        <f aca="false">B497+1</f>
        <v>283</v>
      </c>
      <c r="C498" s="814" t="n">
        <f aca="false">C497+D498</f>
        <v>28349.8271155249</v>
      </c>
      <c r="D498" s="815" t="n">
        <f aca="false">E498*$E$205*M498</f>
        <v>123.92810091089</v>
      </c>
      <c r="E498" s="601" t="n">
        <f aca="false">E497+$C$204</f>
        <v>7.85946860165463</v>
      </c>
      <c r="F498" s="816" t="n">
        <f aca="false">F497+1</f>
        <v>283</v>
      </c>
      <c r="G498" s="775" t="n">
        <f aca="false">C498</f>
        <v>28349.8271155249</v>
      </c>
      <c r="H498" s="817" t="n">
        <f aca="false">1000*(E498-E497)</f>
        <v>9.99999999999979</v>
      </c>
      <c r="I498" s="5"/>
      <c r="J498" s="818" t="n">
        <f aca="false">1000*(E498-$E$215)/(B498-$B$215)</f>
        <v>15.5613774861194</v>
      </c>
      <c r="K498" s="732" t="n">
        <f aca="false">AVERAGE($E$216:E498)</f>
        <v>6.42261347797975</v>
      </c>
      <c r="L498" s="819" t="n">
        <f aca="false">L497+1</f>
        <v>283</v>
      </c>
      <c r="M498" s="820" t="n">
        <f aca="false">IF(B498&lt;$E$104,$E$105,$E$106)</f>
        <v>3</v>
      </c>
      <c r="N498" s="821" t="n">
        <f aca="false">IF(B498&lt;$E$104,$E$105,$E$111)</f>
        <v>2.5</v>
      </c>
      <c r="O498" s="822" t="n">
        <f aca="false">E498*$E$205*N498</f>
        <v>103.273417425742</v>
      </c>
      <c r="P498" s="823" t="n">
        <f aca="false">P497+O498</f>
        <v>23676.5365299803</v>
      </c>
      <c r="Q498" s="606" t="n">
        <f aca="false">Q497+1</f>
        <v>283</v>
      </c>
      <c r="R498" s="824" t="n">
        <f aca="false">R497-1</f>
        <v>-283</v>
      </c>
      <c r="S498" s="5"/>
      <c r="T498" s="5"/>
      <c r="U498" s="5"/>
      <c r="V498" s="10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02"/>
      <c r="AU498" s="502"/>
      <c r="AV498" s="606"/>
      <c r="AW498" s="502"/>
      <c r="AX498" s="502"/>
      <c r="AY498" s="502"/>
      <c r="AZ498" s="502"/>
      <c r="BA498" s="502"/>
      <c r="BB498" s="502"/>
      <c r="BC498" s="502"/>
      <c r="BD498" s="502"/>
      <c r="BE498" s="502"/>
      <c r="BF498" s="502"/>
      <c r="BG498" s="502"/>
      <c r="BH498" s="502"/>
      <c r="BI498" s="502"/>
      <c r="BJ498" s="502"/>
      <c r="BK498" s="502"/>
      <c r="BL498" s="502"/>
      <c r="BM498" s="502"/>
      <c r="BN498" s="502"/>
      <c r="BO498" s="502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</row>
    <row r="499" s="504" customFormat="true" ht="12.75" hidden="true" customHeight="true" outlineLevel="0" collapsed="false">
      <c r="A499" s="5"/>
      <c r="B499" s="813" t="n">
        <f aca="false">B498+1</f>
        <v>284</v>
      </c>
      <c r="C499" s="814" t="n">
        <f aca="false">C498+D499</f>
        <v>28473.9128964358</v>
      </c>
      <c r="D499" s="815" t="n">
        <f aca="false">E499*$E$205*M499</f>
        <v>124.08578091089</v>
      </c>
      <c r="E499" s="601" t="n">
        <f aca="false">E498+$C$204</f>
        <v>7.86946860165463</v>
      </c>
      <c r="F499" s="816" t="n">
        <f aca="false">F498+1</f>
        <v>284</v>
      </c>
      <c r="G499" s="775" t="n">
        <f aca="false">C499</f>
        <v>28473.9128964358</v>
      </c>
      <c r="H499" s="817" t="n">
        <f aca="false">1000*(E499-E498)</f>
        <v>9.99999999999979</v>
      </c>
      <c r="I499" s="5"/>
      <c r="J499" s="818" t="n">
        <f aca="false">1000*(E499-$E$215)/(B499-$B$215)</f>
        <v>15.5417951710274</v>
      </c>
      <c r="K499" s="732" t="n">
        <f aca="false">AVERAGE($E$216:E499)</f>
        <v>6.42770803827438</v>
      </c>
      <c r="L499" s="819" t="n">
        <f aca="false">L498+1</f>
        <v>284</v>
      </c>
      <c r="M499" s="820" t="n">
        <f aca="false">IF(B499&lt;$E$104,$E$105,$E$106)</f>
        <v>3</v>
      </c>
      <c r="N499" s="821" t="n">
        <f aca="false">IF(B499&lt;$E$104,$E$105,$E$111)</f>
        <v>2.5</v>
      </c>
      <c r="O499" s="822" t="n">
        <f aca="false">E499*$E$205*N499</f>
        <v>103.404817425742</v>
      </c>
      <c r="P499" s="823" t="n">
        <f aca="false">P498+O499</f>
        <v>23779.941347406</v>
      </c>
      <c r="Q499" s="606" t="n">
        <f aca="false">Q498+1</f>
        <v>284</v>
      </c>
      <c r="R499" s="824" t="n">
        <f aca="false">R498-1</f>
        <v>-284</v>
      </c>
      <c r="S499" s="5"/>
      <c r="T499" s="5"/>
      <c r="U499" s="5"/>
      <c r="V499" s="10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02"/>
      <c r="AU499" s="502"/>
      <c r="AV499" s="606"/>
      <c r="AW499" s="502"/>
      <c r="AX499" s="502"/>
      <c r="AY499" s="502"/>
      <c r="AZ499" s="502"/>
      <c r="BA499" s="502"/>
      <c r="BB499" s="502"/>
      <c r="BC499" s="502"/>
      <c r="BD499" s="502"/>
      <c r="BE499" s="502"/>
      <c r="BF499" s="502"/>
      <c r="BG499" s="502"/>
      <c r="BH499" s="502"/>
      <c r="BI499" s="502"/>
      <c r="BJ499" s="502"/>
      <c r="BK499" s="502"/>
      <c r="BL499" s="502"/>
      <c r="BM499" s="502"/>
      <c r="BN499" s="502"/>
      <c r="BO499" s="502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</row>
    <row r="500" s="504" customFormat="true" ht="12.75" hidden="true" customHeight="true" outlineLevel="0" collapsed="false">
      <c r="A500" s="5"/>
      <c r="B500" s="813" t="n">
        <f aca="false">B499+1</f>
        <v>285</v>
      </c>
      <c r="C500" s="814" t="n">
        <f aca="false">C499+D500</f>
        <v>28598.1563573467</v>
      </c>
      <c r="D500" s="815" t="n">
        <f aca="false">E500*$E$205*M500</f>
        <v>124.24346091089</v>
      </c>
      <c r="E500" s="601" t="n">
        <f aca="false">E499+$C$204</f>
        <v>7.87946860165463</v>
      </c>
      <c r="F500" s="816" t="n">
        <f aca="false">F499+1</f>
        <v>285</v>
      </c>
      <c r="G500" s="775" t="n">
        <f aca="false">C500</f>
        <v>28598.1563573467</v>
      </c>
      <c r="H500" s="817" t="n">
        <f aca="false">1000*(E500-E499)</f>
        <v>9.99999999999979</v>
      </c>
      <c r="I500" s="5"/>
      <c r="J500" s="818" t="n">
        <f aca="false">1000*(E500-$E$215)/(B500-$B$215)</f>
        <v>15.5223502756905</v>
      </c>
      <c r="K500" s="732" t="n">
        <f aca="false">AVERAGE($E$216:E500)</f>
        <v>6.43280193498799</v>
      </c>
      <c r="L500" s="819" t="n">
        <f aca="false">L499+1</f>
        <v>285</v>
      </c>
      <c r="M500" s="820" t="n">
        <f aca="false">IF(B500&lt;$E$104,$E$105,$E$106)</f>
        <v>3</v>
      </c>
      <c r="N500" s="821" t="n">
        <f aca="false">IF(B500&lt;$E$104,$E$105,$E$111)</f>
        <v>2.5</v>
      </c>
      <c r="O500" s="822" t="n">
        <f aca="false">E500*$E$205*N500</f>
        <v>103.536217425742</v>
      </c>
      <c r="P500" s="823" t="n">
        <f aca="false">P499+O500</f>
        <v>23883.4775648318</v>
      </c>
      <c r="Q500" s="606" t="n">
        <f aca="false">Q499+1</f>
        <v>285</v>
      </c>
      <c r="R500" s="824" t="n">
        <f aca="false">R499-1</f>
        <v>-285</v>
      </c>
      <c r="S500" s="5"/>
      <c r="T500" s="5"/>
      <c r="U500" s="5"/>
      <c r="V500" s="10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02"/>
      <c r="AU500" s="502"/>
      <c r="AV500" s="606"/>
      <c r="AW500" s="502"/>
      <c r="AX500" s="502"/>
      <c r="AY500" s="502"/>
      <c r="AZ500" s="502"/>
      <c r="BA500" s="502"/>
      <c r="BB500" s="502"/>
      <c r="BC500" s="502"/>
      <c r="BD500" s="502"/>
      <c r="BE500" s="502"/>
      <c r="BF500" s="502"/>
      <c r="BG500" s="502"/>
      <c r="BH500" s="502"/>
      <c r="BI500" s="502"/>
      <c r="BJ500" s="502"/>
      <c r="BK500" s="502"/>
      <c r="BL500" s="502"/>
      <c r="BM500" s="502"/>
      <c r="BN500" s="502"/>
      <c r="BO500" s="502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</row>
    <row r="501" s="504" customFormat="true" ht="12.75" hidden="true" customHeight="true" outlineLevel="0" collapsed="false">
      <c r="A501" s="5"/>
      <c r="B501" s="813" t="n">
        <f aca="false">B500+1</f>
        <v>286</v>
      </c>
      <c r="C501" s="814" t="n">
        <f aca="false">C500+D501</f>
        <v>28722.5574982576</v>
      </c>
      <c r="D501" s="815" t="n">
        <f aca="false">E501*$E$205*M501</f>
        <v>124.40114091089</v>
      </c>
      <c r="E501" s="601" t="n">
        <f aca="false">E500+$C$204</f>
        <v>7.88946860165463</v>
      </c>
      <c r="F501" s="816" t="n">
        <f aca="false">F500+1</f>
        <v>286</v>
      </c>
      <c r="G501" s="775" t="n">
        <f aca="false">C501</f>
        <v>28722.5574982576</v>
      </c>
      <c r="H501" s="817" t="n">
        <f aca="false">1000*(E501-E500)</f>
        <v>9.99999999999979</v>
      </c>
      <c r="I501" s="5"/>
      <c r="J501" s="818" t="n">
        <f aca="false">1000*(E501-$E$215)/(B501-$B$215)</f>
        <v>15.5030413586426</v>
      </c>
      <c r="K501" s="732" t="n">
        <f aca="false">AVERAGE($E$216:E501)</f>
        <v>6.43789517508123</v>
      </c>
      <c r="L501" s="819" t="n">
        <f aca="false">L500+1</f>
        <v>286</v>
      </c>
      <c r="M501" s="820" t="n">
        <f aca="false">IF(B501&lt;$E$104,$E$105,$E$106)</f>
        <v>3</v>
      </c>
      <c r="N501" s="821" t="n">
        <f aca="false">IF(B501&lt;$E$104,$E$105,$E$111)</f>
        <v>2.5</v>
      </c>
      <c r="O501" s="822" t="n">
        <f aca="false">E501*$E$205*N501</f>
        <v>103.667617425742</v>
      </c>
      <c r="P501" s="823" t="n">
        <f aca="false">P500+O501</f>
        <v>23987.1451822575</v>
      </c>
      <c r="Q501" s="606" t="n">
        <f aca="false">Q500+1</f>
        <v>286</v>
      </c>
      <c r="R501" s="824" t="n">
        <f aca="false">R500-1</f>
        <v>-286</v>
      </c>
      <c r="S501" s="5"/>
      <c r="T501" s="5"/>
      <c r="U501" s="5"/>
      <c r="V501" s="10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02"/>
      <c r="AU501" s="502"/>
      <c r="AV501" s="606"/>
      <c r="AW501" s="502"/>
      <c r="AX501" s="502"/>
      <c r="AY501" s="502"/>
      <c r="AZ501" s="502"/>
      <c r="BA501" s="502"/>
      <c r="BB501" s="502"/>
      <c r="BC501" s="502"/>
      <c r="BD501" s="502"/>
      <c r="BE501" s="502"/>
      <c r="BF501" s="502"/>
      <c r="BG501" s="502"/>
      <c r="BH501" s="502"/>
      <c r="BI501" s="502"/>
      <c r="BJ501" s="502"/>
      <c r="BK501" s="502"/>
      <c r="BL501" s="502"/>
      <c r="BM501" s="502"/>
      <c r="BN501" s="502"/>
      <c r="BO501" s="502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</row>
    <row r="502" s="504" customFormat="true" ht="12.75" hidden="true" customHeight="true" outlineLevel="0" collapsed="false">
      <c r="A502" s="5"/>
      <c r="B502" s="813" t="n">
        <f aca="false">B501+1</f>
        <v>287</v>
      </c>
      <c r="C502" s="814" t="n">
        <f aca="false">C501+D502</f>
        <v>28847.1163191685</v>
      </c>
      <c r="D502" s="815" t="n">
        <f aca="false">E502*$E$205*M502</f>
        <v>124.55882091089</v>
      </c>
      <c r="E502" s="601" t="n">
        <f aca="false">E501+$C$204</f>
        <v>7.89946860165463</v>
      </c>
      <c r="F502" s="816" t="n">
        <f aca="false">F501+1</f>
        <v>287</v>
      </c>
      <c r="G502" s="775" t="n">
        <f aca="false">C502</f>
        <v>28847.1163191685</v>
      </c>
      <c r="H502" s="817" t="n">
        <f aca="false">1000*(E502-E501)</f>
        <v>9.99999999999979</v>
      </c>
      <c r="I502" s="5"/>
      <c r="J502" s="818" t="n">
        <f aca="false">1000*(E502-$E$215)/(B502-$B$215)</f>
        <v>15.483866998508</v>
      </c>
      <c r="K502" s="732" t="n">
        <f aca="false">AVERAGE($E$216:E502)</f>
        <v>6.44298776541773</v>
      </c>
      <c r="L502" s="819" t="n">
        <f aca="false">L501+1</f>
        <v>287</v>
      </c>
      <c r="M502" s="820" t="n">
        <f aca="false">IF(B502&lt;$E$104,$E$105,$E$106)</f>
        <v>3</v>
      </c>
      <c r="N502" s="821" t="n">
        <f aca="false">IF(B502&lt;$E$104,$E$105,$E$111)</f>
        <v>2.5</v>
      </c>
      <c r="O502" s="822" t="n">
        <f aca="false">E502*$E$205*N502</f>
        <v>103.799017425742</v>
      </c>
      <c r="P502" s="823" t="n">
        <f aca="false">P501+O502</f>
        <v>24090.9441996833</v>
      </c>
      <c r="Q502" s="606" t="n">
        <f aca="false">Q501+1</f>
        <v>287</v>
      </c>
      <c r="R502" s="824" t="n">
        <f aca="false">R501-1</f>
        <v>-287</v>
      </c>
      <c r="S502" s="5"/>
      <c r="T502" s="5"/>
      <c r="U502" s="5"/>
      <c r="V502" s="10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02"/>
      <c r="AU502" s="502"/>
      <c r="AV502" s="606"/>
      <c r="AW502" s="502"/>
      <c r="AX502" s="502"/>
      <c r="AY502" s="502"/>
      <c r="AZ502" s="502"/>
      <c r="BA502" s="502"/>
      <c r="BB502" s="502"/>
      <c r="BC502" s="502"/>
      <c r="BD502" s="502"/>
      <c r="BE502" s="502"/>
      <c r="BF502" s="502"/>
      <c r="BG502" s="502"/>
      <c r="BH502" s="502"/>
      <c r="BI502" s="502"/>
      <c r="BJ502" s="502"/>
      <c r="BK502" s="502"/>
      <c r="BL502" s="502"/>
      <c r="BM502" s="502"/>
      <c r="BN502" s="502"/>
      <c r="BO502" s="502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</row>
    <row r="503" s="504" customFormat="true" ht="12.75" hidden="true" customHeight="true" outlineLevel="0" collapsed="false">
      <c r="A503" s="5"/>
      <c r="B503" s="813" t="n">
        <f aca="false">B502+1</f>
        <v>288</v>
      </c>
      <c r="C503" s="814" t="n">
        <f aca="false">C502+D503</f>
        <v>28971.8328200794</v>
      </c>
      <c r="D503" s="815" t="n">
        <f aca="false">E503*$E$205*M503</f>
        <v>124.71650091089</v>
      </c>
      <c r="E503" s="601" t="n">
        <f aca="false">E502+$C$204</f>
        <v>7.90946860165463</v>
      </c>
      <c r="F503" s="816" t="n">
        <f aca="false">F502+1</f>
        <v>288</v>
      </c>
      <c r="G503" s="775" t="n">
        <f aca="false">C503</f>
        <v>28971.8328200794</v>
      </c>
      <c r="H503" s="817" t="n">
        <f aca="false">1000*(E503-E502)</f>
        <v>9.99999999999979</v>
      </c>
      <c r="I503" s="5"/>
      <c r="J503" s="818" t="n">
        <f aca="false">1000*(E503-$E$215)/(B503-$B$215)</f>
        <v>15.464825793652</v>
      </c>
      <c r="K503" s="732" t="n">
        <f aca="false">AVERAGE($E$216:E503)</f>
        <v>6.44807971276577</v>
      </c>
      <c r="L503" s="819" t="n">
        <f aca="false">L502+1</f>
        <v>288</v>
      </c>
      <c r="M503" s="820" t="n">
        <f aca="false">IF(B503&lt;$E$104,$E$105,$E$106)</f>
        <v>3</v>
      </c>
      <c r="N503" s="821" t="n">
        <f aca="false">IF(B503&lt;$E$104,$E$105,$E$111)</f>
        <v>2.5</v>
      </c>
      <c r="O503" s="822" t="n">
        <f aca="false">E503*$E$205*N503</f>
        <v>103.930417425742</v>
      </c>
      <c r="P503" s="823" t="n">
        <f aca="false">P502+O503</f>
        <v>24194.874617109</v>
      </c>
      <c r="Q503" s="606" t="n">
        <f aca="false">Q502+1</f>
        <v>288</v>
      </c>
      <c r="R503" s="824" t="n">
        <f aca="false">R502-1</f>
        <v>-288</v>
      </c>
      <c r="S503" s="5"/>
      <c r="T503" s="5"/>
      <c r="U503" s="5"/>
      <c r="V503" s="10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02"/>
      <c r="AU503" s="502"/>
      <c r="AV503" s="606"/>
      <c r="AW503" s="502"/>
      <c r="AX503" s="502"/>
      <c r="AY503" s="502"/>
      <c r="AZ503" s="502"/>
      <c r="BA503" s="502"/>
      <c r="BB503" s="502"/>
      <c r="BC503" s="502"/>
      <c r="BD503" s="502"/>
      <c r="BE503" s="502"/>
      <c r="BF503" s="502"/>
      <c r="BG503" s="502"/>
      <c r="BH503" s="502"/>
      <c r="BI503" s="502"/>
      <c r="BJ503" s="502"/>
      <c r="BK503" s="502"/>
      <c r="BL503" s="502"/>
      <c r="BM503" s="502"/>
      <c r="BN503" s="502"/>
      <c r="BO503" s="502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</row>
    <row r="504" s="504" customFormat="true" ht="12.75" hidden="true" customHeight="true" outlineLevel="0" collapsed="false">
      <c r="A504" s="5"/>
      <c r="B504" s="813" t="n">
        <f aca="false">B503+1</f>
        <v>289</v>
      </c>
      <c r="C504" s="814" t="n">
        <f aca="false">C503+D504</f>
        <v>29096.7070009902</v>
      </c>
      <c r="D504" s="815" t="n">
        <f aca="false">E504*$E$205*M504</f>
        <v>124.87418091089</v>
      </c>
      <c r="E504" s="601" t="n">
        <f aca="false">E503+$C$204</f>
        <v>7.91946860165463</v>
      </c>
      <c r="F504" s="816" t="n">
        <f aca="false">F503+1</f>
        <v>289</v>
      </c>
      <c r="G504" s="775" t="n">
        <f aca="false">C504</f>
        <v>29096.7070009902</v>
      </c>
      <c r="H504" s="817" t="n">
        <f aca="false">1000*(E504-E503)</f>
        <v>9.99999999999979</v>
      </c>
      <c r="I504" s="5"/>
      <c r="J504" s="818" t="n">
        <f aca="false">1000*(E504-$E$215)/(B504-$B$215)</f>
        <v>15.4459163618401</v>
      </c>
      <c r="K504" s="732" t="n">
        <f aca="false">AVERAGE($E$216:E504)</f>
        <v>6.45317102379999</v>
      </c>
      <c r="L504" s="819" t="n">
        <f aca="false">L503+1</f>
        <v>289</v>
      </c>
      <c r="M504" s="820" t="n">
        <f aca="false">IF(B504&lt;$E$104,$E$105,$E$106)</f>
        <v>3</v>
      </c>
      <c r="N504" s="821" t="n">
        <f aca="false">IF(B504&lt;$E$104,$E$105,$E$111)</f>
        <v>2.5</v>
      </c>
      <c r="O504" s="822" t="n">
        <f aca="false">E504*$E$205*N504</f>
        <v>104.061817425742</v>
      </c>
      <c r="P504" s="823" t="n">
        <f aca="false">P503+O504</f>
        <v>24298.9364345347</v>
      </c>
      <c r="Q504" s="606" t="n">
        <f aca="false">Q503+1</f>
        <v>289</v>
      </c>
      <c r="R504" s="824" t="n">
        <f aca="false">R503-1</f>
        <v>-289</v>
      </c>
      <c r="S504" s="5"/>
      <c r="T504" s="5"/>
      <c r="U504" s="5"/>
      <c r="V504" s="10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02"/>
      <c r="AU504" s="502"/>
      <c r="AV504" s="606"/>
      <c r="AW504" s="502"/>
      <c r="AX504" s="502"/>
      <c r="AY504" s="502"/>
      <c r="AZ504" s="502"/>
      <c r="BA504" s="502"/>
      <c r="BB504" s="502"/>
      <c r="BC504" s="502"/>
      <c r="BD504" s="502"/>
      <c r="BE504" s="502"/>
      <c r="BF504" s="502"/>
      <c r="BG504" s="502"/>
      <c r="BH504" s="502"/>
      <c r="BI504" s="502"/>
      <c r="BJ504" s="502"/>
      <c r="BK504" s="502"/>
      <c r="BL504" s="502"/>
      <c r="BM504" s="502"/>
      <c r="BN504" s="502"/>
      <c r="BO504" s="502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</row>
    <row r="505" s="504" customFormat="true" ht="12.75" hidden="true" customHeight="true" outlineLevel="0" collapsed="false">
      <c r="A505" s="5"/>
      <c r="B505" s="813" t="n">
        <f aca="false">B504+1</f>
        <v>290</v>
      </c>
      <c r="C505" s="814" t="n">
        <f aca="false">C504+D505</f>
        <v>29221.7388619011</v>
      </c>
      <c r="D505" s="815" t="n">
        <f aca="false">E505*$E$205*M505</f>
        <v>125.03186091089</v>
      </c>
      <c r="E505" s="601" t="n">
        <f aca="false">E504+$C$204</f>
        <v>7.92946860165463</v>
      </c>
      <c r="F505" s="816" t="n">
        <f aca="false">F504+1</f>
        <v>290</v>
      </c>
      <c r="G505" s="775" t="n">
        <f aca="false">C505</f>
        <v>29221.7388619011</v>
      </c>
      <c r="H505" s="817" t="n">
        <f aca="false">1000*(E505-E504)</f>
        <v>9.99999999999979</v>
      </c>
      <c r="I505" s="5"/>
      <c r="J505" s="818" t="n">
        <f aca="false">1000*(E505-$E$215)/(B505-$B$215)</f>
        <v>15.4271373399027</v>
      </c>
      <c r="K505" s="732" t="n">
        <f aca="false">AVERAGE($E$216:E505)</f>
        <v>6.45826170510294</v>
      </c>
      <c r="L505" s="819" t="n">
        <f aca="false">L504+1</f>
        <v>290</v>
      </c>
      <c r="M505" s="820" t="n">
        <f aca="false">IF(B505&lt;$E$104,$E$105,$E$106)</f>
        <v>3</v>
      </c>
      <c r="N505" s="821" t="n">
        <f aca="false">IF(B505&lt;$E$104,$E$105,$E$111)</f>
        <v>2.5</v>
      </c>
      <c r="O505" s="822" t="n">
        <f aca="false">E505*$E$205*N505</f>
        <v>104.193217425742</v>
      </c>
      <c r="P505" s="823" t="n">
        <f aca="false">P504+O505</f>
        <v>24403.1296519605</v>
      </c>
      <c r="Q505" s="606" t="n">
        <f aca="false">Q504+1</f>
        <v>290</v>
      </c>
      <c r="R505" s="824" t="n">
        <f aca="false">R504-1</f>
        <v>-290</v>
      </c>
      <c r="S505" s="5"/>
      <c r="T505" s="5"/>
      <c r="U505" s="5"/>
      <c r="V505" s="10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02"/>
      <c r="AU505" s="502"/>
      <c r="AV505" s="606"/>
      <c r="AW505" s="502"/>
      <c r="AX505" s="502"/>
      <c r="AY505" s="502"/>
      <c r="AZ505" s="502"/>
      <c r="BA505" s="502"/>
      <c r="BB505" s="502"/>
      <c r="BC505" s="502"/>
      <c r="BD505" s="502"/>
      <c r="BE505" s="502"/>
      <c r="BF505" s="502"/>
      <c r="BG505" s="502"/>
      <c r="BH505" s="502"/>
      <c r="BI505" s="502"/>
      <c r="BJ505" s="502"/>
      <c r="BK505" s="502"/>
      <c r="BL505" s="502"/>
      <c r="BM505" s="502"/>
      <c r="BN505" s="502"/>
      <c r="BO505" s="502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</row>
    <row r="506" s="504" customFormat="true" ht="12.75" hidden="true" customHeight="true" outlineLevel="0" collapsed="false">
      <c r="A506" s="5"/>
      <c r="B506" s="813" t="n">
        <f aca="false">B505+1</f>
        <v>291</v>
      </c>
      <c r="C506" s="814" t="n">
        <f aca="false">C505+D506</f>
        <v>29346.928402812</v>
      </c>
      <c r="D506" s="815" t="n">
        <f aca="false">E506*$E$205*M506</f>
        <v>125.18954091089</v>
      </c>
      <c r="E506" s="601" t="n">
        <f aca="false">E505+$C$204</f>
        <v>7.93946860165463</v>
      </c>
      <c r="F506" s="816" t="n">
        <f aca="false">F505+1</f>
        <v>291</v>
      </c>
      <c r="G506" s="775" t="n">
        <f aca="false">C506</f>
        <v>29346.928402812</v>
      </c>
      <c r="H506" s="817" t="n">
        <f aca="false">1000*(E506-E505)</f>
        <v>9.99999999999979</v>
      </c>
      <c r="I506" s="5"/>
      <c r="J506" s="818" t="n">
        <f aca="false">1000*(E506-$E$215)/(B506-$B$215)</f>
        <v>15.4084873834082</v>
      </c>
      <c r="K506" s="732" t="n">
        <f aca="false">AVERAGE($E$216:E506)</f>
        <v>6.46335176316669</v>
      </c>
      <c r="L506" s="819" t="n">
        <f aca="false">L505+1</f>
        <v>291</v>
      </c>
      <c r="M506" s="820" t="n">
        <f aca="false">IF(B506&lt;$E$104,$E$105,$E$106)</f>
        <v>3</v>
      </c>
      <c r="N506" s="821" t="n">
        <f aca="false">IF(B506&lt;$E$104,$E$105,$E$111)</f>
        <v>2.5</v>
      </c>
      <c r="O506" s="822" t="n">
        <f aca="false">E506*$E$205*N506</f>
        <v>104.324617425742</v>
      </c>
      <c r="P506" s="823" t="n">
        <f aca="false">P505+O506</f>
        <v>24507.4542693862</v>
      </c>
      <c r="Q506" s="606" t="n">
        <f aca="false">Q505+1</f>
        <v>291</v>
      </c>
      <c r="R506" s="824" t="n">
        <f aca="false">R505-1</f>
        <v>-291</v>
      </c>
      <c r="S506" s="5"/>
      <c r="T506" s="5"/>
      <c r="U506" s="5"/>
      <c r="V506" s="10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02"/>
      <c r="AU506" s="502"/>
      <c r="AV506" s="606"/>
      <c r="AW506" s="502"/>
      <c r="AX506" s="502"/>
      <c r="AY506" s="502"/>
      <c r="AZ506" s="502"/>
      <c r="BA506" s="502"/>
      <c r="BB506" s="502"/>
      <c r="BC506" s="502"/>
      <c r="BD506" s="502"/>
      <c r="BE506" s="502"/>
      <c r="BF506" s="502"/>
      <c r="BG506" s="502"/>
      <c r="BH506" s="502"/>
      <c r="BI506" s="502"/>
      <c r="BJ506" s="502"/>
      <c r="BK506" s="502"/>
      <c r="BL506" s="502"/>
      <c r="BM506" s="502"/>
      <c r="BN506" s="502"/>
      <c r="BO506" s="502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</row>
    <row r="507" s="504" customFormat="true" ht="12.75" hidden="true" customHeight="true" outlineLevel="0" collapsed="false">
      <c r="A507" s="5"/>
      <c r="B507" s="813" t="n">
        <f aca="false">B506+1</f>
        <v>292</v>
      </c>
      <c r="C507" s="814" t="n">
        <f aca="false">C506+D507</f>
        <v>29472.2756237229</v>
      </c>
      <c r="D507" s="815" t="n">
        <f aca="false">E507*$E$205*M507</f>
        <v>125.34722091089</v>
      </c>
      <c r="E507" s="601" t="n">
        <f aca="false">E506+$C$204</f>
        <v>7.94946860165463</v>
      </c>
      <c r="F507" s="816" t="n">
        <f aca="false">F506+1</f>
        <v>292</v>
      </c>
      <c r="G507" s="775" t="n">
        <f aca="false">C507</f>
        <v>29472.2756237229</v>
      </c>
      <c r="H507" s="817" t="n">
        <f aca="false">1000*(E507-E506)</f>
        <v>9.99999999999979</v>
      </c>
      <c r="I507" s="5"/>
      <c r="J507" s="818" t="n">
        <f aca="false">1000*(E507-$E$215)/(B507-$B$215)</f>
        <v>15.3899651663417</v>
      </c>
      <c r="K507" s="732" t="n">
        <f aca="false">AVERAGE($E$216:E507)</f>
        <v>6.46844120439439</v>
      </c>
      <c r="L507" s="819" t="n">
        <f aca="false">L506+1</f>
        <v>292</v>
      </c>
      <c r="M507" s="820" t="n">
        <f aca="false">IF(B507&lt;$E$104,$E$105,$E$106)</f>
        <v>3</v>
      </c>
      <c r="N507" s="821" t="n">
        <f aca="false">IF(B507&lt;$E$104,$E$105,$E$111)</f>
        <v>2.5</v>
      </c>
      <c r="O507" s="822" t="n">
        <f aca="false">E507*$E$205*N507</f>
        <v>104.456017425742</v>
      </c>
      <c r="P507" s="823" t="n">
        <f aca="false">P506+O507</f>
        <v>24611.910286812</v>
      </c>
      <c r="Q507" s="606" t="n">
        <f aca="false">Q506+1</f>
        <v>292</v>
      </c>
      <c r="R507" s="824" t="n">
        <f aca="false">R506-1</f>
        <v>-292</v>
      </c>
      <c r="S507" s="5"/>
      <c r="T507" s="5"/>
      <c r="U507" s="5"/>
      <c r="V507" s="10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02"/>
      <c r="AU507" s="502"/>
      <c r="AV507" s="606"/>
      <c r="AW507" s="502"/>
      <c r="AX507" s="502"/>
      <c r="AY507" s="502"/>
      <c r="AZ507" s="502"/>
      <c r="BA507" s="502"/>
      <c r="BB507" s="502"/>
      <c r="BC507" s="502"/>
      <c r="BD507" s="502"/>
      <c r="BE507" s="502"/>
      <c r="BF507" s="502"/>
      <c r="BG507" s="502"/>
      <c r="BH507" s="502"/>
      <c r="BI507" s="502"/>
      <c r="BJ507" s="502"/>
      <c r="BK507" s="502"/>
      <c r="BL507" s="502"/>
      <c r="BM507" s="502"/>
      <c r="BN507" s="502"/>
      <c r="BO507" s="502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</row>
    <row r="508" s="504" customFormat="true" ht="12.75" hidden="true" customHeight="true" outlineLevel="0" collapsed="false">
      <c r="A508" s="5"/>
      <c r="B508" s="813" t="n">
        <f aca="false">B507+1</f>
        <v>293</v>
      </c>
      <c r="C508" s="814" t="n">
        <f aca="false">C507+D508</f>
        <v>29597.7805246338</v>
      </c>
      <c r="D508" s="815" t="n">
        <f aca="false">E508*$E$205*M508</f>
        <v>125.50490091089</v>
      </c>
      <c r="E508" s="601" t="n">
        <f aca="false">E507+$C$204</f>
        <v>7.95946860165463</v>
      </c>
      <c r="F508" s="816" t="n">
        <f aca="false">F507+1</f>
        <v>293</v>
      </c>
      <c r="G508" s="775" t="n">
        <f aca="false">C508</f>
        <v>29597.7805246338</v>
      </c>
      <c r="H508" s="817" t="n">
        <f aca="false">1000*(E508-E507)</f>
        <v>9.99999999999979</v>
      </c>
      <c r="I508" s="5"/>
      <c r="J508" s="818" t="n">
        <f aca="false">1000*(E508-$E$215)/(B508-$B$215)</f>
        <v>15.3715693807911</v>
      </c>
      <c r="K508" s="732" t="n">
        <f aca="false">AVERAGE($E$216:E508)</f>
        <v>6.47353003510176</v>
      </c>
      <c r="L508" s="819" t="n">
        <f aca="false">L507+1</f>
        <v>293</v>
      </c>
      <c r="M508" s="820" t="n">
        <f aca="false">IF(B508&lt;$E$104,$E$105,$E$106)</f>
        <v>3</v>
      </c>
      <c r="N508" s="821" t="n">
        <f aca="false">IF(B508&lt;$E$104,$E$105,$E$111)</f>
        <v>2.5</v>
      </c>
      <c r="O508" s="822" t="n">
        <f aca="false">E508*$E$205*N508</f>
        <v>104.587417425742</v>
      </c>
      <c r="P508" s="823" t="n">
        <f aca="false">P507+O508</f>
        <v>24716.4977042377</v>
      </c>
      <c r="Q508" s="606" t="n">
        <f aca="false">Q507+1</f>
        <v>293</v>
      </c>
      <c r="R508" s="824" t="n">
        <f aca="false">R507-1</f>
        <v>-293</v>
      </c>
      <c r="S508" s="5"/>
      <c r="T508" s="5"/>
      <c r="U508" s="5"/>
      <c r="V508" s="10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02"/>
      <c r="AU508" s="502"/>
      <c r="AV508" s="606"/>
      <c r="AW508" s="502"/>
      <c r="AX508" s="502"/>
      <c r="AY508" s="502"/>
      <c r="AZ508" s="502"/>
      <c r="BA508" s="502"/>
      <c r="BB508" s="502"/>
      <c r="BC508" s="502"/>
      <c r="BD508" s="502"/>
      <c r="BE508" s="502"/>
      <c r="BF508" s="502"/>
      <c r="BG508" s="502"/>
      <c r="BH508" s="502"/>
      <c r="BI508" s="502"/>
      <c r="BJ508" s="502"/>
      <c r="BK508" s="502"/>
      <c r="BL508" s="502"/>
      <c r="BM508" s="502"/>
      <c r="BN508" s="502"/>
      <c r="BO508" s="502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</row>
    <row r="509" s="504" customFormat="true" ht="12.75" hidden="true" customHeight="true" outlineLevel="0" collapsed="false">
      <c r="A509" s="5"/>
      <c r="B509" s="813" t="n">
        <f aca="false">B508+1</f>
        <v>294</v>
      </c>
      <c r="C509" s="814" t="n">
        <f aca="false">C508+D509</f>
        <v>29723.4431055447</v>
      </c>
      <c r="D509" s="815" t="n">
        <f aca="false">E509*$E$205*M509</f>
        <v>125.66258091089</v>
      </c>
      <c r="E509" s="601" t="n">
        <f aca="false">E508+$C$204</f>
        <v>7.96946860165463</v>
      </c>
      <c r="F509" s="816" t="n">
        <f aca="false">F508+1</f>
        <v>294</v>
      </c>
      <c r="G509" s="775" t="n">
        <f aca="false">C509</f>
        <v>29723.4431055447</v>
      </c>
      <c r="H509" s="817" t="n">
        <f aca="false">1000*(E509-E508)</f>
        <v>9.99999999999979</v>
      </c>
      <c r="I509" s="5"/>
      <c r="J509" s="818" t="n">
        <f aca="false">1000*(E509-$E$215)/(B509-$B$215)</f>
        <v>15.3532987366387</v>
      </c>
      <c r="K509" s="732" t="n">
        <f aca="false">AVERAGE($E$216:E509)</f>
        <v>6.47861826151861</v>
      </c>
      <c r="L509" s="819" t="n">
        <f aca="false">L508+1</f>
        <v>294</v>
      </c>
      <c r="M509" s="820" t="n">
        <f aca="false">IF(B509&lt;$E$104,$E$105,$E$106)</f>
        <v>3</v>
      </c>
      <c r="N509" s="821" t="n">
        <f aca="false">IF(B509&lt;$E$104,$E$105,$E$111)</f>
        <v>2.5</v>
      </c>
      <c r="O509" s="822" t="n">
        <f aca="false">E509*$E$205*N509</f>
        <v>104.718817425742</v>
      </c>
      <c r="P509" s="823" t="n">
        <f aca="false">P508+O509</f>
        <v>24821.2165216634</v>
      </c>
      <c r="Q509" s="606" t="n">
        <f aca="false">Q508+1</f>
        <v>294</v>
      </c>
      <c r="R509" s="824" t="n">
        <f aca="false">R508-1</f>
        <v>-294</v>
      </c>
      <c r="S509" s="5"/>
      <c r="T509" s="5"/>
      <c r="U509" s="5"/>
      <c r="V509" s="10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02"/>
      <c r="AU509" s="502"/>
      <c r="AV509" s="606"/>
      <c r="AW509" s="502"/>
      <c r="AX509" s="502"/>
      <c r="AY509" s="502"/>
      <c r="AZ509" s="502"/>
      <c r="BA509" s="502"/>
      <c r="BB509" s="502"/>
      <c r="BC509" s="502"/>
      <c r="BD509" s="502"/>
      <c r="BE509" s="502"/>
      <c r="BF509" s="502"/>
      <c r="BG509" s="502"/>
      <c r="BH509" s="502"/>
      <c r="BI509" s="502"/>
      <c r="BJ509" s="502"/>
      <c r="BK509" s="502"/>
      <c r="BL509" s="502"/>
      <c r="BM509" s="502"/>
      <c r="BN509" s="502"/>
      <c r="BO509" s="502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</row>
    <row r="510" s="504" customFormat="true" ht="12.75" hidden="true" customHeight="true" outlineLevel="0" collapsed="false">
      <c r="A510" s="5"/>
      <c r="B510" s="813" t="n">
        <f aca="false">B509+1</f>
        <v>295</v>
      </c>
      <c r="C510" s="814" t="n">
        <f aca="false">C509+D510</f>
        <v>29849.2633664556</v>
      </c>
      <c r="D510" s="815" t="n">
        <f aca="false">E510*$E$205*M510</f>
        <v>125.82026091089</v>
      </c>
      <c r="E510" s="601" t="n">
        <f aca="false">E509+$C$204</f>
        <v>7.97946860165463</v>
      </c>
      <c r="F510" s="816" t="n">
        <f aca="false">F509+1</f>
        <v>295</v>
      </c>
      <c r="G510" s="775" t="n">
        <f aca="false">C510</f>
        <v>29849.2633664556</v>
      </c>
      <c r="H510" s="817" t="n">
        <f aca="false">1000*(E510-E509)</f>
        <v>9.99999999999979</v>
      </c>
      <c r="I510" s="5"/>
      <c r="J510" s="818" t="n">
        <f aca="false">1000*(E510-$E$215)/(B510-$B$215)</f>
        <v>15.3351519612603</v>
      </c>
      <c r="K510" s="732" t="n">
        <f aca="false">AVERAGE($E$216:E510)</f>
        <v>6.48370588979025</v>
      </c>
      <c r="L510" s="819" t="n">
        <f aca="false">L509+1</f>
        <v>295</v>
      </c>
      <c r="M510" s="820" t="n">
        <f aca="false">IF(B510&lt;$E$104,$E$105,$E$106)</f>
        <v>3</v>
      </c>
      <c r="N510" s="821" t="n">
        <f aca="false">IF(B510&lt;$E$104,$E$105,$E$111)</f>
        <v>2.5</v>
      </c>
      <c r="O510" s="822" t="n">
        <f aca="false">E510*$E$205*N510</f>
        <v>104.850217425742</v>
      </c>
      <c r="P510" s="823" t="n">
        <f aca="false">P509+O510</f>
        <v>24926.0667390892</v>
      </c>
      <c r="Q510" s="606" t="n">
        <f aca="false">Q509+1</f>
        <v>295</v>
      </c>
      <c r="R510" s="824" t="n">
        <f aca="false">R509-1</f>
        <v>-295</v>
      </c>
      <c r="S510" s="5"/>
      <c r="T510" s="5"/>
      <c r="U510" s="5"/>
      <c r="V510" s="10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02"/>
      <c r="AU510" s="502"/>
      <c r="AV510" s="606"/>
      <c r="AW510" s="502"/>
      <c r="AX510" s="502"/>
      <c r="AY510" s="502"/>
      <c r="AZ510" s="502"/>
      <c r="BA510" s="502"/>
      <c r="BB510" s="502"/>
      <c r="BC510" s="502"/>
      <c r="BD510" s="502"/>
      <c r="BE510" s="502"/>
      <c r="BF510" s="502"/>
      <c r="BG510" s="502"/>
      <c r="BH510" s="502"/>
      <c r="BI510" s="502"/>
      <c r="BJ510" s="502"/>
      <c r="BK510" s="502"/>
      <c r="BL510" s="502"/>
      <c r="BM510" s="502"/>
      <c r="BN510" s="502"/>
      <c r="BO510" s="502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</row>
    <row r="511" s="504" customFormat="true" ht="12.75" hidden="true" customHeight="true" outlineLevel="0" collapsed="false">
      <c r="A511" s="5"/>
      <c r="B511" s="813" t="n">
        <f aca="false">B510+1</f>
        <v>296</v>
      </c>
      <c r="C511" s="814" t="n">
        <f aca="false">C510+D511</f>
        <v>29975.2413073665</v>
      </c>
      <c r="D511" s="815" t="n">
        <f aca="false">E511*$E$205*M511</f>
        <v>125.97794091089</v>
      </c>
      <c r="E511" s="601" t="n">
        <f aca="false">E510+$C$204</f>
        <v>7.98946860165463</v>
      </c>
      <c r="F511" s="816" t="n">
        <f aca="false">F510+1</f>
        <v>296</v>
      </c>
      <c r="G511" s="775" t="n">
        <f aca="false">C511</f>
        <v>29975.2413073665</v>
      </c>
      <c r="H511" s="817" t="n">
        <f aca="false">1000*(E511-E510)</f>
        <v>9.99999999999979</v>
      </c>
      <c r="I511" s="5"/>
      <c r="J511" s="818" t="n">
        <f aca="false">1000*(E511-$E$215)/(B511-$B$215)</f>
        <v>15.317127799229</v>
      </c>
      <c r="K511" s="732" t="n">
        <f aca="false">AVERAGE($E$216:E511)</f>
        <v>6.48879292597898</v>
      </c>
      <c r="L511" s="819" t="n">
        <f aca="false">L510+1</f>
        <v>296</v>
      </c>
      <c r="M511" s="820" t="n">
        <f aca="false">IF(B511&lt;$E$104,$E$105,$E$106)</f>
        <v>3</v>
      </c>
      <c r="N511" s="821" t="n">
        <f aca="false">IF(B511&lt;$E$104,$E$105,$E$111)</f>
        <v>2.5</v>
      </c>
      <c r="O511" s="822" t="n">
        <f aca="false">E511*$E$205*N511</f>
        <v>104.981617425742</v>
      </c>
      <c r="P511" s="823" t="n">
        <f aca="false">P510+O511</f>
        <v>25031.0483565149</v>
      </c>
      <c r="Q511" s="606" t="n">
        <f aca="false">Q510+1</f>
        <v>296</v>
      </c>
      <c r="R511" s="824" t="n">
        <f aca="false">R510-1</f>
        <v>-296</v>
      </c>
      <c r="S511" s="5"/>
      <c r="T511" s="5"/>
      <c r="U511" s="5"/>
      <c r="V511" s="10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02"/>
      <c r="AU511" s="502"/>
      <c r="AV511" s="606"/>
      <c r="AW511" s="502"/>
      <c r="AX511" s="502"/>
      <c r="AY511" s="502"/>
      <c r="AZ511" s="502"/>
      <c r="BA511" s="502"/>
      <c r="BB511" s="502"/>
      <c r="BC511" s="502"/>
      <c r="BD511" s="502"/>
      <c r="BE511" s="502"/>
      <c r="BF511" s="502"/>
      <c r="BG511" s="502"/>
      <c r="BH511" s="502"/>
      <c r="BI511" s="502"/>
      <c r="BJ511" s="502"/>
      <c r="BK511" s="502"/>
      <c r="BL511" s="502"/>
      <c r="BM511" s="502"/>
      <c r="BN511" s="502"/>
      <c r="BO511" s="502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</row>
    <row r="512" s="504" customFormat="true" ht="12.75" hidden="true" customHeight="true" outlineLevel="0" collapsed="false">
      <c r="A512" s="5"/>
      <c r="B512" s="813" t="n">
        <f aca="false">B511+1</f>
        <v>297</v>
      </c>
      <c r="C512" s="814" t="n">
        <f aca="false">C511+D512</f>
        <v>30101.3769282774</v>
      </c>
      <c r="D512" s="815" t="n">
        <f aca="false">E512*$E$205*M512</f>
        <v>126.13562091089</v>
      </c>
      <c r="E512" s="601" t="n">
        <f aca="false">E511+$C$204</f>
        <v>7.99946860165463</v>
      </c>
      <c r="F512" s="816" t="n">
        <f aca="false">F511+1</f>
        <v>297</v>
      </c>
      <c r="G512" s="775" t="n">
        <f aca="false">C512</f>
        <v>30101.3769282774</v>
      </c>
      <c r="H512" s="817" t="n">
        <f aca="false">1000*(E512-E511)</f>
        <v>9.99999999999979</v>
      </c>
      <c r="I512" s="5"/>
      <c r="J512" s="818" t="n">
        <f aca="false">1000*(E512-$E$215)/(B512-$B$215)</f>
        <v>15.2992250120262</v>
      </c>
      <c r="K512" s="732" t="n">
        <f aca="false">AVERAGE($E$216:E512)</f>
        <v>6.49387937606543</v>
      </c>
      <c r="L512" s="819" t="n">
        <f aca="false">L511+1</f>
        <v>297</v>
      </c>
      <c r="M512" s="820" t="n">
        <f aca="false">IF(B512&lt;$E$104,$E$105,$E$106)</f>
        <v>3</v>
      </c>
      <c r="N512" s="821" t="n">
        <f aca="false">IF(B512&lt;$E$104,$E$105,$E$111)</f>
        <v>2.5</v>
      </c>
      <c r="O512" s="822" t="n">
        <f aca="false">E512*$E$205*N512</f>
        <v>105.113017425742</v>
      </c>
      <c r="P512" s="823" t="n">
        <f aca="false">P511+O512</f>
        <v>25136.1613739407</v>
      </c>
      <c r="Q512" s="606" t="n">
        <f aca="false">Q511+1</f>
        <v>297</v>
      </c>
      <c r="R512" s="824" t="n">
        <f aca="false">R511-1</f>
        <v>-297</v>
      </c>
      <c r="S512" s="5"/>
      <c r="T512" s="5"/>
      <c r="U512" s="5"/>
      <c r="V512" s="10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02"/>
      <c r="AU512" s="502"/>
      <c r="AV512" s="606"/>
      <c r="AW512" s="502"/>
      <c r="AX512" s="502"/>
      <c r="AY512" s="502"/>
      <c r="AZ512" s="502"/>
      <c r="BA512" s="502"/>
      <c r="BB512" s="502"/>
      <c r="BC512" s="502"/>
      <c r="BD512" s="502"/>
      <c r="BE512" s="502"/>
      <c r="BF512" s="502"/>
      <c r="BG512" s="502"/>
      <c r="BH512" s="502"/>
      <c r="BI512" s="502"/>
      <c r="BJ512" s="502"/>
      <c r="BK512" s="502"/>
      <c r="BL512" s="502"/>
      <c r="BM512" s="502"/>
      <c r="BN512" s="502"/>
      <c r="BO512" s="502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</row>
    <row r="513" s="504" customFormat="true" ht="12.75" hidden="true" customHeight="true" outlineLevel="0" collapsed="false">
      <c r="A513" s="5"/>
      <c r="B513" s="813" t="n">
        <f aca="false">B512+1</f>
        <v>298</v>
      </c>
      <c r="C513" s="814" t="n">
        <f aca="false">C512+D513</f>
        <v>30227.6702291883</v>
      </c>
      <c r="D513" s="815" t="n">
        <f aca="false">E513*$E$205*M513</f>
        <v>126.29330091089</v>
      </c>
      <c r="E513" s="601" t="n">
        <f aca="false">E512+$C$204</f>
        <v>8.00946860165463</v>
      </c>
      <c r="F513" s="816" t="n">
        <f aca="false">F512+1</f>
        <v>298</v>
      </c>
      <c r="G513" s="775" t="n">
        <f aca="false">C513</f>
        <v>30227.6702291883</v>
      </c>
      <c r="H513" s="817" t="n">
        <f aca="false">1000*(E513-E512)</f>
        <v>9.99999999999979</v>
      </c>
      <c r="I513" s="5"/>
      <c r="J513" s="818" t="n">
        <f aca="false">1000*(E513-$E$215)/(B513-$B$215)</f>
        <v>15.2814423777577</v>
      </c>
      <c r="K513" s="732" t="n">
        <f aca="false">AVERAGE($E$216:E513)</f>
        <v>6.49896524594996</v>
      </c>
      <c r="L513" s="819" t="n">
        <f aca="false">L512+1</f>
        <v>298</v>
      </c>
      <c r="M513" s="820" t="n">
        <f aca="false">IF(B513&lt;$E$104,$E$105,$E$106)</f>
        <v>3</v>
      </c>
      <c r="N513" s="821" t="n">
        <f aca="false">IF(B513&lt;$E$104,$E$105,$E$111)</f>
        <v>2.5</v>
      </c>
      <c r="O513" s="822" t="n">
        <f aca="false">E513*$E$205*N513</f>
        <v>105.244417425742</v>
      </c>
      <c r="P513" s="823" t="n">
        <f aca="false">P512+O513</f>
        <v>25241.4057913664</v>
      </c>
      <c r="Q513" s="606" t="n">
        <f aca="false">Q512+1</f>
        <v>298</v>
      </c>
      <c r="R513" s="824" t="n">
        <f aca="false">R512-1</f>
        <v>-298</v>
      </c>
      <c r="S513" s="5"/>
      <c r="T513" s="5"/>
      <c r="U513" s="5"/>
      <c r="V513" s="10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02"/>
      <c r="AU513" s="502"/>
      <c r="AV513" s="606"/>
      <c r="AW513" s="502"/>
      <c r="AX513" s="502"/>
      <c r="AY513" s="502"/>
      <c r="AZ513" s="502"/>
      <c r="BA513" s="502"/>
      <c r="BB513" s="502"/>
      <c r="BC513" s="502"/>
      <c r="BD513" s="502"/>
      <c r="BE513" s="502"/>
      <c r="BF513" s="502"/>
      <c r="BG513" s="502"/>
      <c r="BH513" s="502"/>
      <c r="BI513" s="502"/>
      <c r="BJ513" s="502"/>
      <c r="BK513" s="502"/>
      <c r="BL513" s="502"/>
      <c r="BM513" s="502"/>
      <c r="BN513" s="502"/>
      <c r="BO513" s="502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</row>
    <row r="514" s="504" customFormat="true" ht="12.75" hidden="true" customHeight="true" outlineLevel="0" collapsed="false">
      <c r="A514" s="5"/>
      <c r="B514" s="813" t="n">
        <f aca="false">B513+1</f>
        <v>299</v>
      </c>
      <c r="C514" s="814" t="n">
        <f aca="false">C513+D514</f>
        <v>30354.1212100992</v>
      </c>
      <c r="D514" s="815" t="n">
        <f aca="false">E514*$E$205*M514</f>
        <v>126.45098091089</v>
      </c>
      <c r="E514" s="601" t="n">
        <f aca="false">E513+$C$204</f>
        <v>8.01946860165463</v>
      </c>
      <c r="F514" s="816" t="n">
        <f aca="false">F513+1</f>
        <v>299</v>
      </c>
      <c r="G514" s="775" t="n">
        <f aca="false">C514</f>
        <v>30354.1212100992</v>
      </c>
      <c r="H514" s="817" t="n">
        <f aca="false">1000*(E514-E513)</f>
        <v>9.99999999999979</v>
      </c>
      <c r="I514" s="5"/>
      <c r="J514" s="818" t="n">
        <f aca="false">1000*(E514-$E$215)/(B514-$B$215)</f>
        <v>15.2637786908755</v>
      </c>
      <c r="K514" s="732" t="n">
        <f aca="false">AVERAGE($E$216:E514)</f>
        <v>6.50405054145399</v>
      </c>
      <c r="L514" s="819" t="n">
        <f aca="false">L513+1</f>
        <v>299</v>
      </c>
      <c r="M514" s="820" t="n">
        <f aca="false">IF(B514&lt;$E$104,$E$105,$E$106)</f>
        <v>3</v>
      </c>
      <c r="N514" s="821" t="n">
        <f aca="false">IF(B514&lt;$E$104,$E$105,$E$111)</f>
        <v>2.5</v>
      </c>
      <c r="O514" s="822" t="n">
        <f aca="false">E514*$E$205*N514</f>
        <v>105.375817425742</v>
      </c>
      <c r="P514" s="823" t="n">
        <f aca="false">P513+O514</f>
        <v>25346.7816087922</v>
      </c>
      <c r="Q514" s="606" t="n">
        <f aca="false">Q513+1</f>
        <v>299</v>
      </c>
      <c r="R514" s="824" t="n">
        <f aca="false">R513-1</f>
        <v>-299</v>
      </c>
      <c r="S514" s="5"/>
      <c r="T514" s="5"/>
      <c r="U514" s="5"/>
      <c r="V514" s="10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02"/>
      <c r="AU514" s="502"/>
      <c r="AV514" s="606"/>
      <c r="AW514" s="502"/>
      <c r="AX514" s="502"/>
      <c r="AY514" s="502"/>
      <c r="AZ514" s="502"/>
      <c r="BA514" s="502"/>
      <c r="BB514" s="502"/>
      <c r="BC514" s="502"/>
      <c r="BD514" s="502"/>
      <c r="BE514" s="502"/>
      <c r="BF514" s="502"/>
      <c r="BG514" s="502"/>
      <c r="BH514" s="502"/>
      <c r="BI514" s="502"/>
      <c r="BJ514" s="502"/>
      <c r="BK514" s="502"/>
      <c r="BL514" s="502"/>
      <c r="BM514" s="502"/>
      <c r="BN514" s="502"/>
      <c r="BO514" s="502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</row>
    <row r="515" s="504" customFormat="true" ht="12.75" hidden="true" customHeight="true" outlineLevel="0" collapsed="false">
      <c r="A515" s="5"/>
      <c r="B515" s="827" t="n">
        <f aca="false">B514+1</f>
        <v>300</v>
      </c>
      <c r="C515" s="768" t="n">
        <f aca="false">C514+D515</f>
        <v>30480.72987101</v>
      </c>
      <c r="D515" s="828" t="n">
        <f aca="false">E515*$E$205*M515</f>
        <v>126.60866091089</v>
      </c>
      <c r="E515" s="787" t="n">
        <f aca="false">E514+$C$204</f>
        <v>8.02946860165463</v>
      </c>
      <c r="F515" s="829" t="n">
        <f aca="false">F514+1</f>
        <v>300</v>
      </c>
      <c r="G515" s="830" t="n">
        <f aca="false">C515</f>
        <v>30480.72987101</v>
      </c>
      <c r="H515" s="831" t="n">
        <f aca="false">1000*(E515-E514)</f>
        <v>9.99999999999979</v>
      </c>
      <c r="I515" s="785"/>
      <c r="J515" s="832" t="n">
        <f aca="false">1000*(E515-$E$215)/(B515-$B$215)</f>
        <v>15.2462327619059</v>
      </c>
      <c r="K515" s="787" t="n">
        <f aca="false">AVERAGE($E$216:E515)</f>
        <v>6.50913526832133</v>
      </c>
      <c r="L515" s="833" t="n">
        <f aca="false">L514+1</f>
        <v>300</v>
      </c>
      <c r="M515" s="834" t="n">
        <f aca="false">IF(B515&lt;$E$104,$E$105,$E$106)</f>
        <v>3</v>
      </c>
      <c r="N515" s="835" t="n">
        <f aca="false">IF(B515&lt;$E$104,$E$105,$E$111)</f>
        <v>2.5</v>
      </c>
      <c r="O515" s="836" t="n">
        <f aca="false">E515*$E$205*N515</f>
        <v>105.507217425742</v>
      </c>
      <c r="P515" s="837" t="n">
        <f aca="false">P514+O515</f>
        <v>25452.2888262179</v>
      </c>
      <c r="Q515" s="742" t="n">
        <f aca="false">Q514+1</f>
        <v>300</v>
      </c>
      <c r="R515" s="838" t="n">
        <f aca="false">R514-1</f>
        <v>-300</v>
      </c>
      <c r="S515" s="5"/>
      <c r="T515" s="5"/>
      <c r="U515" s="5"/>
      <c r="V515" s="10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02"/>
      <c r="AU515" s="502"/>
      <c r="AV515" s="606"/>
      <c r="AW515" s="502"/>
      <c r="AX515" s="502"/>
      <c r="AY515" s="502"/>
      <c r="AZ515" s="502"/>
      <c r="BA515" s="502"/>
      <c r="BB515" s="502"/>
      <c r="BC515" s="502"/>
      <c r="BD515" s="502"/>
      <c r="BE515" s="502"/>
      <c r="BF515" s="502"/>
      <c r="BG515" s="502"/>
      <c r="BH515" s="502"/>
      <c r="BI515" s="502"/>
      <c r="BJ515" s="502"/>
      <c r="BK515" s="502"/>
      <c r="BL515" s="502"/>
      <c r="BM515" s="502"/>
      <c r="BN515" s="502"/>
      <c r="BO515" s="502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</row>
    <row r="516" s="504" customFormat="true" ht="12.75" hidden="true" customHeight="true" outlineLevel="0" collapsed="false">
      <c r="A516" s="5"/>
      <c r="B516" s="813" t="n">
        <f aca="false">B515+1</f>
        <v>301</v>
      </c>
      <c r="C516" s="814" t="n">
        <f aca="false">C515+D516</f>
        <v>30607.4962119209</v>
      </c>
      <c r="D516" s="815" t="n">
        <f aca="false">E516*$E$205*M516</f>
        <v>126.76634091089</v>
      </c>
      <c r="E516" s="601" t="n">
        <f aca="false">E515+$C$204</f>
        <v>8.03946860165463</v>
      </c>
      <c r="F516" s="816" t="n">
        <f aca="false">F515+1</f>
        <v>301</v>
      </c>
      <c r="G516" s="775" t="n">
        <f aca="false">C516</f>
        <v>30607.4962119209</v>
      </c>
      <c r="H516" s="817" t="n">
        <f aca="false">1000*(E516-E515)</f>
        <v>9.99999999999979</v>
      </c>
      <c r="I516" s="5"/>
      <c r="J516" s="818" t="n">
        <f aca="false">1000*(E516-$E$215)/(B516-$B$215)</f>
        <v>15.228803417182</v>
      </c>
      <c r="K516" s="732" t="n">
        <f aca="false">AVERAGE($E$216:E516)</f>
        <v>6.51421943221944</v>
      </c>
      <c r="L516" s="819" t="n">
        <f aca="false">L515+1</f>
        <v>301</v>
      </c>
      <c r="M516" s="820" t="n">
        <f aca="false">IF(B516&lt;$E$104,$E$105,$E$106)</f>
        <v>3</v>
      </c>
      <c r="N516" s="821" t="n">
        <f aca="false">IF(B516&lt;$E$104,$E$105,$E$111)</f>
        <v>2.5</v>
      </c>
      <c r="O516" s="822" t="n">
        <f aca="false">E516*$E$205*N516</f>
        <v>105.638617425742</v>
      </c>
      <c r="P516" s="823" t="n">
        <f aca="false">P515+O516</f>
        <v>25557.9274436436</v>
      </c>
      <c r="Q516" s="606" t="n">
        <f aca="false">Q515+1</f>
        <v>301</v>
      </c>
      <c r="R516" s="824" t="n">
        <f aca="false">R515-1</f>
        <v>-301</v>
      </c>
      <c r="S516" s="5"/>
      <c r="T516" s="5"/>
      <c r="U516" s="5"/>
      <c r="V516" s="10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02"/>
      <c r="AU516" s="502"/>
      <c r="AV516" s="606"/>
      <c r="AW516" s="502"/>
      <c r="AX516" s="502"/>
      <c r="AY516" s="502"/>
      <c r="AZ516" s="502"/>
      <c r="BA516" s="502"/>
      <c r="BB516" s="502"/>
      <c r="BC516" s="502"/>
      <c r="BD516" s="502"/>
      <c r="BE516" s="502"/>
      <c r="BF516" s="502"/>
      <c r="BG516" s="502"/>
      <c r="BH516" s="502"/>
      <c r="BI516" s="502"/>
      <c r="BJ516" s="502"/>
      <c r="BK516" s="502"/>
      <c r="BL516" s="502"/>
      <c r="BM516" s="502"/>
      <c r="BN516" s="502"/>
      <c r="BO516" s="502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</row>
    <row r="517" s="504" customFormat="true" ht="12.75" hidden="true" customHeight="true" outlineLevel="0" collapsed="false">
      <c r="A517" s="5"/>
      <c r="B517" s="813" t="n">
        <f aca="false">B516+1</f>
        <v>302</v>
      </c>
      <c r="C517" s="814" t="n">
        <f aca="false">C516+D517</f>
        <v>30734.4202328318</v>
      </c>
      <c r="D517" s="815" t="n">
        <f aca="false">E517*$E$205*M517</f>
        <v>126.92402091089</v>
      </c>
      <c r="E517" s="601" t="n">
        <f aca="false">E516+$C$204</f>
        <v>8.04946860165463</v>
      </c>
      <c r="F517" s="816" t="n">
        <f aca="false">F516+1</f>
        <v>302</v>
      </c>
      <c r="G517" s="775" t="n">
        <f aca="false">C517</f>
        <v>30734.4202328318</v>
      </c>
      <c r="H517" s="817" t="n">
        <f aca="false">1000*(E517-E516)</f>
        <v>9.99999999999979</v>
      </c>
      <c r="I517" s="5"/>
      <c r="J517" s="818" t="n">
        <f aca="false">1000*(E517-$E$215)/(B517-$B$215)</f>
        <v>15.2114894985821</v>
      </c>
      <c r="K517" s="732" t="n">
        <f aca="false">AVERAGE($E$216:E517)</f>
        <v>6.51930303874075</v>
      </c>
      <c r="L517" s="819" t="n">
        <f aca="false">L516+1</f>
        <v>302</v>
      </c>
      <c r="M517" s="820" t="n">
        <f aca="false">IF(B517&lt;$E$104,$E$105,$E$106)</f>
        <v>3</v>
      </c>
      <c r="N517" s="821" t="n">
        <f aca="false">IF(B517&lt;$E$104,$E$105,$E$111)</f>
        <v>2.5</v>
      </c>
      <c r="O517" s="822" t="n">
        <f aca="false">E517*$E$205*N517</f>
        <v>105.770017425742</v>
      </c>
      <c r="P517" s="823" t="n">
        <f aca="false">P516+O517</f>
        <v>25663.6974610694</v>
      </c>
      <c r="Q517" s="606" t="n">
        <f aca="false">Q516+1</f>
        <v>302</v>
      </c>
      <c r="R517" s="824" t="n">
        <f aca="false">R516-1</f>
        <v>-302</v>
      </c>
      <c r="S517" s="5"/>
      <c r="T517" s="5"/>
      <c r="U517" s="5"/>
      <c r="V517" s="10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02"/>
      <c r="AU517" s="502"/>
      <c r="AV517" s="606"/>
      <c r="AW517" s="502"/>
      <c r="AX517" s="502"/>
      <c r="AY517" s="502"/>
      <c r="AZ517" s="502"/>
      <c r="BA517" s="502"/>
      <c r="BB517" s="502"/>
      <c r="BC517" s="502"/>
      <c r="BD517" s="502"/>
      <c r="BE517" s="502"/>
      <c r="BF517" s="502"/>
      <c r="BG517" s="502"/>
      <c r="BH517" s="502"/>
      <c r="BI517" s="502"/>
      <c r="BJ517" s="502"/>
      <c r="BK517" s="502"/>
      <c r="BL517" s="502"/>
      <c r="BM517" s="502"/>
      <c r="BN517" s="502"/>
      <c r="BO517" s="502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</row>
    <row r="518" s="504" customFormat="true" ht="12.75" hidden="true" customHeight="true" outlineLevel="0" collapsed="false">
      <c r="A518" s="5"/>
      <c r="B518" s="813" t="n">
        <f aca="false">B517+1</f>
        <v>303</v>
      </c>
      <c r="C518" s="814" t="n">
        <f aca="false">C517+D518</f>
        <v>30861.5019337427</v>
      </c>
      <c r="D518" s="815" t="n">
        <f aca="false">E518*$E$205*M518</f>
        <v>127.08170091089</v>
      </c>
      <c r="E518" s="601" t="n">
        <f aca="false">E517+$C$204</f>
        <v>8.05946860165463</v>
      </c>
      <c r="F518" s="816" t="n">
        <f aca="false">F517+1</f>
        <v>303</v>
      </c>
      <c r="G518" s="775" t="n">
        <f aca="false">C518</f>
        <v>30861.5019337427</v>
      </c>
      <c r="H518" s="817" t="n">
        <f aca="false">1000*(E518-E517)</f>
        <v>9.99999999999979</v>
      </c>
      <c r="I518" s="5"/>
      <c r="J518" s="818" t="n">
        <f aca="false">1000*(E518-$E$215)/(B518-$B$215)</f>
        <v>15.1942898632732</v>
      </c>
      <c r="K518" s="732" t="n">
        <f aca="false">AVERAGE($E$216:E518)</f>
        <v>6.52438609340383</v>
      </c>
      <c r="L518" s="819" t="n">
        <f aca="false">L517+1</f>
        <v>303</v>
      </c>
      <c r="M518" s="820" t="n">
        <f aca="false">IF(B518&lt;$E$104,$E$105,$E$106)</f>
        <v>3</v>
      </c>
      <c r="N518" s="821" t="n">
        <f aca="false">IF(B518&lt;$E$104,$E$105,$E$111)</f>
        <v>2.5</v>
      </c>
      <c r="O518" s="822" t="n">
        <f aca="false">E518*$E$205*N518</f>
        <v>105.901417425742</v>
      </c>
      <c r="P518" s="823" t="n">
        <f aca="false">P517+O518</f>
        <v>25769.5988784951</v>
      </c>
      <c r="Q518" s="606" t="n">
        <f aca="false">Q517+1</f>
        <v>303</v>
      </c>
      <c r="R518" s="824" t="n">
        <f aca="false">R517-1</f>
        <v>-303</v>
      </c>
      <c r="S518" s="5"/>
      <c r="T518" s="5"/>
      <c r="U518" s="5"/>
      <c r="V518" s="10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02"/>
      <c r="AU518" s="502"/>
      <c r="AV518" s="606"/>
      <c r="AW518" s="502"/>
      <c r="AX518" s="502"/>
      <c r="AY518" s="502"/>
      <c r="AZ518" s="502"/>
      <c r="BA518" s="502"/>
      <c r="BB518" s="502"/>
      <c r="BC518" s="502"/>
      <c r="BD518" s="502"/>
      <c r="BE518" s="502"/>
      <c r="BF518" s="502"/>
      <c r="BG518" s="502"/>
      <c r="BH518" s="502"/>
      <c r="BI518" s="502"/>
      <c r="BJ518" s="502"/>
      <c r="BK518" s="502"/>
      <c r="BL518" s="502"/>
      <c r="BM518" s="502"/>
      <c r="BN518" s="502"/>
      <c r="BO518" s="502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</row>
    <row r="519" s="504" customFormat="true" ht="12.75" hidden="true" customHeight="true" outlineLevel="0" collapsed="false">
      <c r="A519" s="5"/>
      <c r="B519" s="813" t="n">
        <f aca="false">B518+1</f>
        <v>304</v>
      </c>
      <c r="C519" s="814" t="n">
        <f aca="false">C518+D519</f>
        <v>30988.7413146536</v>
      </c>
      <c r="D519" s="815" t="n">
        <f aca="false">E519*$E$205*M519</f>
        <v>127.23938091089</v>
      </c>
      <c r="E519" s="601" t="n">
        <f aca="false">E518+$C$204</f>
        <v>8.06946860165463</v>
      </c>
      <c r="F519" s="816" t="n">
        <f aca="false">F518+1</f>
        <v>304</v>
      </c>
      <c r="G519" s="775" t="n">
        <f aca="false">C519</f>
        <v>30988.7413146536</v>
      </c>
      <c r="H519" s="817" t="n">
        <f aca="false">1000*(E519-E518)</f>
        <v>9.99999999999979</v>
      </c>
      <c r="I519" s="5"/>
      <c r="J519" s="818" t="n">
        <f aca="false">1000*(E519-$E$215)/(B519-$B$215)</f>
        <v>15.1772033834598</v>
      </c>
      <c r="K519" s="732" t="n">
        <f aca="false">AVERAGE($E$216:E519)</f>
        <v>6.52946860165466</v>
      </c>
      <c r="L519" s="819" t="n">
        <f aca="false">L518+1</f>
        <v>304</v>
      </c>
      <c r="M519" s="820" t="n">
        <f aca="false">IF(B519&lt;$E$104,$E$105,$E$106)</f>
        <v>3</v>
      </c>
      <c r="N519" s="821" t="n">
        <f aca="false">IF(B519&lt;$E$104,$E$105,$E$111)</f>
        <v>2.5</v>
      </c>
      <c r="O519" s="822" t="n">
        <f aca="false">E519*$E$205*N519</f>
        <v>106.032817425742</v>
      </c>
      <c r="P519" s="823" t="n">
        <f aca="false">P518+O519</f>
        <v>25875.6316959209</v>
      </c>
      <c r="Q519" s="606" t="n">
        <f aca="false">Q518+1</f>
        <v>304</v>
      </c>
      <c r="R519" s="824" t="n">
        <f aca="false">R518-1</f>
        <v>-304</v>
      </c>
      <c r="S519" s="5"/>
      <c r="T519" s="5"/>
      <c r="U519" s="5"/>
      <c r="V519" s="10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02"/>
      <c r="AU519" s="502"/>
      <c r="AV519" s="606"/>
      <c r="AW519" s="502"/>
      <c r="AX519" s="502"/>
      <c r="AY519" s="502"/>
      <c r="AZ519" s="502"/>
      <c r="BA519" s="502"/>
      <c r="BB519" s="502"/>
      <c r="BC519" s="502"/>
      <c r="BD519" s="502"/>
      <c r="BE519" s="502"/>
      <c r="BF519" s="502"/>
      <c r="BG519" s="502"/>
      <c r="BH519" s="502"/>
      <c r="BI519" s="502"/>
      <c r="BJ519" s="502"/>
      <c r="BK519" s="502"/>
      <c r="BL519" s="502"/>
      <c r="BM519" s="502"/>
      <c r="BN519" s="502"/>
      <c r="BO519" s="502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</row>
    <row r="520" s="504" customFormat="true" ht="12.75" hidden="true" customHeight="true" outlineLevel="0" collapsed="false">
      <c r="A520" s="5"/>
      <c r="B520" s="813" t="n">
        <f aca="false">B519+1</f>
        <v>305</v>
      </c>
      <c r="C520" s="814" t="n">
        <f aca="false">C519+D520</f>
        <v>31116.1383755645</v>
      </c>
      <c r="D520" s="815" t="n">
        <f aca="false">E520*$E$205*M520</f>
        <v>127.39706091089</v>
      </c>
      <c r="E520" s="601" t="n">
        <f aca="false">E519+$C$204</f>
        <v>8.07946860165463</v>
      </c>
      <c r="F520" s="816" t="n">
        <f aca="false">F519+1</f>
        <v>305</v>
      </c>
      <c r="G520" s="775" t="n">
        <f aca="false">C520</f>
        <v>31116.1383755645</v>
      </c>
      <c r="H520" s="817" t="n">
        <f aca="false">1000*(E520-E519)</f>
        <v>9.99999999999979</v>
      </c>
      <c r="I520" s="5"/>
      <c r="J520" s="818" t="n">
        <f aca="false">1000*(E520-$E$215)/(B520-$B$215)</f>
        <v>15.160228946137</v>
      </c>
      <c r="K520" s="732" t="n">
        <f aca="false">AVERAGE($E$216:E520)</f>
        <v>6.53455056886777</v>
      </c>
      <c r="L520" s="819" t="n">
        <f aca="false">L519+1</f>
        <v>305</v>
      </c>
      <c r="M520" s="820" t="n">
        <f aca="false">IF(B520&lt;$E$104,$E$105,$E$106)</f>
        <v>3</v>
      </c>
      <c r="N520" s="821" t="n">
        <f aca="false">IF(B520&lt;$E$104,$E$105,$E$111)</f>
        <v>2.5</v>
      </c>
      <c r="O520" s="822" t="n">
        <f aca="false">E520*$E$205*N520</f>
        <v>106.164217425742</v>
      </c>
      <c r="P520" s="823" t="n">
        <f aca="false">P519+O520</f>
        <v>25981.7959133466</v>
      </c>
      <c r="Q520" s="606" t="n">
        <f aca="false">Q519+1</f>
        <v>305</v>
      </c>
      <c r="R520" s="824" t="n">
        <f aca="false">R519-1</f>
        <v>-305</v>
      </c>
      <c r="S520" s="5"/>
      <c r="T520" s="5"/>
      <c r="U520" s="5"/>
      <c r="V520" s="10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02"/>
      <c r="AU520" s="502"/>
      <c r="AV520" s="606"/>
      <c r="AW520" s="502"/>
      <c r="AX520" s="502"/>
      <c r="AY520" s="502"/>
      <c r="AZ520" s="502"/>
      <c r="BA520" s="502"/>
      <c r="BB520" s="502"/>
      <c r="BC520" s="502"/>
      <c r="BD520" s="502"/>
      <c r="BE520" s="502"/>
      <c r="BF520" s="502"/>
      <c r="BG520" s="502"/>
      <c r="BH520" s="502"/>
      <c r="BI520" s="502"/>
      <c r="BJ520" s="502"/>
      <c r="BK520" s="502"/>
      <c r="BL520" s="502"/>
      <c r="BM520" s="502"/>
      <c r="BN520" s="502"/>
      <c r="BO520" s="502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</row>
    <row r="521" s="504" customFormat="true" ht="12.75" hidden="true" customHeight="true" outlineLevel="0" collapsed="false">
      <c r="A521" s="5"/>
      <c r="B521" s="813" t="n">
        <f aca="false">B520+1</f>
        <v>306</v>
      </c>
      <c r="C521" s="814" t="n">
        <f aca="false">C520+D521</f>
        <v>31243.6931164754</v>
      </c>
      <c r="D521" s="815" t="n">
        <f aca="false">E521*$E$205*M521</f>
        <v>127.55474091089</v>
      </c>
      <c r="E521" s="601" t="n">
        <f aca="false">E520+$C$204</f>
        <v>8.08946860165463</v>
      </c>
      <c r="F521" s="816" t="n">
        <f aca="false">F520+1</f>
        <v>306</v>
      </c>
      <c r="G521" s="775" t="n">
        <f aca="false">C521</f>
        <v>31243.6931164754</v>
      </c>
      <c r="H521" s="817" t="n">
        <f aca="false">1000*(E521-E520)</f>
        <v>9.99999999999979</v>
      </c>
      <c r="I521" s="5"/>
      <c r="J521" s="818" t="n">
        <f aca="false">1000*(E521-$E$215)/(B521-$B$215)</f>
        <v>15.143365452849</v>
      </c>
      <c r="K521" s="732" t="n">
        <f aca="false">AVERAGE($E$216:E521)</f>
        <v>6.53963200034747</v>
      </c>
      <c r="L521" s="819" t="n">
        <f aca="false">L520+1</f>
        <v>306</v>
      </c>
      <c r="M521" s="820" t="n">
        <f aca="false">IF(B521&lt;$E$104,$E$105,$E$106)</f>
        <v>3</v>
      </c>
      <c r="N521" s="821" t="n">
        <f aca="false">IF(B521&lt;$E$104,$E$105,$E$111)</f>
        <v>2.5</v>
      </c>
      <c r="O521" s="822" t="n">
        <f aca="false">E521*$E$205*N521</f>
        <v>106.295617425742</v>
      </c>
      <c r="P521" s="823" t="n">
        <f aca="false">P520+O521</f>
        <v>26088.0915307723</v>
      </c>
      <c r="Q521" s="606" t="n">
        <f aca="false">Q520+1</f>
        <v>306</v>
      </c>
      <c r="R521" s="824" t="n">
        <f aca="false">R520-1</f>
        <v>-306</v>
      </c>
      <c r="S521" s="5"/>
      <c r="T521" s="5"/>
      <c r="U521" s="5"/>
      <c r="V521" s="10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02"/>
      <c r="AU521" s="502"/>
      <c r="AV521" s="606"/>
      <c r="AW521" s="502"/>
      <c r="AX521" s="502"/>
      <c r="AY521" s="502"/>
      <c r="AZ521" s="502"/>
      <c r="BA521" s="502"/>
      <c r="BB521" s="502"/>
      <c r="BC521" s="502"/>
      <c r="BD521" s="502"/>
      <c r="BE521" s="502"/>
      <c r="BF521" s="502"/>
      <c r="BG521" s="502"/>
      <c r="BH521" s="502"/>
      <c r="BI521" s="502"/>
      <c r="BJ521" s="502"/>
      <c r="BK521" s="502"/>
      <c r="BL521" s="502"/>
      <c r="BM521" s="502"/>
      <c r="BN521" s="502"/>
      <c r="BO521" s="502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</row>
    <row r="522" s="504" customFormat="true" ht="12.75" hidden="true" customHeight="true" outlineLevel="0" collapsed="false">
      <c r="A522" s="5"/>
      <c r="B522" s="813" t="n">
        <f aca="false">B521+1</f>
        <v>307</v>
      </c>
      <c r="C522" s="814" t="n">
        <f aca="false">C521+D522</f>
        <v>31371.4055373863</v>
      </c>
      <c r="D522" s="815" t="n">
        <f aca="false">E522*$E$205*M522</f>
        <v>127.71242091089</v>
      </c>
      <c r="E522" s="601" t="n">
        <f aca="false">E521+$C$204</f>
        <v>8.09946860165463</v>
      </c>
      <c r="F522" s="816" t="n">
        <f aca="false">F521+1</f>
        <v>307</v>
      </c>
      <c r="G522" s="775" t="n">
        <f aca="false">C522</f>
        <v>31371.4055373863</v>
      </c>
      <c r="H522" s="817" t="n">
        <f aca="false">1000*(E522-E521)</f>
        <v>9.99999999999979</v>
      </c>
      <c r="I522" s="5"/>
      <c r="J522" s="818" t="n">
        <f aca="false">1000*(E522-$E$215)/(B522-$B$215)</f>
        <v>15.1266118194521</v>
      </c>
      <c r="K522" s="732" t="n">
        <f aca="false">AVERAGE($E$216:E522)</f>
        <v>6.54471290132892</v>
      </c>
      <c r="L522" s="819" t="n">
        <f aca="false">L521+1</f>
        <v>307</v>
      </c>
      <c r="M522" s="820" t="n">
        <f aca="false">IF(B522&lt;$E$104,$E$105,$E$106)</f>
        <v>3</v>
      </c>
      <c r="N522" s="821" t="n">
        <f aca="false">IF(B522&lt;$E$104,$E$105,$E$111)</f>
        <v>2.5</v>
      </c>
      <c r="O522" s="822" t="n">
        <f aca="false">E522*$E$205*N522</f>
        <v>106.427017425742</v>
      </c>
      <c r="P522" s="823" t="n">
        <f aca="false">P521+O522</f>
        <v>26194.5185481981</v>
      </c>
      <c r="Q522" s="606" t="n">
        <f aca="false">Q521+1</f>
        <v>307</v>
      </c>
      <c r="R522" s="824" t="n">
        <f aca="false">R521-1</f>
        <v>-307</v>
      </c>
      <c r="S522" s="5"/>
      <c r="T522" s="5"/>
      <c r="U522" s="5"/>
      <c r="V522" s="10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02"/>
      <c r="AU522" s="502"/>
      <c r="AV522" s="606"/>
      <c r="AW522" s="502"/>
      <c r="AX522" s="502"/>
      <c r="AY522" s="502"/>
      <c r="AZ522" s="502"/>
      <c r="BA522" s="502"/>
      <c r="BB522" s="502"/>
      <c r="BC522" s="502"/>
      <c r="BD522" s="502"/>
      <c r="BE522" s="502"/>
      <c r="BF522" s="502"/>
      <c r="BG522" s="502"/>
      <c r="BH522" s="502"/>
      <c r="BI522" s="502"/>
      <c r="BJ522" s="502"/>
      <c r="BK522" s="502"/>
      <c r="BL522" s="502"/>
      <c r="BM522" s="502"/>
      <c r="BN522" s="502"/>
      <c r="BO522" s="502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</row>
    <row r="523" s="504" customFormat="true" ht="12.75" hidden="true" customHeight="true" outlineLevel="0" collapsed="false">
      <c r="A523" s="5"/>
      <c r="B523" s="813" t="n">
        <f aca="false">B522+1</f>
        <v>308</v>
      </c>
      <c r="C523" s="814" t="n">
        <f aca="false">C522+D523</f>
        <v>31499.2756382972</v>
      </c>
      <c r="D523" s="815" t="n">
        <f aca="false">E523*$E$205*M523</f>
        <v>127.87010091089</v>
      </c>
      <c r="E523" s="601" t="n">
        <f aca="false">E522+$C$204</f>
        <v>8.10946860165462</v>
      </c>
      <c r="F523" s="816" t="n">
        <f aca="false">F522+1</f>
        <v>308</v>
      </c>
      <c r="G523" s="775" t="n">
        <f aca="false">C523</f>
        <v>31499.2756382972</v>
      </c>
      <c r="H523" s="817" t="n">
        <f aca="false">1000*(E523-E522)</f>
        <v>9.99999999999979</v>
      </c>
      <c r="I523" s="5"/>
      <c r="J523" s="818" t="n">
        <f aca="false">1000*(E523-$E$215)/(B523-$B$215)</f>
        <v>15.1099669758824</v>
      </c>
      <c r="K523" s="732" t="n">
        <f aca="false">AVERAGE($E$216:E523)</f>
        <v>6.54979327697933</v>
      </c>
      <c r="L523" s="819" t="n">
        <f aca="false">L522+1</f>
        <v>308</v>
      </c>
      <c r="M523" s="820" t="n">
        <f aca="false">IF(B523&lt;$E$104,$E$105,$E$106)</f>
        <v>3</v>
      </c>
      <c r="N523" s="821" t="n">
        <f aca="false">IF(B523&lt;$E$104,$E$105,$E$111)</f>
        <v>2.5</v>
      </c>
      <c r="O523" s="822" t="n">
        <f aca="false">E523*$E$205*N523</f>
        <v>106.558417425742</v>
      </c>
      <c r="P523" s="823" t="n">
        <f aca="false">P522+O523</f>
        <v>26301.0769656238</v>
      </c>
      <c r="Q523" s="606" t="n">
        <f aca="false">Q522+1</f>
        <v>308</v>
      </c>
      <c r="R523" s="824" t="n">
        <f aca="false">R522-1</f>
        <v>-308</v>
      </c>
      <c r="S523" s="5"/>
      <c r="T523" s="5"/>
      <c r="U523" s="5"/>
      <c r="V523" s="10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02"/>
      <c r="AU523" s="502"/>
      <c r="AV523" s="606"/>
      <c r="AW523" s="502"/>
      <c r="AX523" s="502"/>
      <c r="AY523" s="502"/>
      <c r="AZ523" s="502"/>
      <c r="BA523" s="502"/>
      <c r="BB523" s="502"/>
      <c r="BC523" s="502"/>
      <c r="BD523" s="502"/>
      <c r="BE523" s="502"/>
      <c r="BF523" s="502"/>
      <c r="BG523" s="502"/>
      <c r="BH523" s="502"/>
      <c r="BI523" s="502"/>
      <c r="BJ523" s="502"/>
      <c r="BK523" s="502"/>
      <c r="BL523" s="502"/>
      <c r="BM523" s="502"/>
      <c r="BN523" s="502"/>
      <c r="BO523" s="502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</row>
    <row r="524" s="504" customFormat="true" ht="12.75" hidden="true" customHeight="true" outlineLevel="0" collapsed="false">
      <c r="A524" s="5"/>
      <c r="B524" s="813" t="n">
        <f aca="false">B523+1</f>
        <v>309</v>
      </c>
      <c r="C524" s="814" t="n">
        <f aca="false">C523+D524</f>
        <v>31627.3034192081</v>
      </c>
      <c r="D524" s="815" t="n">
        <f aca="false">E524*$E$205*M524</f>
        <v>128.02778091089</v>
      </c>
      <c r="E524" s="601" t="n">
        <f aca="false">E523+$C$204</f>
        <v>8.11946860165462</v>
      </c>
      <c r="F524" s="816" t="n">
        <f aca="false">F523+1</f>
        <v>309</v>
      </c>
      <c r="G524" s="775" t="n">
        <f aca="false">C524</f>
        <v>31627.3034192081</v>
      </c>
      <c r="H524" s="817" t="n">
        <f aca="false">1000*(E524-E523)</f>
        <v>9.99999999999979</v>
      </c>
      <c r="I524" s="5"/>
      <c r="J524" s="818" t="n">
        <f aca="false">1000*(E524-$E$215)/(B524-$B$215)</f>
        <v>15.0934298659281</v>
      </c>
      <c r="K524" s="732" t="n">
        <f aca="false">AVERAGE($E$216:E524)</f>
        <v>6.55487313239899</v>
      </c>
      <c r="L524" s="819" t="n">
        <f aca="false">L523+1</f>
        <v>309</v>
      </c>
      <c r="M524" s="820" t="n">
        <f aca="false">IF(B524&lt;$E$104,$E$105,$E$106)</f>
        <v>3</v>
      </c>
      <c r="N524" s="821" t="n">
        <f aca="false">IF(B524&lt;$E$104,$E$105,$E$111)</f>
        <v>2.5</v>
      </c>
      <c r="O524" s="822" t="n">
        <f aca="false">E524*$E$205*N524</f>
        <v>106.689817425742</v>
      </c>
      <c r="P524" s="823" t="n">
        <f aca="false">P523+O524</f>
        <v>26407.7667830496</v>
      </c>
      <c r="Q524" s="606" t="n">
        <f aca="false">Q523+1</f>
        <v>309</v>
      </c>
      <c r="R524" s="824" t="n">
        <f aca="false">R523-1</f>
        <v>-309</v>
      </c>
      <c r="S524" s="5"/>
      <c r="T524" s="5"/>
      <c r="U524" s="5"/>
      <c r="V524" s="10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02"/>
      <c r="AU524" s="502"/>
      <c r="AV524" s="606"/>
      <c r="AW524" s="502"/>
      <c r="AX524" s="502"/>
      <c r="AY524" s="502"/>
      <c r="AZ524" s="502"/>
      <c r="BA524" s="502"/>
      <c r="BB524" s="502"/>
      <c r="BC524" s="502"/>
      <c r="BD524" s="502"/>
      <c r="BE524" s="502"/>
      <c r="BF524" s="502"/>
      <c r="BG524" s="502"/>
      <c r="BH524" s="502"/>
      <c r="BI524" s="502"/>
      <c r="BJ524" s="502"/>
      <c r="BK524" s="502"/>
      <c r="BL524" s="502"/>
      <c r="BM524" s="502"/>
      <c r="BN524" s="502"/>
      <c r="BO524" s="502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</row>
    <row r="525" s="504" customFormat="true" ht="12.75" hidden="true" customHeight="true" outlineLevel="0" collapsed="false">
      <c r="A525" s="5"/>
      <c r="B525" s="813" t="n">
        <f aca="false">B524+1</f>
        <v>310</v>
      </c>
      <c r="C525" s="814" t="n">
        <f aca="false">C524+D525</f>
        <v>31755.4888801189</v>
      </c>
      <c r="D525" s="815" t="n">
        <f aca="false">E525*$E$205*M525</f>
        <v>128.18546091089</v>
      </c>
      <c r="E525" s="601" t="n">
        <f aca="false">E524+$C$204</f>
        <v>8.12946860165462</v>
      </c>
      <c r="F525" s="816" t="n">
        <f aca="false">F524+1</f>
        <v>310</v>
      </c>
      <c r="G525" s="775" t="n">
        <f aca="false">C525</f>
        <v>31755.4888801189</v>
      </c>
      <c r="H525" s="817" t="n">
        <f aca="false">1000*(E525-E524)</f>
        <v>9.99999999999979</v>
      </c>
      <c r="I525" s="5"/>
      <c r="J525" s="818" t="n">
        <f aca="false">1000*(E525-$E$215)/(B525-$B$215)</f>
        <v>15.0769994470057</v>
      </c>
      <c r="K525" s="732" t="n">
        <f aca="false">AVERAGE($E$216:E525)</f>
        <v>6.5599524726224</v>
      </c>
      <c r="L525" s="819" t="n">
        <f aca="false">L524+1</f>
        <v>310</v>
      </c>
      <c r="M525" s="820" t="n">
        <f aca="false">IF(B525&lt;$E$104,$E$105,$E$106)</f>
        <v>3</v>
      </c>
      <c r="N525" s="821" t="n">
        <f aca="false">IF(B525&lt;$E$104,$E$105,$E$111)</f>
        <v>2.5</v>
      </c>
      <c r="O525" s="822" t="n">
        <f aca="false">E525*$E$205*N525</f>
        <v>106.821217425742</v>
      </c>
      <c r="P525" s="823" t="n">
        <f aca="false">P524+O525</f>
        <v>26514.5880004753</v>
      </c>
      <c r="Q525" s="606" t="n">
        <f aca="false">Q524+1</f>
        <v>310</v>
      </c>
      <c r="R525" s="824" t="n">
        <f aca="false">R524-1</f>
        <v>-310</v>
      </c>
      <c r="S525" s="5"/>
      <c r="T525" s="5"/>
      <c r="U525" s="5"/>
      <c r="V525" s="10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02"/>
      <c r="AU525" s="502"/>
      <c r="AV525" s="606"/>
      <c r="AW525" s="502"/>
      <c r="AX525" s="502"/>
      <c r="AY525" s="502"/>
      <c r="AZ525" s="502"/>
      <c r="BA525" s="502"/>
      <c r="BB525" s="502"/>
      <c r="BC525" s="502"/>
      <c r="BD525" s="502"/>
      <c r="BE525" s="502"/>
      <c r="BF525" s="502"/>
      <c r="BG525" s="502"/>
      <c r="BH525" s="502"/>
      <c r="BI525" s="502"/>
      <c r="BJ525" s="502"/>
      <c r="BK525" s="502"/>
      <c r="BL525" s="502"/>
      <c r="BM525" s="502"/>
      <c r="BN525" s="502"/>
      <c r="BO525" s="502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</row>
    <row r="526" s="504" customFormat="true" ht="12.75" hidden="true" customHeight="true" outlineLevel="0" collapsed="false">
      <c r="A526" s="5"/>
      <c r="B526" s="813" t="n">
        <f aca="false">B525+1</f>
        <v>311</v>
      </c>
      <c r="C526" s="814" t="n">
        <f aca="false">C525+D526</f>
        <v>31883.8320210298</v>
      </c>
      <c r="D526" s="815" t="n">
        <f aca="false">E526*$E$205*M526</f>
        <v>128.34314091089</v>
      </c>
      <c r="E526" s="601" t="n">
        <f aca="false">E525+$C$204</f>
        <v>8.13946860165462</v>
      </c>
      <c r="F526" s="816" t="n">
        <f aca="false">F525+1</f>
        <v>311</v>
      </c>
      <c r="G526" s="775" t="n">
        <f aca="false">C526</f>
        <v>31883.8320210298</v>
      </c>
      <c r="H526" s="817" t="n">
        <f aca="false">1000*(E526-E525)</f>
        <v>9.99999999999979</v>
      </c>
      <c r="I526" s="5"/>
      <c r="J526" s="818" t="n">
        <f aca="false">1000*(E526-$E$215)/(B526-$B$215)</f>
        <v>15.0606746899414</v>
      </c>
      <c r="K526" s="732" t="n">
        <f aca="false">AVERAGE($E$216:E526)</f>
        <v>6.56503130261929</v>
      </c>
      <c r="L526" s="819" t="n">
        <f aca="false">L525+1</f>
        <v>311</v>
      </c>
      <c r="M526" s="820" t="n">
        <f aca="false">IF(B526&lt;$E$104,$E$105,$E$106)</f>
        <v>3</v>
      </c>
      <c r="N526" s="821" t="n">
        <f aca="false">IF(B526&lt;$E$104,$E$105,$E$111)</f>
        <v>2.5</v>
      </c>
      <c r="O526" s="822" t="n">
        <f aca="false">E526*$E$205*N526</f>
        <v>106.952617425742</v>
      </c>
      <c r="P526" s="823" t="n">
        <f aca="false">P525+O526</f>
        <v>26621.5406179011</v>
      </c>
      <c r="Q526" s="606" t="n">
        <f aca="false">Q525+1</f>
        <v>311</v>
      </c>
      <c r="R526" s="824" t="n">
        <f aca="false">R525-1</f>
        <v>-311</v>
      </c>
      <c r="S526" s="5"/>
      <c r="T526" s="5"/>
      <c r="U526" s="5"/>
      <c r="V526" s="10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02"/>
      <c r="AU526" s="502"/>
      <c r="AV526" s="606"/>
      <c r="AW526" s="502"/>
      <c r="AX526" s="502"/>
      <c r="AY526" s="502"/>
      <c r="AZ526" s="502"/>
      <c r="BA526" s="502"/>
      <c r="BB526" s="502"/>
      <c r="BC526" s="502"/>
      <c r="BD526" s="502"/>
      <c r="BE526" s="502"/>
      <c r="BF526" s="502"/>
      <c r="BG526" s="502"/>
      <c r="BH526" s="502"/>
      <c r="BI526" s="502"/>
      <c r="BJ526" s="502"/>
      <c r="BK526" s="502"/>
      <c r="BL526" s="502"/>
      <c r="BM526" s="502"/>
      <c r="BN526" s="502"/>
      <c r="BO526" s="502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</row>
    <row r="527" s="504" customFormat="true" ht="12.75" hidden="true" customHeight="true" outlineLevel="0" collapsed="false">
      <c r="A527" s="5"/>
      <c r="B527" s="813" t="n">
        <f aca="false">B526+1</f>
        <v>312</v>
      </c>
      <c r="C527" s="814" t="n">
        <f aca="false">C526+D527</f>
        <v>32012.3328419407</v>
      </c>
      <c r="D527" s="815" t="n">
        <f aca="false">E527*$E$205*M527</f>
        <v>128.50082091089</v>
      </c>
      <c r="E527" s="601" t="n">
        <f aca="false">E526+$C$204</f>
        <v>8.14946860165462</v>
      </c>
      <c r="F527" s="816" t="n">
        <f aca="false">F526+1</f>
        <v>312</v>
      </c>
      <c r="G527" s="775" t="n">
        <f aca="false">C527</f>
        <v>32012.3328419407</v>
      </c>
      <c r="H527" s="817" t="n">
        <f aca="false">1000*(E527-E526)</f>
        <v>9.99999999999979</v>
      </c>
      <c r="I527" s="5"/>
      <c r="J527" s="818" t="n">
        <f aca="false">1000*(E527-$E$215)/(B527-$B$215)</f>
        <v>15.0444545787557</v>
      </c>
      <c r="K527" s="732" t="n">
        <f aca="false">AVERAGE($E$216:E527)</f>
        <v>6.57010962729568</v>
      </c>
      <c r="L527" s="819" t="n">
        <f aca="false">L526+1</f>
        <v>312</v>
      </c>
      <c r="M527" s="820" t="n">
        <f aca="false">IF(B527&lt;$E$104,$E$105,$E$106)</f>
        <v>3</v>
      </c>
      <c r="N527" s="821" t="n">
        <f aca="false">IF(B527&lt;$E$104,$E$105,$E$111)</f>
        <v>2.5</v>
      </c>
      <c r="O527" s="822" t="n">
        <f aca="false">E527*$E$205*N527</f>
        <v>107.084017425742</v>
      </c>
      <c r="P527" s="823" t="n">
        <f aca="false">P526+O527</f>
        <v>26728.6246353268</v>
      </c>
      <c r="Q527" s="606" t="n">
        <f aca="false">Q526+1</f>
        <v>312</v>
      </c>
      <c r="R527" s="824" t="n">
        <f aca="false">R526-1</f>
        <v>-312</v>
      </c>
      <c r="S527" s="5"/>
      <c r="T527" s="5"/>
      <c r="U527" s="5"/>
      <c r="V527" s="10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02"/>
      <c r="AU527" s="502"/>
      <c r="AV527" s="606"/>
      <c r="AW527" s="502"/>
      <c r="AX527" s="502"/>
      <c r="AY527" s="502"/>
      <c r="AZ527" s="502"/>
      <c r="BA527" s="502"/>
      <c r="BB527" s="502"/>
      <c r="BC527" s="502"/>
      <c r="BD527" s="502"/>
      <c r="BE527" s="502"/>
      <c r="BF527" s="502"/>
      <c r="BG527" s="502"/>
      <c r="BH527" s="502"/>
      <c r="BI527" s="502"/>
      <c r="BJ527" s="502"/>
      <c r="BK527" s="502"/>
      <c r="BL527" s="502"/>
      <c r="BM527" s="502"/>
      <c r="BN527" s="502"/>
      <c r="BO527" s="502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</row>
    <row r="528" s="504" customFormat="true" ht="12.75" hidden="true" customHeight="true" outlineLevel="0" collapsed="false">
      <c r="A528" s="5"/>
      <c r="B528" s="813" t="n">
        <f aca="false">B527+1</f>
        <v>313</v>
      </c>
      <c r="C528" s="814" t="n">
        <f aca="false">C527+D528</f>
        <v>32140.9913428516</v>
      </c>
      <c r="D528" s="815" t="n">
        <f aca="false">E528*$E$205*M528</f>
        <v>128.65850091089</v>
      </c>
      <c r="E528" s="601" t="n">
        <f aca="false">E527+$C$204</f>
        <v>8.15946860165462</v>
      </c>
      <c r="F528" s="816" t="n">
        <f aca="false">F527+1</f>
        <v>313</v>
      </c>
      <c r="G528" s="775" t="n">
        <f aca="false">C528</f>
        <v>32140.9913428516</v>
      </c>
      <c r="H528" s="817" t="n">
        <f aca="false">1000*(E528-E527)</f>
        <v>9.99999999999979</v>
      </c>
      <c r="I528" s="5"/>
      <c r="J528" s="818" t="n">
        <f aca="false">1000*(E528-$E$215)/(B528-$B$215)</f>
        <v>15.028338110453</v>
      </c>
      <c r="K528" s="732" t="n">
        <f aca="false">AVERAGE($E$216:E528)</f>
        <v>6.57518745149491</v>
      </c>
      <c r="L528" s="819" t="n">
        <f aca="false">L527+1</f>
        <v>313</v>
      </c>
      <c r="M528" s="820" t="n">
        <f aca="false">IF(B528&lt;$E$104,$E$105,$E$106)</f>
        <v>3</v>
      </c>
      <c r="N528" s="821" t="n">
        <f aca="false">IF(B528&lt;$E$104,$E$105,$E$111)</f>
        <v>2.5</v>
      </c>
      <c r="O528" s="822" t="n">
        <f aca="false">E528*$E$205*N528</f>
        <v>107.215417425742</v>
      </c>
      <c r="P528" s="823" t="n">
        <f aca="false">P527+O528</f>
        <v>26835.8400527525</v>
      </c>
      <c r="Q528" s="606" t="n">
        <f aca="false">Q527+1</f>
        <v>313</v>
      </c>
      <c r="R528" s="824" t="n">
        <f aca="false">R527-1</f>
        <v>-313</v>
      </c>
      <c r="S528" s="5"/>
      <c r="T528" s="5"/>
      <c r="U528" s="5"/>
      <c r="V528" s="10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02"/>
      <c r="AU528" s="502"/>
      <c r="AV528" s="606"/>
      <c r="AW528" s="502"/>
      <c r="AX528" s="502"/>
      <c r="AY528" s="502"/>
      <c r="AZ528" s="502"/>
      <c r="BA528" s="502"/>
      <c r="BB528" s="502"/>
      <c r="BC528" s="502"/>
      <c r="BD528" s="502"/>
      <c r="BE528" s="502"/>
      <c r="BF528" s="502"/>
      <c r="BG528" s="502"/>
      <c r="BH528" s="502"/>
      <c r="BI528" s="502"/>
      <c r="BJ528" s="502"/>
      <c r="BK528" s="502"/>
      <c r="BL528" s="502"/>
      <c r="BM528" s="502"/>
      <c r="BN528" s="502"/>
      <c r="BO528" s="502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</row>
    <row r="529" s="504" customFormat="true" ht="12.75" hidden="true" customHeight="true" outlineLevel="0" collapsed="false">
      <c r="A529" s="5"/>
      <c r="B529" s="813" t="n">
        <f aca="false">B528+1</f>
        <v>314</v>
      </c>
      <c r="C529" s="814" t="n">
        <f aca="false">C528+D529</f>
        <v>32269.8075237625</v>
      </c>
      <c r="D529" s="815" t="n">
        <f aca="false">E529*$E$205*M529</f>
        <v>128.81618091089</v>
      </c>
      <c r="E529" s="601" t="n">
        <f aca="false">E528+$C$204</f>
        <v>8.16946860165462</v>
      </c>
      <c r="F529" s="816" t="n">
        <f aca="false">F528+1</f>
        <v>314</v>
      </c>
      <c r="G529" s="775" t="n">
        <f aca="false">C529</f>
        <v>32269.8075237625</v>
      </c>
      <c r="H529" s="817" t="n">
        <f aca="false">1000*(E529-E528)</f>
        <v>9.99999999999979</v>
      </c>
      <c r="I529" s="5"/>
      <c r="J529" s="818" t="n">
        <f aca="false">1000*(E529-$E$215)/(B529-$B$215)</f>
        <v>15.0123242948146</v>
      </c>
      <c r="K529" s="732" t="n">
        <f aca="false">AVERAGE($E$216:E529)</f>
        <v>6.58026477999861</v>
      </c>
      <c r="L529" s="819" t="n">
        <f aca="false">L528+1</f>
        <v>314</v>
      </c>
      <c r="M529" s="820" t="n">
        <f aca="false">IF(B529&lt;$E$104,$E$105,$E$106)</f>
        <v>3</v>
      </c>
      <c r="N529" s="821" t="n">
        <f aca="false">IF(B529&lt;$E$104,$E$105,$E$111)</f>
        <v>2.5</v>
      </c>
      <c r="O529" s="822" t="n">
        <f aca="false">E529*$E$205*N529</f>
        <v>107.346817425742</v>
      </c>
      <c r="P529" s="823" t="n">
        <f aca="false">P528+O529</f>
        <v>26943.1868701783</v>
      </c>
      <c r="Q529" s="606" t="n">
        <f aca="false">Q528+1</f>
        <v>314</v>
      </c>
      <c r="R529" s="824" t="n">
        <f aca="false">R528-1</f>
        <v>-314</v>
      </c>
      <c r="S529" s="5"/>
      <c r="T529" s="5"/>
      <c r="U529" s="5"/>
      <c r="V529" s="10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02"/>
      <c r="AU529" s="502"/>
      <c r="AV529" s="606"/>
      <c r="AW529" s="502"/>
      <c r="AX529" s="502"/>
      <c r="AY529" s="502"/>
      <c r="AZ529" s="502"/>
      <c r="BA529" s="502"/>
      <c r="BB529" s="502"/>
      <c r="BC529" s="502"/>
      <c r="BD529" s="502"/>
      <c r="BE529" s="502"/>
      <c r="BF529" s="502"/>
      <c r="BG529" s="502"/>
      <c r="BH529" s="502"/>
      <c r="BI529" s="502"/>
      <c r="BJ529" s="502"/>
      <c r="BK529" s="502"/>
      <c r="BL529" s="502"/>
      <c r="BM529" s="502"/>
      <c r="BN529" s="502"/>
      <c r="BO529" s="502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</row>
    <row r="530" s="504" customFormat="true" ht="12.75" hidden="true" customHeight="true" outlineLevel="0" collapsed="false">
      <c r="A530" s="5"/>
      <c r="B530" s="813" t="n">
        <f aca="false">B529+1</f>
        <v>315</v>
      </c>
      <c r="C530" s="814" t="n">
        <f aca="false">C529+D530</f>
        <v>32398.7813846734</v>
      </c>
      <c r="D530" s="815" t="n">
        <f aca="false">E530*$E$205*M530</f>
        <v>128.97386091089</v>
      </c>
      <c r="E530" s="601" t="n">
        <f aca="false">E529+$C$204</f>
        <v>8.17946860165462</v>
      </c>
      <c r="F530" s="816" t="n">
        <f aca="false">F529+1</f>
        <v>315</v>
      </c>
      <c r="G530" s="775" t="n">
        <f aca="false">C530</f>
        <v>32398.7813846734</v>
      </c>
      <c r="H530" s="817" t="n">
        <f aca="false">1000*(E530-E529)</f>
        <v>9.99999999999979</v>
      </c>
      <c r="I530" s="5"/>
      <c r="J530" s="818" t="n">
        <f aca="false">1000*(E530-$E$215)/(B530-$B$215)</f>
        <v>14.9964121541961</v>
      </c>
      <c r="K530" s="732" t="n">
        <f aca="false">AVERAGE($E$216:E530)</f>
        <v>6.58534161752767</v>
      </c>
      <c r="L530" s="819" t="n">
        <f aca="false">L529+1</f>
        <v>315</v>
      </c>
      <c r="M530" s="820" t="n">
        <f aca="false">IF(B530&lt;$E$104,$E$105,$E$106)</f>
        <v>3</v>
      </c>
      <c r="N530" s="821" t="n">
        <f aca="false">IF(B530&lt;$E$104,$E$105,$E$111)</f>
        <v>2.5</v>
      </c>
      <c r="O530" s="822" t="n">
        <f aca="false">E530*$E$205*N530</f>
        <v>107.478217425742</v>
      </c>
      <c r="P530" s="823" t="n">
        <f aca="false">P529+O530</f>
        <v>27050.665087604</v>
      </c>
      <c r="Q530" s="606" t="n">
        <f aca="false">Q529+1</f>
        <v>315</v>
      </c>
      <c r="R530" s="824" t="n">
        <f aca="false">R529-1</f>
        <v>-315</v>
      </c>
      <c r="S530" s="5"/>
      <c r="T530" s="5"/>
      <c r="U530" s="5"/>
      <c r="V530" s="10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02"/>
      <c r="AU530" s="502"/>
      <c r="AV530" s="606"/>
      <c r="AW530" s="502"/>
      <c r="AX530" s="502"/>
      <c r="AY530" s="502"/>
      <c r="AZ530" s="502"/>
      <c r="BA530" s="502"/>
      <c r="BB530" s="502"/>
      <c r="BC530" s="502"/>
      <c r="BD530" s="502"/>
      <c r="BE530" s="502"/>
      <c r="BF530" s="502"/>
      <c r="BG530" s="502"/>
      <c r="BH530" s="502"/>
      <c r="BI530" s="502"/>
      <c r="BJ530" s="502"/>
      <c r="BK530" s="502"/>
      <c r="BL530" s="502"/>
      <c r="BM530" s="502"/>
      <c r="BN530" s="502"/>
      <c r="BO530" s="502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</row>
    <row r="531" s="504" customFormat="true" ht="12.75" hidden="true" customHeight="true" outlineLevel="0" collapsed="false">
      <c r="A531" s="5"/>
      <c r="B531" s="813" t="n">
        <f aca="false">B530+1</f>
        <v>316</v>
      </c>
      <c r="C531" s="814" t="n">
        <f aca="false">C530+D531</f>
        <v>32527.9129255843</v>
      </c>
      <c r="D531" s="815" t="n">
        <f aca="false">E531*$E$205*M531</f>
        <v>129.13154091089</v>
      </c>
      <c r="E531" s="601" t="n">
        <f aca="false">E530+$C$204</f>
        <v>8.18946860165462</v>
      </c>
      <c r="F531" s="816" t="n">
        <f aca="false">F530+1</f>
        <v>316</v>
      </c>
      <c r="G531" s="775" t="n">
        <f aca="false">C531</f>
        <v>32527.9129255843</v>
      </c>
      <c r="H531" s="817" t="n">
        <f aca="false">1000*(E531-E530)</f>
        <v>9.99999999999979</v>
      </c>
      <c r="I531" s="5"/>
      <c r="J531" s="818" t="n">
        <f aca="false">1000*(E531-$E$215)/(B531-$B$215)</f>
        <v>14.9806007233284</v>
      </c>
      <c r="K531" s="732" t="n">
        <f aca="false">AVERAGE($E$216:E531)</f>
        <v>6.59041796874326</v>
      </c>
      <c r="L531" s="819" t="n">
        <f aca="false">L530+1</f>
        <v>316</v>
      </c>
      <c r="M531" s="820" t="n">
        <f aca="false">IF(B531&lt;$E$104,$E$105,$E$106)</f>
        <v>3</v>
      </c>
      <c r="N531" s="821" t="n">
        <f aca="false">IF(B531&lt;$E$104,$E$105,$E$111)</f>
        <v>2.5</v>
      </c>
      <c r="O531" s="822" t="n">
        <f aca="false">E531*$E$205*N531</f>
        <v>107.609617425742</v>
      </c>
      <c r="P531" s="823" t="n">
        <f aca="false">P530+O531</f>
        <v>27158.2747050298</v>
      </c>
      <c r="Q531" s="606" t="n">
        <f aca="false">Q530+1</f>
        <v>316</v>
      </c>
      <c r="R531" s="824" t="n">
        <f aca="false">R530-1</f>
        <v>-316</v>
      </c>
      <c r="S531" s="5"/>
      <c r="T531" s="5"/>
      <c r="U531" s="5"/>
      <c r="V531" s="10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02"/>
      <c r="AU531" s="502"/>
      <c r="AV531" s="606"/>
      <c r="AW531" s="502"/>
      <c r="AX531" s="502"/>
      <c r="AY531" s="502"/>
      <c r="AZ531" s="502"/>
      <c r="BA531" s="502"/>
      <c r="BB531" s="502"/>
      <c r="BC531" s="502"/>
      <c r="BD531" s="502"/>
      <c r="BE531" s="502"/>
      <c r="BF531" s="502"/>
      <c r="BG531" s="502"/>
      <c r="BH531" s="502"/>
      <c r="BI531" s="502"/>
      <c r="BJ531" s="502"/>
      <c r="BK531" s="502"/>
      <c r="BL531" s="502"/>
      <c r="BM531" s="502"/>
      <c r="BN531" s="502"/>
      <c r="BO531" s="502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</row>
    <row r="532" s="504" customFormat="true" ht="12.75" hidden="true" customHeight="true" outlineLevel="0" collapsed="false">
      <c r="A532" s="5"/>
      <c r="B532" s="813" t="n">
        <f aca="false">B531+1</f>
        <v>317</v>
      </c>
      <c r="C532" s="814" t="n">
        <f aca="false">C531+D532</f>
        <v>32657.2021464952</v>
      </c>
      <c r="D532" s="815" t="n">
        <f aca="false">E532*$E$205*M532</f>
        <v>129.28922091089</v>
      </c>
      <c r="E532" s="601" t="n">
        <f aca="false">E531+$C$204</f>
        <v>8.19946860165462</v>
      </c>
      <c r="F532" s="816" t="n">
        <f aca="false">F531+1</f>
        <v>317</v>
      </c>
      <c r="G532" s="775" t="n">
        <f aca="false">C532</f>
        <v>32657.2021464952</v>
      </c>
      <c r="H532" s="817" t="n">
        <f aca="false">1000*(E532-E531)</f>
        <v>9.99999999999979</v>
      </c>
      <c r="I532" s="5"/>
      <c r="J532" s="818" t="n">
        <f aca="false">1000*(E532-$E$215)/(B532-$B$215)</f>
        <v>14.9648890491223</v>
      </c>
      <c r="K532" s="732" t="n">
        <f aca="false">AVERAGE($E$216:E532)</f>
        <v>6.59549383824772</v>
      </c>
      <c r="L532" s="819" t="n">
        <f aca="false">L531+1</f>
        <v>317</v>
      </c>
      <c r="M532" s="820" t="n">
        <f aca="false">IF(B532&lt;$E$104,$E$105,$E$106)</f>
        <v>3</v>
      </c>
      <c r="N532" s="821" t="n">
        <f aca="false">IF(B532&lt;$E$104,$E$105,$E$111)</f>
        <v>2.5</v>
      </c>
      <c r="O532" s="822" t="n">
        <f aca="false">E532*$E$205*N532</f>
        <v>107.741017425742</v>
      </c>
      <c r="P532" s="823" t="n">
        <f aca="false">P531+O532</f>
        <v>27266.0157224555</v>
      </c>
      <c r="Q532" s="606" t="n">
        <f aca="false">Q531+1</f>
        <v>317</v>
      </c>
      <c r="R532" s="824" t="n">
        <f aca="false">R531-1</f>
        <v>-317</v>
      </c>
      <c r="S532" s="5"/>
      <c r="T532" s="5"/>
      <c r="U532" s="5"/>
      <c r="V532" s="10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02"/>
      <c r="AU532" s="502"/>
      <c r="AV532" s="606"/>
      <c r="AW532" s="502"/>
      <c r="AX532" s="502"/>
      <c r="AY532" s="502"/>
      <c r="AZ532" s="502"/>
      <c r="BA532" s="502"/>
      <c r="BB532" s="502"/>
      <c r="BC532" s="502"/>
      <c r="BD532" s="502"/>
      <c r="BE532" s="502"/>
      <c r="BF532" s="502"/>
      <c r="BG532" s="502"/>
      <c r="BH532" s="502"/>
      <c r="BI532" s="502"/>
      <c r="BJ532" s="502"/>
      <c r="BK532" s="502"/>
      <c r="BL532" s="502"/>
      <c r="BM532" s="502"/>
      <c r="BN532" s="502"/>
      <c r="BO532" s="502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</row>
    <row r="533" s="504" customFormat="true" ht="12.75" hidden="true" customHeight="true" outlineLevel="0" collapsed="false">
      <c r="A533" s="5"/>
      <c r="B533" s="813" t="n">
        <f aca="false">B532+1</f>
        <v>318</v>
      </c>
      <c r="C533" s="814" t="n">
        <f aca="false">C532+D533</f>
        <v>32786.6490474061</v>
      </c>
      <c r="D533" s="815" t="n">
        <f aca="false">E533*$E$205*M533</f>
        <v>129.44690091089</v>
      </c>
      <c r="E533" s="601" t="n">
        <f aca="false">E532+$C$204</f>
        <v>8.20946860165462</v>
      </c>
      <c r="F533" s="816" t="n">
        <f aca="false">F532+1</f>
        <v>318</v>
      </c>
      <c r="G533" s="775" t="n">
        <f aca="false">C533</f>
        <v>32786.6490474061</v>
      </c>
      <c r="H533" s="817" t="n">
        <f aca="false">1000*(E533-E532)</f>
        <v>9.99999999999979</v>
      </c>
      <c r="I533" s="5"/>
      <c r="J533" s="818" t="n">
        <f aca="false">1000*(E533-$E$215)/(B533-$B$215)</f>
        <v>14.9492761904773</v>
      </c>
      <c r="K533" s="732" t="n">
        <f aca="false">AVERAGE($E$216:E533)</f>
        <v>6.60056923058547</v>
      </c>
      <c r="L533" s="819" t="n">
        <f aca="false">L532+1</f>
        <v>318</v>
      </c>
      <c r="M533" s="820" t="n">
        <f aca="false">IF(B533&lt;$E$104,$E$105,$E$106)</f>
        <v>3</v>
      </c>
      <c r="N533" s="821" t="n">
        <f aca="false">IF(B533&lt;$E$104,$E$105,$E$111)</f>
        <v>2.5</v>
      </c>
      <c r="O533" s="822" t="n">
        <f aca="false">E533*$E$205*N533</f>
        <v>107.872417425742</v>
      </c>
      <c r="P533" s="823" t="n">
        <f aca="false">P532+O533</f>
        <v>27373.8881398812</v>
      </c>
      <c r="Q533" s="606" t="n">
        <f aca="false">Q532+1</f>
        <v>318</v>
      </c>
      <c r="R533" s="824" t="n">
        <f aca="false">R532-1</f>
        <v>-318</v>
      </c>
      <c r="S533" s="5"/>
      <c r="T533" s="5"/>
      <c r="U533" s="5"/>
      <c r="V533" s="10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02"/>
      <c r="AU533" s="502"/>
      <c r="AV533" s="606"/>
      <c r="AW533" s="502"/>
      <c r="AX533" s="502"/>
      <c r="AY533" s="502"/>
      <c r="AZ533" s="502"/>
      <c r="BA533" s="502"/>
      <c r="BB533" s="502"/>
      <c r="BC533" s="502"/>
      <c r="BD533" s="502"/>
      <c r="BE533" s="502"/>
      <c r="BF533" s="502"/>
      <c r="BG533" s="502"/>
      <c r="BH533" s="502"/>
      <c r="BI533" s="502"/>
      <c r="BJ533" s="502"/>
      <c r="BK533" s="502"/>
      <c r="BL533" s="502"/>
      <c r="BM533" s="502"/>
      <c r="BN533" s="502"/>
      <c r="BO533" s="502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</row>
    <row r="534" s="504" customFormat="true" ht="12.75" hidden="true" customHeight="true" outlineLevel="0" collapsed="false">
      <c r="A534" s="5"/>
      <c r="B534" s="813" t="n">
        <f aca="false">B533+1</f>
        <v>319</v>
      </c>
      <c r="C534" s="814" t="n">
        <f aca="false">C533+D534</f>
        <v>32916.253628317</v>
      </c>
      <c r="D534" s="815" t="n">
        <f aca="false">E534*$E$205*M534</f>
        <v>129.60458091089</v>
      </c>
      <c r="E534" s="601" t="n">
        <f aca="false">E533+$C$204</f>
        <v>8.21946860165462</v>
      </c>
      <c r="F534" s="816" t="n">
        <f aca="false">F533+1</f>
        <v>319</v>
      </c>
      <c r="G534" s="775" t="n">
        <f aca="false">C534</f>
        <v>32916.253628317</v>
      </c>
      <c r="H534" s="817" t="n">
        <f aca="false">1000*(E534-E533)</f>
        <v>9.99999999999979</v>
      </c>
      <c r="I534" s="5"/>
      <c r="J534" s="818" t="n">
        <f aca="false">1000*(E534-$E$215)/(B534-$B$215)</f>
        <v>14.9337612180933</v>
      </c>
      <c r="K534" s="732" t="n">
        <f aca="false">AVERAGE($E$216:E534)</f>
        <v>6.605644150244</v>
      </c>
      <c r="L534" s="819" t="n">
        <f aca="false">L533+1</f>
        <v>319</v>
      </c>
      <c r="M534" s="820" t="n">
        <f aca="false">IF(B534&lt;$E$104,$E$105,$E$106)</f>
        <v>3</v>
      </c>
      <c r="N534" s="821" t="n">
        <f aca="false">IF(B534&lt;$E$104,$E$105,$E$111)</f>
        <v>2.5</v>
      </c>
      <c r="O534" s="822" t="n">
        <f aca="false">E534*$E$205*N534</f>
        <v>108.003817425742</v>
      </c>
      <c r="P534" s="823" t="n">
        <f aca="false">P533+O534</f>
        <v>27481.891957307</v>
      </c>
      <c r="Q534" s="606" t="n">
        <f aca="false">Q533+1</f>
        <v>319</v>
      </c>
      <c r="R534" s="824" t="n">
        <f aca="false">R533-1</f>
        <v>-319</v>
      </c>
      <c r="S534" s="5"/>
      <c r="T534" s="5"/>
      <c r="U534" s="5"/>
      <c r="V534" s="10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02"/>
      <c r="AU534" s="502"/>
      <c r="AV534" s="606"/>
      <c r="AW534" s="502"/>
      <c r="AX534" s="502"/>
      <c r="AY534" s="502"/>
      <c r="AZ534" s="502"/>
      <c r="BA534" s="502"/>
      <c r="BB534" s="502"/>
      <c r="BC534" s="502"/>
      <c r="BD534" s="502"/>
      <c r="BE534" s="502"/>
      <c r="BF534" s="502"/>
      <c r="BG534" s="502"/>
      <c r="BH534" s="502"/>
      <c r="BI534" s="502"/>
      <c r="BJ534" s="502"/>
      <c r="BK534" s="502"/>
      <c r="BL534" s="502"/>
      <c r="BM534" s="502"/>
      <c r="BN534" s="502"/>
      <c r="BO534" s="502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</row>
    <row r="535" s="504" customFormat="true" ht="12.75" hidden="true" customHeight="true" outlineLevel="0" collapsed="false">
      <c r="A535" s="5"/>
      <c r="B535" s="813" t="n">
        <f aca="false">B534+1</f>
        <v>320</v>
      </c>
      <c r="C535" s="814" t="n">
        <f aca="false">C534+D535</f>
        <v>33046.0158892278</v>
      </c>
      <c r="D535" s="815" t="n">
        <f aca="false">E535*$E$205*M535</f>
        <v>129.76226091089</v>
      </c>
      <c r="E535" s="601" t="n">
        <f aca="false">E534+$C$204</f>
        <v>8.22946860165462</v>
      </c>
      <c r="F535" s="816" t="n">
        <f aca="false">F534+1</f>
        <v>320</v>
      </c>
      <c r="G535" s="775" t="n">
        <f aca="false">C535</f>
        <v>33046.0158892278</v>
      </c>
      <c r="H535" s="817" t="n">
        <f aca="false">1000*(E535-E534)</f>
        <v>9.99999999999979</v>
      </c>
      <c r="I535" s="5"/>
      <c r="J535" s="818" t="n">
        <f aca="false">1000*(E535-$E$215)/(B535-$B$215)</f>
        <v>14.9183432142868</v>
      </c>
      <c r="K535" s="732" t="n">
        <f aca="false">AVERAGE($E$216:E535)</f>
        <v>6.61071860165466</v>
      </c>
      <c r="L535" s="819" t="n">
        <f aca="false">L534+1</f>
        <v>320</v>
      </c>
      <c r="M535" s="820" t="n">
        <f aca="false">IF(B535&lt;$E$104,$E$105,$E$106)</f>
        <v>3</v>
      </c>
      <c r="N535" s="821" t="n">
        <f aca="false">IF(B535&lt;$E$104,$E$105,$E$111)</f>
        <v>2.5</v>
      </c>
      <c r="O535" s="822" t="n">
        <f aca="false">E535*$E$205*N535</f>
        <v>108.135217425742</v>
      </c>
      <c r="P535" s="823" t="n">
        <f aca="false">P534+O535</f>
        <v>27590.0271747327</v>
      </c>
      <c r="Q535" s="606" t="n">
        <f aca="false">Q534+1</f>
        <v>320</v>
      </c>
      <c r="R535" s="824" t="n">
        <f aca="false">R534-1</f>
        <v>-320</v>
      </c>
      <c r="S535" s="5"/>
      <c r="T535" s="5"/>
      <c r="U535" s="5"/>
      <c r="V535" s="10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02"/>
      <c r="AU535" s="502"/>
      <c r="AV535" s="606"/>
      <c r="AW535" s="502"/>
      <c r="AX535" s="502"/>
      <c r="AY535" s="502"/>
      <c r="AZ535" s="502"/>
      <c r="BA535" s="502"/>
      <c r="BB535" s="502"/>
      <c r="BC535" s="502"/>
      <c r="BD535" s="502"/>
      <c r="BE535" s="502"/>
      <c r="BF535" s="502"/>
      <c r="BG535" s="502"/>
      <c r="BH535" s="502"/>
      <c r="BI535" s="502"/>
      <c r="BJ535" s="502"/>
      <c r="BK535" s="502"/>
      <c r="BL535" s="502"/>
      <c r="BM535" s="502"/>
      <c r="BN535" s="502"/>
      <c r="BO535" s="502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</row>
    <row r="536" s="504" customFormat="true" ht="12.75" hidden="true" customHeight="true" outlineLevel="0" collapsed="false">
      <c r="A536" s="5"/>
      <c r="B536" s="813" t="n">
        <f aca="false">B535+1</f>
        <v>321</v>
      </c>
      <c r="C536" s="814" t="n">
        <f aca="false">C535+D536</f>
        <v>33175.9358301387</v>
      </c>
      <c r="D536" s="815" t="n">
        <f aca="false">E536*$E$205*M536</f>
        <v>129.91994091089</v>
      </c>
      <c r="E536" s="601" t="n">
        <f aca="false">E535+$C$204</f>
        <v>8.23946860165462</v>
      </c>
      <c r="F536" s="816" t="n">
        <f aca="false">F535+1</f>
        <v>321</v>
      </c>
      <c r="G536" s="775" t="n">
        <f aca="false">C536</f>
        <v>33175.9358301387</v>
      </c>
      <c r="H536" s="817" t="n">
        <f aca="false">1000*(E536-E535)</f>
        <v>9.99999999999979</v>
      </c>
      <c r="I536" s="5"/>
      <c r="J536" s="818" t="n">
        <f aca="false">1000*(E536-$E$215)/(B536-$B$215)</f>
        <v>14.9030212728093</v>
      </c>
      <c r="K536" s="732" t="n">
        <f aca="false">AVERAGE($E$216:E536)</f>
        <v>6.6157925891936</v>
      </c>
      <c r="L536" s="819" t="n">
        <f aca="false">L535+1</f>
        <v>321</v>
      </c>
      <c r="M536" s="820" t="n">
        <f aca="false">IF(B536&lt;$E$104,$E$105,$E$106)</f>
        <v>3</v>
      </c>
      <c r="N536" s="821" t="n">
        <f aca="false">IF(B536&lt;$E$104,$E$105,$E$111)</f>
        <v>2.5</v>
      </c>
      <c r="O536" s="822" t="n">
        <f aca="false">E536*$E$205*N536</f>
        <v>108.266617425742</v>
      </c>
      <c r="P536" s="823" t="n">
        <f aca="false">P535+O536</f>
        <v>27698.2937921585</v>
      </c>
      <c r="Q536" s="606" t="n">
        <f aca="false">Q535+1</f>
        <v>321</v>
      </c>
      <c r="R536" s="824" t="n">
        <f aca="false">R535-1</f>
        <v>-321</v>
      </c>
      <c r="S536" s="5"/>
      <c r="T536" s="5"/>
      <c r="U536" s="5"/>
      <c r="V536" s="10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02"/>
      <c r="AU536" s="502"/>
      <c r="AV536" s="606"/>
      <c r="AW536" s="502"/>
      <c r="AX536" s="502"/>
      <c r="AY536" s="502"/>
      <c r="AZ536" s="502"/>
      <c r="BA536" s="502"/>
      <c r="BB536" s="502"/>
      <c r="BC536" s="502"/>
      <c r="BD536" s="502"/>
      <c r="BE536" s="502"/>
      <c r="BF536" s="502"/>
      <c r="BG536" s="502"/>
      <c r="BH536" s="502"/>
      <c r="BI536" s="502"/>
      <c r="BJ536" s="502"/>
      <c r="BK536" s="502"/>
      <c r="BL536" s="502"/>
      <c r="BM536" s="502"/>
      <c r="BN536" s="502"/>
      <c r="BO536" s="502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</row>
    <row r="537" s="504" customFormat="true" ht="12.75" hidden="true" customHeight="true" outlineLevel="0" collapsed="false">
      <c r="A537" s="5"/>
      <c r="B537" s="813" t="n">
        <f aca="false">B536+1</f>
        <v>322</v>
      </c>
      <c r="C537" s="814" t="n">
        <f aca="false">C536+D537</f>
        <v>33306.0134510496</v>
      </c>
      <c r="D537" s="815" t="n">
        <f aca="false">E537*$E$205*M537</f>
        <v>130.07762091089</v>
      </c>
      <c r="E537" s="601" t="n">
        <f aca="false">E536+$C$204</f>
        <v>8.24946860165462</v>
      </c>
      <c r="F537" s="816" t="n">
        <f aca="false">F536+1</f>
        <v>322</v>
      </c>
      <c r="G537" s="775" t="n">
        <f aca="false">C537</f>
        <v>33306.0134510496</v>
      </c>
      <c r="H537" s="817" t="n">
        <f aca="false">1000*(E537-E536)</f>
        <v>9.99999999999979</v>
      </c>
      <c r="I537" s="5"/>
      <c r="J537" s="818" t="n">
        <f aca="false">1000*(E537-$E$215)/(B537-$B$215)</f>
        <v>14.8877944986701</v>
      </c>
      <c r="K537" s="732" t="n">
        <f aca="false">AVERAGE($E$216:E537)</f>
        <v>6.62086611718261</v>
      </c>
      <c r="L537" s="819" t="n">
        <f aca="false">L536+1</f>
        <v>322</v>
      </c>
      <c r="M537" s="820" t="n">
        <f aca="false">IF(B537&lt;$E$104,$E$105,$E$106)</f>
        <v>3</v>
      </c>
      <c r="N537" s="821" t="n">
        <f aca="false">IF(B537&lt;$E$104,$E$105,$E$111)</f>
        <v>2.5</v>
      </c>
      <c r="O537" s="822" t="n">
        <f aca="false">E537*$E$205*N537</f>
        <v>108.398017425742</v>
      </c>
      <c r="P537" s="823" t="n">
        <f aca="false">P536+O537</f>
        <v>27806.6918095842</v>
      </c>
      <c r="Q537" s="606" t="n">
        <f aca="false">Q536+1</f>
        <v>322</v>
      </c>
      <c r="R537" s="824" t="n">
        <f aca="false">R536-1</f>
        <v>-322</v>
      </c>
      <c r="S537" s="5"/>
      <c r="T537" s="5"/>
      <c r="U537" s="5"/>
      <c r="V537" s="10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02"/>
      <c r="AU537" s="502"/>
      <c r="AV537" s="606"/>
      <c r="AW537" s="502"/>
      <c r="AX537" s="502"/>
      <c r="AY537" s="502"/>
      <c r="AZ537" s="502"/>
      <c r="BA537" s="502"/>
      <c r="BB537" s="502"/>
      <c r="BC537" s="502"/>
      <c r="BD537" s="502"/>
      <c r="BE537" s="502"/>
      <c r="BF537" s="502"/>
      <c r="BG537" s="502"/>
      <c r="BH537" s="502"/>
      <c r="BI537" s="502"/>
      <c r="BJ537" s="502"/>
      <c r="BK537" s="502"/>
      <c r="BL537" s="502"/>
      <c r="BM537" s="502"/>
      <c r="BN537" s="502"/>
      <c r="BO537" s="502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</row>
    <row r="538" s="504" customFormat="true" ht="12.75" hidden="true" customHeight="true" outlineLevel="0" collapsed="false">
      <c r="A538" s="5"/>
      <c r="B538" s="813" t="n">
        <f aca="false">B537+1</f>
        <v>323</v>
      </c>
      <c r="C538" s="814" t="n">
        <f aca="false">C537+D538</f>
        <v>33436.2487519605</v>
      </c>
      <c r="D538" s="815" t="n">
        <f aca="false">E538*$E$205*M538</f>
        <v>130.23530091089</v>
      </c>
      <c r="E538" s="601" t="n">
        <f aca="false">E537+$C$204</f>
        <v>8.25946860165462</v>
      </c>
      <c r="F538" s="816" t="n">
        <f aca="false">F537+1</f>
        <v>323</v>
      </c>
      <c r="G538" s="775" t="n">
        <f aca="false">C538</f>
        <v>33436.2487519605</v>
      </c>
      <c r="H538" s="817" t="n">
        <f aca="false">1000*(E538-E537)</f>
        <v>9.99999999999979</v>
      </c>
      <c r="I538" s="5"/>
      <c r="J538" s="818" t="n">
        <f aca="false">1000*(E538-$E$215)/(B538-$B$215)</f>
        <v>14.8726620079622</v>
      </c>
      <c r="K538" s="732" t="n">
        <f aca="false">AVERAGE($E$216:E538)</f>
        <v>6.62593918988995</v>
      </c>
      <c r="L538" s="819" t="n">
        <f aca="false">L537+1</f>
        <v>323</v>
      </c>
      <c r="M538" s="820" t="n">
        <f aca="false">IF(B538&lt;$E$104,$E$105,$E$106)</f>
        <v>3</v>
      </c>
      <c r="N538" s="821" t="n">
        <f aca="false">IF(B538&lt;$E$104,$E$105,$E$111)</f>
        <v>2.5</v>
      </c>
      <c r="O538" s="822" t="n">
        <f aca="false">E538*$E$205*N538</f>
        <v>108.529417425742</v>
      </c>
      <c r="P538" s="823" t="n">
        <f aca="false">P537+O538</f>
        <v>27915.22122701</v>
      </c>
      <c r="Q538" s="606" t="n">
        <f aca="false">Q537+1</f>
        <v>323</v>
      </c>
      <c r="R538" s="824" t="n">
        <f aca="false">R537-1</f>
        <v>-323</v>
      </c>
      <c r="S538" s="5"/>
      <c r="T538" s="5"/>
      <c r="U538" s="5"/>
      <c r="V538" s="10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02"/>
      <c r="AU538" s="502"/>
      <c r="AV538" s="606"/>
      <c r="AW538" s="502"/>
      <c r="AX538" s="502"/>
      <c r="AY538" s="502"/>
      <c r="AZ538" s="502"/>
      <c r="BA538" s="502"/>
      <c r="BB538" s="502"/>
      <c r="BC538" s="502"/>
      <c r="BD538" s="502"/>
      <c r="BE538" s="502"/>
      <c r="BF538" s="502"/>
      <c r="BG538" s="502"/>
      <c r="BH538" s="502"/>
      <c r="BI538" s="502"/>
      <c r="BJ538" s="502"/>
      <c r="BK538" s="502"/>
      <c r="BL538" s="502"/>
      <c r="BM538" s="502"/>
      <c r="BN538" s="502"/>
      <c r="BO538" s="502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</row>
    <row r="539" s="504" customFormat="true" ht="12.75" hidden="true" customHeight="true" outlineLevel="0" collapsed="false">
      <c r="A539" s="5"/>
      <c r="B539" s="813" t="n">
        <f aca="false">B538+1</f>
        <v>324</v>
      </c>
      <c r="C539" s="814" t="n">
        <f aca="false">C538+D539</f>
        <v>33566.6417328714</v>
      </c>
      <c r="D539" s="815" t="n">
        <f aca="false">E539*$E$205*M539</f>
        <v>130.39298091089</v>
      </c>
      <c r="E539" s="601" t="n">
        <f aca="false">E538+$C$204</f>
        <v>8.26946860165462</v>
      </c>
      <c r="F539" s="816" t="n">
        <f aca="false">F538+1</f>
        <v>324</v>
      </c>
      <c r="G539" s="775" t="n">
        <f aca="false">C539</f>
        <v>33566.6417328714</v>
      </c>
      <c r="H539" s="817" t="n">
        <f aca="false">1000*(E539-E538)</f>
        <v>9.99999999999979</v>
      </c>
      <c r="I539" s="5"/>
      <c r="J539" s="818" t="n">
        <f aca="false">1000*(E539-$E$215)/(B539-$B$215)</f>
        <v>14.8576229276907</v>
      </c>
      <c r="K539" s="732" t="n">
        <f aca="false">AVERAGE($E$216:E539)</f>
        <v>6.6310118115312</v>
      </c>
      <c r="L539" s="819" t="n">
        <f aca="false">L538+1</f>
        <v>324</v>
      </c>
      <c r="M539" s="820" t="n">
        <f aca="false">IF(B539&lt;$E$104,$E$105,$E$106)</f>
        <v>3</v>
      </c>
      <c r="N539" s="821" t="n">
        <f aca="false">IF(B539&lt;$E$104,$E$105,$E$111)</f>
        <v>2.5</v>
      </c>
      <c r="O539" s="822" t="n">
        <f aca="false">E539*$E$205*N539</f>
        <v>108.660817425742</v>
      </c>
      <c r="P539" s="823" t="n">
        <f aca="false">P538+O539</f>
        <v>28023.8820444357</v>
      </c>
      <c r="Q539" s="606" t="n">
        <f aca="false">Q538+1</f>
        <v>324</v>
      </c>
      <c r="R539" s="824" t="n">
        <f aca="false">R538-1</f>
        <v>-324</v>
      </c>
      <c r="S539" s="5"/>
      <c r="T539" s="5"/>
      <c r="U539" s="5"/>
      <c r="V539" s="10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02"/>
      <c r="AU539" s="502"/>
      <c r="AV539" s="606"/>
      <c r="AW539" s="502"/>
      <c r="AX539" s="502"/>
      <c r="AY539" s="502"/>
      <c r="AZ539" s="502"/>
      <c r="BA539" s="502"/>
      <c r="BB539" s="502"/>
      <c r="BC539" s="502"/>
      <c r="BD539" s="502"/>
      <c r="BE539" s="502"/>
      <c r="BF539" s="502"/>
      <c r="BG539" s="502"/>
      <c r="BH539" s="502"/>
      <c r="BI539" s="502"/>
      <c r="BJ539" s="502"/>
      <c r="BK539" s="502"/>
      <c r="BL539" s="502"/>
      <c r="BM539" s="502"/>
      <c r="BN539" s="502"/>
      <c r="BO539" s="502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</row>
    <row r="540" s="504" customFormat="true" ht="12.75" hidden="true" customHeight="true" outlineLevel="0" collapsed="false">
      <c r="A540" s="5"/>
      <c r="B540" s="813" t="n">
        <f aca="false">B539+1</f>
        <v>325</v>
      </c>
      <c r="C540" s="814" t="n">
        <f aca="false">C539+D540</f>
        <v>33697.1923937823</v>
      </c>
      <c r="D540" s="815" t="n">
        <f aca="false">E540*$E$205*M540</f>
        <v>130.55066091089</v>
      </c>
      <c r="E540" s="601" t="n">
        <f aca="false">E539+$C$204</f>
        <v>8.27946860165462</v>
      </c>
      <c r="F540" s="816" t="n">
        <f aca="false">F539+1</f>
        <v>325</v>
      </c>
      <c r="G540" s="775" t="n">
        <f aca="false">C540</f>
        <v>33697.1923937823</v>
      </c>
      <c r="H540" s="817" t="n">
        <f aca="false">1000*(E540-E539)</f>
        <v>9.99999999999979</v>
      </c>
      <c r="I540" s="5"/>
      <c r="J540" s="818" t="n">
        <f aca="false">1000*(E540-$E$215)/(B540-$B$215)</f>
        <v>14.8426763956055</v>
      </c>
      <c r="K540" s="732" t="n">
        <f aca="false">AVERAGE($E$216:E540)</f>
        <v>6.63608398627004</v>
      </c>
      <c r="L540" s="819" t="n">
        <f aca="false">L539+1</f>
        <v>325</v>
      </c>
      <c r="M540" s="820" t="n">
        <f aca="false">IF(B540&lt;$E$104,$E$105,$E$106)</f>
        <v>3</v>
      </c>
      <c r="N540" s="821" t="n">
        <f aca="false">IF(B540&lt;$E$104,$E$105,$E$111)</f>
        <v>2.5</v>
      </c>
      <c r="O540" s="822" t="n">
        <f aca="false">E540*$E$205*N540</f>
        <v>108.792217425742</v>
      </c>
      <c r="P540" s="823" t="n">
        <f aca="false">P539+O540</f>
        <v>28132.6742618614</v>
      </c>
      <c r="Q540" s="606" t="n">
        <f aca="false">Q539+1</f>
        <v>325</v>
      </c>
      <c r="R540" s="824" t="n">
        <f aca="false">R539-1</f>
        <v>-325</v>
      </c>
      <c r="S540" s="5"/>
      <c r="T540" s="5"/>
      <c r="U540" s="5"/>
      <c r="V540" s="10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02"/>
      <c r="AU540" s="502"/>
      <c r="AV540" s="606"/>
      <c r="AW540" s="502"/>
      <c r="AX540" s="502"/>
      <c r="AY540" s="502"/>
      <c r="AZ540" s="502"/>
      <c r="BA540" s="502"/>
      <c r="BB540" s="502"/>
      <c r="BC540" s="502"/>
      <c r="BD540" s="502"/>
      <c r="BE540" s="502"/>
      <c r="BF540" s="502"/>
      <c r="BG540" s="502"/>
      <c r="BH540" s="502"/>
      <c r="BI540" s="502"/>
      <c r="BJ540" s="502"/>
      <c r="BK540" s="502"/>
      <c r="BL540" s="502"/>
      <c r="BM540" s="502"/>
      <c r="BN540" s="502"/>
      <c r="BO540" s="502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</row>
    <row r="541" s="504" customFormat="true" ht="12.75" hidden="true" customHeight="true" outlineLevel="0" collapsed="false">
      <c r="A541" s="5"/>
      <c r="B541" s="813" t="n">
        <f aca="false">B540+1</f>
        <v>326</v>
      </c>
      <c r="C541" s="814" t="n">
        <f aca="false">C540+D541</f>
        <v>33827.9007346932</v>
      </c>
      <c r="D541" s="815" t="n">
        <f aca="false">E541*$E$205*M541</f>
        <v>130.70834091089</v>
      </c>
      <c r="E541" s="601" t="n">
        <f aca="false">E540+$C$204</f>
        <v>8.28946860165462</v>
      </c>
      <c r="F541" s="816" t="n">
        <f aca="false">F540+1</f>
        <v>326</v>
      </c>
      <c r="G541" s="775" t="n">
        <f aca="false">C541</f>
        <v>33827.9007346932</v>
      </c>
      <c r="H541" s="817" t="n">
        <f aca="false">1000*(E541-E540)</f>
        <v>9.99999999999979</v>
      </c>
      <c r="I541" s="5"/>
      <c r="J541" s="818" t="n">
        <f aca="false">1000*(E541-$E$215)/(B541-$B$215)</f>
        <v>14.8278215600361</v>
      </c>
      <c r="K541" s="732" t="n">
        <f aca="false">AVERAGE($E$216:E541)</f>
        <v>6.64115571821907</v>
      </c>
      <c r="L541" s="819" t="n">
        <f aca="false">L540+1</f>
        <v>326</v>
      </c>
      <c r="M541" s="820" t="n">
        <f aca="false">IF(B541&lt;$E$104,$E$105,$E$106)</f>
        <v>3</v>
      </c>
      <c r="N541" s="821" t="n">
        <f aca="false">IF(B541&lt;$E$104,$E$105,$E$111)</f>
        <v>2.5</v>
      </c>
      <c r="O541" s="822" t="n">
        <f aca="false">E541*$E$205*N541</f>
        <v>108.923617425742</v>
      </c>
      <c r="P541" s="823" t="n">
        <f aca="false">P540+O541</f>
        <v>28241.5978792872</v>
      </c>
      <c r="Q541" s="606" t="n">
        <f aca="false">Q540+1</f>
        <v>326</v>
      </c>
      <c r="R541" s="824" t="n">
        <f aca="false">R540-1</f>
        <v>-326</v>
      </c>
      <c r="S541" s="5"/>
      <c r="T541" s="5"/>
      <c r="U541" s="5"/>
      <c r="V541" s="10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02"/>
      <c r="AU541" s="502"/>
      <c r="AV541" s="606"/>
      <c r="AW541" s="502"/>
      <c r="AX541" s="502"/>
      <c r="AY541" s="502"/>
      <c r="AZ541" s="502"/>
      <c r="BA541" s="502"/>
      <c r="BB541" s="502"/>
      <c r="BC541" s="502"/>
      <c r="BD541" s="502"/>
      <c r="BE541" s="502"/>
      <c r="BF541" s="502"/>
      <c r="BG541" s="502"/>
      <c r="BH541" s="502"/>
      <c r="BI541" s="502"/>
      <c r="BJ541" s="502"/>
      <c r="BK541" s="502"/>
      <c r="BL541" s="502"/>
      <c r="BM541" s="502"/>
      <c r="BN541" s="502"/>
      <c r="BO541" s="502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</row>
    <row r="542" s="504" customFormat="true" ht="12.75" hidden="true" customHeight="true" outlineLevel="0" collapsed="false">
      <c r="A542" s="5"/>
      <c r="B542" s="813" t="n">
        <f aca="false">B541+1</f>
        <v>327</v>
      </c>
      <c r="C542" s="814" t="n">
        <f aca="false">C541+D542</f>
        <v>33958.7667556041</v>
      </c>
      <c r="D542" s="815" t="n">
        <f aca="false">E542*$E$205*M542</f>
        <v>130.86602091089</v>
      </c>
      <c r="E542" s="601" t="n">
        <f aca="false">E541+$C$204</f>
        <v>8.29946860165462</v>
      </c>
      <c r="F542" s="816" t="n">
        <f aca="false">F541+1</f>
        <v>327</v>
      </c>
      <c r="G542" s="775" t="n">
        <f aca="false">C542</f>
        <v>33958.7667556041</v>
      </c>
      <c r="H542" s="817" t="n">
        <f aca="false">1000*(E542-E541)</f>
        <v>9.99999999999979</v>
      </c>
      <c r="I542" s="5"/>
      <c r="J542" s="818" t="n">
        <f aca="false">1000*(E542-$E$215)/(B542-$B$215)</f>
        <v>14.8130575797302</v>
      </c>
      <c r="K542" s="732" t="n">
        <f aca="false">AVERAGE($E$216:E542)</f>
        <v>6.64622701144059</v>
      </c>
      <c r="L542" s="819" t="n">
        <f aca="false">L541+1</f>
        <v>327</v>
      </c>
      <c r="M542" s="820" t="n">
        <f aca="false">IF(B542&lt;$E$104,$E$105,$E$106)</f>
        <v>3</v>
      </c>
      <c r="N542" s="821" t="n">
        <f aca="false">IF(B542&lt;$E$104,$E$105,$E$111)</f>
        <v>2.5</v>
      </c>
      <c r="O542" s="822" t="n">
        <f aca="false">E542*$E$205*N542</f>
        <v>109.055017425742</v>
      </c>
      <c r="P542" s="823" t="n">
        <f aca="false">P541+O542</f>
        <v>28350.6528967129</v>
      </c>
      <c r="Q542" s="606" t="n">
        <f aca="false">Q541+1</f>
        <v>327</v>
      </c>
      <c r="R542" s="824" t="n">
        <f aca="false">R541-1</f>
        <v>-327</v>
      </c>
      <c r="S542" s="5"/>
      <c r="T542" s="5"/>
      <c r="U542" s="5"/>
      <c r="V542" s="10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02"/>
      <c r="AU542" s="502"/>
      <c r="AV542" s="606"/>
      <c r="AW542" s="502"/>
      <c r="AX542" s="502"/>
      <c r="AY542" s="502"/>
      <c r="AZ542" s="502"/>
      <c r="BA542" s="502"/>
      <c r="BB542" s="502"/>
      <c r="BC542" s="502"/>
      <c r="BD542" s="502"/>
      <c r="BE542" s="502"/>
      <c r="BF542" s="502"/>
      <c r="BG542" s="502"/>
      <c r="BH542" s="502"/>
      <c r="BI542" s="502"/>
      <c r="BJ542" s="502"/>
      <c r="BK542" s="502"/>
      <c r="BL542" s="502"/>
      <c r="BM542" s="502"/>
      <c r="BN542" s="502"/>
      <c r="BO542" s="502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</row>
    <row r="543" s="504" customFormat="true" ht="12.75" hidden="true" customHeight="true" outlineLevel="0" collapsed="false">
      <c r="A543" s="5"/>
      <c r="B543" s="813" t="n">
        <f aca="false">B542+1</f>
        <v>328</v>
      </c>
      <c r="C543" s="814" t="n">
        <f aca="false">C542+D543</f>
        <v>34089.790456515</v>
      </c>
      <c r="D543" s="815" t="n">
        <f aca="false">E543*$E$205*M543</f>
        <v>131.02370091089</v>
      </c>
      <c r="E543" s="601" t="n">
        <f aca="false">E542+$C$204</f>
        <v>8.30946860165462</v>
      </c>
      <c r="F543" s="816" t="n">
        <f aca="false">F542+1</f>
        <v>328</v>
      </c>
      <c r="G543" s="775" t="n">
        <f aca="false">C543</f>
        <v>34089.790456515</v>
      </c>
      <c r="H543" s="817" t="n">
        <f aca="false">1000*(E543-E542)</f>
        <v>9.99999999999979</v>
      </c>
      <c r="I543" s="5"/>
      <c r="J543" s="818" t="n">
        <f aca="false">1000*(E543-$E$215)/(B543-$B$215)</f>
        <v>14.7983836236944</v>
      </c>
      <c r="K543" s="732" t="n">
        <f aca="false">AVERAGE($E$216:E543)</f>
        <v>6.65129786994734</v>
      </c>
      <c r="L543" s="819" t="n">
        <f aca="false">L542+1</f>
        <v>328</v>
      </c>
      <c r="M543" s="820" t="n">
        <f aca="false">IF(B543&lt;$E$104,$E$105,$E$106)</f>
        <v>3</v>
      </c>
      <c r="N543" s="821" t="n">
        <f aca="false">IF(B543&lt;$E$104,$E$105,$E$111)</f>
        <v>2.5</v>
      </c>
      <c r="O543" s="822" t="n">
        <f aca="false">E543*$E$205*N543</f>
        <v>109.186417425742</v>
      </c>
      <c r="P543" s="823" t="n">
        <f aca="false">P542+O543</f>
        <v>28459.8393141387</v>
      </c>
      <c r="Q543" s="606" t="n">
        <f aca="false">Q542+1</f>
        <v>328</v>
      </c>
      <c r="R543" s="824" t="n">
        <f aca="false">R542-1</f>
        <v>-328</v>
      </c>
      <c r="S543" s="5"/>
      <c r="T543" s="5"/>
      <c r="U543" s="5"/>
      <c r="V543" s="10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02"/>
      <c r="AU543" s="502"/>
      <c r="AV543" s="606"/>
      <c r="AW543" s="502"/>
      <c r="AX543" s="502"/>
      <c r="AY543" s="502"/>
      <c r="AZ543" s="502"/>
      <c r="BA543" s="502"/>
      <c r="BB543" s="502"/>
      <c r="BC543" s="502"/>
      <c r="BD543" s="502"/>
      <c r="BE543" s="502"/>
      <c r="BF543" s="502"/>
      <c r="BG543" s="502"/>
      <c r="BH543" s="502"/>
      <c r="BI543" s="502"/>
      <c r="BJ543" s="502"/>
      <c r="BK543" s="502"/>
      <c r="BL543" s="502"/>
      <c r="BM543" s="502"/>
      <c r="BN543" s="502"/>
      <c r="BO543" s="502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</row>
    <row r="544" s="504" customFormat="true" ht="12.75" hidden="true" customHeight="true" outlineLevel="0" collapsed="false">
      <c r="A544" s="5"/>
      <c r="B544" s="813" t="n">
        <f aca="false">B543+1</f>
        <v>329</v>
      </c>
      <c r="C544" s="814" t="n">
        <f aca="false">C543+D544</f>
        <v>34220.9718374259</v>
      </c>
      <c r="D544" s="815" t="n">
        <f aca="false">E544*$E$205*M544</f>
        <v>131.18138091089</v>
      </c>
      <c r="E544" s="601" t="n">
        <f aca="false">E543+$C$204</f>
        <v>8.31946860165462</v>
      </c>
      <c r="F544" s="816" t="n">
        <f aca="false">F543+1</f>
        <v>329</v>
      </c>
      <c r="G544" s="775" t="n">
        <f aca="false">C544</f>
        <v>34220.9718374259</v>
      </c>
      <c r="H544" s="817" t="n">
        <f aca="false">1000*(E544-E543)</f>
        <v>9.99999999999979</v>
      </c>
      <c r="I544" s="5"/>
      <c r="J544" s="818" t="n">
        <f aca="false">1000*(E544-$E$215)/(B544-$B$215)</f>
        <v>14.7837988710388</v>
      </c>
      <c r="K544" s="732" t="n">
        <f aca="false">AVERAGE($E$216:E544)</f>
        <v>6.65636829770329</v>
      </c>
      <c r="L544" s="819" t="n">
        <f aca="false">L543+1</f>
        <v>329</v>
      </c>
      <c r="M544" s="820" t="n">
        <f aca="false">IF(B544&lt;$E$104,$E$105,$E$106)</f>
        <v>3</v>
      </c>
      <c r="N544" s="821" t="n">
        <f aca="false">IF(B544&lt;$E$104,$E$105,$E$111)</f>
        <v>2.5</v>
      </c>
      <c r="O544" s="822" t="n">
        <f aca="false">E544*$E$205*N544</f>
        <v>109.317817425742</v>
      </c>
      <c r="P544" s="823" t="n">
        <f aca="false">P543+O544</f>
        <v>28569.1571315644</v>
      </c>
      <c r="Q544" s="606" t="n">
        <f aca="false">Q543+1</f>
        <v>329</v>
      </c>
      <c r="R544" s="824" t="n">
        <f aca="false">R543-1</f>
        <v>-329</v>
      </c>
      <c r="S544" s="5"/>
      <c r="T544" s="5"/>
      <c r="U544" s="5"/>
      <c r="V544" s="10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02"/>
      <c r="AU544" s="502"/>
      <c r="AV544" s="606"/>
      <c r="AW544" s="502"/>
      <c r="AX544" s="502"/>
      <c r="AY544" s="502"/>
      <c r="AZ544" s="502"/>
      <c r="BA544" s="502"/>
      <c r="BB544" s="502"/>
      <c r="BC544" s="502"/>
      <c r="BD544" s="502"/>
      <c r="BE544" s="502"/>
      <c r="BF544" s="502"/>
      <c r="BG544" s="502"/>
      <c r="BH544" s="502"/>
      <c r="BI544" s="502"/>
      <c r="BJ544" s="502"/>
      <c r="BK544" s="502"/>
      <c r="BL544" s="502"/>
      <c r="BM544" s="502"/>
      <c r="BN544" s="502"/>
      <c r="BO544" s="502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</row>
    <row r="545" s="504" customFormat="true" ht="12.75" hidden="true" customHeight="true" outlineLevel="0" collapsed="false">
      <c r="A545" s="5"/>
      <c r="B545" s="813" t="n">
        <f aca="false">B544+1</f>
        <v>330</v>
      </c>
      <c r="C545" s="814" t="n">
        <f aca="false">C544+D545</f>
        <v>34352.3108983367</v>
      </c>
      <c r="D545" s="815" t="n">
        <f aca="false">E545*$E$205*M545</f>
        <v>131.33906091089</v>
      </c>
      <c r="E545" s="601" t="n">
        <f aca="false">E544+$C$204</f>
        <v>8.32946860165462</v>
      </c>
      <c r="F545" s="816" t="n">
        <f aca="false">F544+1</f>
        <v>330</v>
      </c>
      <c r="G545" s="775" t="n">
        <f aca="false">C545</f>
        <v>34352.3108983367</v>
      </c>
      <c r="H545" s="817" t="n">
        <f aca="false">1000*(E545-E544)</f>
        <v>9.99999999999979</v>
      </c>
      <c r="I545" s="5"/>
      <c r="J545" s="818" t="n">
        <f aca="false">1000*(E545-$E$215)/(B545-$B$215)</f>
        <v>14.7693025108236</v>
      </c>
      <c r="K545" s="732" t="n">
        <f aca="false">AVERAGE($E$216:E545)</f>
        <v>6.66143829862435</v>
      </c>
      <c r="L545" s="819" t="n">
        <f aca="false">L544+1</f>
        <v>330</v>
      </c>
      <c r="M545" s="820" t="n">
        <f aca="false">IF(B545&lt;$E$104,$E$105,$E$106)</f>
        <v>3</v>
      </c>
      <c r="N545" s="821" t="n">
        <f aca="false">IF(B545&lt;$E$104,$E$105,$E$111)</f>
        <v>2.5</v>
      </c>
      <c r="O545" s="822" t="n">
        <f aca="false">E545*$E$205*N545</f>
        <v>109.449217425742</v>
      </c>
      <c r="P545" s="823" t="n">
        <f aca="false">P544+O545</f>
        <v>28678.6063489901</v>
      </c>
      <c r="Q545" s="606" t="n">
        <f aca="false">Q544+1</f>
        <v>330</v>
      </c>
      <c r="R545" s="824" t="n">
        <f aca="false">R544-1</f>
        <v>-330</v>
      </c>
      <c r="S545" s="5"/>
      <c r="T545" s="5"/>
      <c r="U545" s="5"/>
      <c r="V545" s="10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02"/>
      <c r="AU545" s="502"/>
      <c r="AV545" s="606"/>
      <c r="AW545" s="502"/>
      <c r="AX545" s="502"/>
      <c r="AY545" s="502"/>
      <c r="AZ545" s="502"/>
      <c r="BA545" s="502"/>
      <c r="BB545" s="502"/>
      <c r="BC545" s="502"/>
      <c r="BD545" s="502"/>
      <c r="BE545" s="502"/>
      <c r="BF545" s="502"/>
      <c r="BG545" s="502"/>
      <c r="BH545" s="502"/>
      <c r="BI545" s="502"/>
      <c r="BJ545" s="502"/>
      <c r="BK545" s="502"/>
      <c r="BL545" s="502"/>
      <c r="BM545" s="502"/>
      <c r="BN545" s="502"/>
      <c r="BO545" s="502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</row>
    <row r="546" s="504" customFormat="true" ht="12.75" hidden="true" customHeight="true" outlineLevel="0" collapsed="false">
      <c r="A546" s="5"/>
      <c r="B546" s="813" t="n">
        <f aca="false">B545+1</f>
        <v>331</v>
      </c>
      <c r="C546" s="814" t="n">
        <f aca="false">C545+D546</f>
        <v>34483.8076392476</v>
      </c>
      <c r="D546" s="815" t="n">
        <f aca="false">E546*$E$205*M546</f>
        <v>131.49674091089</v>
      </c>
      <c r="E546" s="601" t="n">
        <f aca="false">E545+$C$204</f>
        <v>8.33946860165462</v>
      </c>
      <c r="F546" s="816" t="n">
        <f aca="false">F545+1</f>
        <v>331</v>
      </c>
      <c r="G546" s="775" t="n">
        <f aca="false">C546</f>
        <v>34483.8076392476</v>
      </c>
      <c r="H546" s="817" t="n">
        <f aca="false">1000*(E546-E545)</f>
        <v>9.99999999999979</v>
      </c>
      <c r="I546" s="5"/>
      <c r="J546" s="818" t="n">
        <f aca="false">1000*(E546-$E$215)/(B546-$B$215)</f>
        <v>14.7548937419087</v>
      </c>
      <c r="K546" s="732" t="n">
        <f aca="false">AVERAGE($E$216:E546)</f>
        <v>6.66650787657913</v>
      </c>
      <c r="L546" s="819" t="n">
        <f aca="false">L545+1</f>
        <v>331</v>
      </c>
      <c r="M546" s="820" t="n">
        <f aca="false">IF(B546&lt;$E$104,$E$105,$E$106)</f>
        <v>3</v>
      </c>
      <c r="N546" s="821" t="n">
        <f aca="false">IF(B546&lt;$E$104,$E$105,$E$111)</f>
        <v>2.5</v>
      </c>
      <c r="O546" s="822" t="n">
        <f aca="false">E546*$E$205*N546</f>
        <v>109.580617425742</v>
      </c>
      <c r="P546" s="823" t="n">
        <f aca="false">P545+O546</f>
        <v>28788.1869664159</v>
      </c>
      <c r="Q546" s="606" t="n">
        <f aca="false">Q545+1</f>
        <v>331</v>
      </c>
      <c r="R546" s="824" t="n">
        <f aca="false">R545-1</f>
        <v>-331</v>
      </c>
      <c r="S546" s="5"/>
      <c r="T546" s="5"/>
      <c r="U546" s="5"/>
      <c r="V546" s="10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02"/>
      <c r="AU546" s="502"/>
      <c r="AV546" s="606"/>
      <c r="AW546" s="502"/>
      <c r="AX546" s="502"/>
      <c r="AY546" s="502"/>
      <c r="AZ546" s="502"/>
      <c r="BA546" s="502"/>
      <c r="BB546" s="502"/>
      <c r="BC546" s="502"/>
      <c r="BD546" s="502"/>
      <c r="BE546" s="502"/>
      <c r="BF546" s="502"/>
      <c r="BG546" s="502"/>
      <c r="BH546" s="502"/>
      <c r="BI546" s="502"/>
      <c r="BJ546" s="502"/>
      <c r="BK546" s="502"/>
      <c r="BL546" s="502"/>
      <c r="BM546" s="502"/>
      <c r="BN546" s="502"/>
      <c r="BO546" s="502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</row>
    <row r="547" s="504" customFormat="true" ht="12.75" hidden="true" customHeight="true" outlineLevel="0" collapsed="false">
      <c r="A547" s="5"/>
      <c r="B547" s="813" t="n">
        <f aca="false">B546+1</f>
        <v>332</v>
      </c>
      <c r="C547" s="814" t="n">
        <f aca="false">C546+D547</f>
        <v>34615.4620601585</v>
      </c>
      <c r="D547" s="815" t="n">
        <f aca="false">E547*$E$205*M547</f>
        <v>131.65442091089</v>
      </c>
      <c r="E547" s="601" t="n">
        <f aca="false">E546+$C$204</f>
        <v>8.34946860165462</v>
      </c>
      <c r="F547" s="816" t="n">
        <f aca="false">F546+1</f>
        <v>332</v>
      </c>
      <c r="G547" s="775" t="n">
        <f aca="false">C547</f>
        <v>34615.4620601585</v>
      </c>
      <c r="H547" s="817" t="n">
        <f aca="false">1000*(E547-E546)</f>
        <v>9.99999999999979</v>
      </c>
      <c r="I547" s="5"/>
      <c r="J547" s="818" t="n">
        <f aca="false">1000*(E547-$E$215)/(B547-$B$215)</f>
        <v>14.7405717728065</v>
      </c>
      <c r="K547" s="732" t="n">
        <f aca="false">AVERAGE($E$216:E547)</f>
        <v>6.6715770353896</v>
      </c>
      <c r="L547" s="819" t="n">
        <f aca="false">L546+1</f>
        <v>332</v>
      </c>
      <c r="M547" s="820" t="n">
        <f aca="false">IF(B547&lt;$E$104,$E$105,$E$106)</f>
        <v>3</v>
      </c>
      <c r="N547" s="821" t="n">
        <f aca="false">IF(B547&lt;$E$104,$E$105,$E$111)</f>
        <v>2.5</v>
      </c>
      <c r="O547" s="822" t="n">
        <f aca="false">E547*$E$205*N547</f>
        <v>109.712017425742</v>
      </c>
      <c r="P547" s="823" t="n">
        <f aca="false">P546+O547</f>
        <v>28897.8989838416</v>
      </c>
      <c r="Q547" s="606" t="n">
        <f aca="false">Q546+1</f>
        <v>332</v>
      </c>
      <c r="R547" s="824" t="n">
        <f aca="false">R546-1</f>
        <v>-332</v>
      </c>
      <c r="S547" s="5"/>
      <c r="T547" s="5"/>
      <c r="U547" s="5"/>
      <c r="V547" s="10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02"/>
      <c r="AU547" s="502"/>
      <c r="AV547" s="606"/>
      <c r="AW547" s="502"/>
      <c r="AX547" s="502"/>
      <c r="AY547" s="502"/>
      <c r="AZ547" s="502"/>
      <c r="BA547" s="502"/>
      <c r="BB547" s="502"/>
      <c r="BC547" s="502"/>
      <c r="BD547" s="502"/>
      <c r="BE547" s="502"/>
      <c r="BF547" s="502"/>
      <c r="BG547" s="502"/>
      <c r="BH547" s="502"/>
      <c r="BI547" s="502"/>
      <c r="BJ547" s="502"/>
      <c r="BK547" s="502"/>
      <c r="BL547" s="502"/>
      <c r="BM547" s="502"/>
      <c r="BN547" s="502"/>
      <c r="BO547" s="502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</row>
    <row r="548" s="504" customFormat="true" ht="12.75" hidden="true" customHeight="true" outlineLevel="0" collapsed="false">
      <c r="A548" s="5"/>
      <c r="B548" s="813" t="n">
        <f aca="false">B547+1</f>
        <v>333</v>
      </c>
      <c r="C548" s="814" t="n">
        <f aca="false">C547+D548</f>
        <v>34747.2741610694</v>
      </c>
      <c r="D548" s="815" t="n">
        <f aca="false">E548*$E$205*M548</f>
        <v>131.81210091089</v>
      </c>
      <c r="E548" s="601" t="n">
        <f aca="false">E547+$C$204</f>
        <v>8.35946860165462</v>
      </c>
      <c r="F548" s="816" t="n">
        <f aca="false">F547+1</f>
        <v>333</v>
      </c>
      <c r="G548" s="775" t="n">
        <f aca="false">C548</f>
        <v>34747.2741610694</v>
      </c>
      <c r="H548" s="817" t="n">
        <f aca="false">1000*(E548-E547)</f>
        <v>9.99999999999979</v>
      </c>
      <c r="I548" s="5"/>
      <c r="J548" s="818" t="n">
        <f aca="false">1000*(E548-$E$215)/(B548-$B$215)</f>
        <v>14.7263358215369</v>
      </c>
      <c r="K548" s="732" t="n">
        <f aca="false">AVERAGE($E$216:E548)</f>
        <v>6.67664577883183</v>
      </c>
      <c r="L548" s="819" t="n">
        <f aca="false">L547+1</f>
        <v>333</v>
      </c>
      <c r="M548" s="820" t="n">
        <f aca="false">IF(B548&lt;$E$104,$E$105,$E$106)</f>
        <v>3</v>
      </c>
      <c r="N548" s="821" t="n">
        <f aca="false">IF(B548&lt;$E$104,$E$105,$E$111)</f>
        <v>2.5</v>
      </c>
      <c r="O548" s="822" t="n">
        <f aca="false">E548*$E$205*N548</f>
        <v>109.843417425742</v>
      </c>
      <c r="P548" s="823" t="n">
        <f aca="false">P547+O548</f>
        <v>29007.7424012674</v>
      </c>
      <c r="Q548" s="606" t="n">
        <f aca="false">Q547+1</f>
        <v>333</v>
      </c>
      <c r="R548" s="824" t="n">
        <f aca="false">R547-1</f>
        <v>-333</v>
      </c>
      <c r="S548" s="5"/>
      <c r="T548" s="5"/>
      <c r="U548" s="5"/>
      <c r="V548" s="10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02"/>
      <c r="AU548" s="502"/>
      <c r="AV548" s="606"/>
      <c r="AW548" s="502"/>
      <c r="AX548" s="502"/>
      <c r="AY548" s="502"/>
      <c r="AZ548" s="502"/>
      <c r="BA548" s="502"/>
      <c r="BB548" s="502"/>
      <c r="BC548" s="502"/>
      <c r="BD548" s="502"/>
      <c r="BE548" s="502"/>
      <c r="BF548" s="502"/>
      <c r="BG548" s="502"/>
      <c r="BH548" s="502"/>
      <c r="BI548" s="502"/>
      <c r="BJ548" s="502"/>
      <c r="BK548" s="502"/>
      <c r="BL548" s="502"/>
      <c r="BM548" s="502"/>
      <c r="BN548" s="502"/>
      <c r="BO548" s="502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</row>
    <row r="549" s="504" customFormat="true" ht="12.75" hidden="true" customHeight="true" outlineLevel="0" collapsed="false">
      <c r="A549" s="5"/>
      <c r="B549" s="813" t="n">
        <f aca="false">B548+1</f>
        <v>334</v>
      </c>
      <c r="C549" s="814" t="n">
        <f aca="false">C548+D549</f>
        <v>34879.2439419803</v>
      </c>
      <c r="D549" s="815" t="n">
        <f aca="false">E549*$E$205*M549</f>
        <v>131.96978091089</v>
      </c>
      <c r="E549" s="601" t="n">
        <f aca="false">E548+$C$204</f>
        <v>8.36946860165462</v>
      </c>
      <c r="F549" s="816" t="n">
        <f aca="false">F548+1</f>
        <v>334</v>
      </c>
      <c r="G549" s="775" t="n">
        <f aca="false">C549</f>
        <v>34879.2439419803</v>
      </c>
      <c r="H549" s="817" t="n">
        <f aca="false">1000*(E549-E548)</f>
        <v>9.99999999999979</v>
      </c>
      <c r="I549" s="5"/>
      <c r="J549" s="818" t="n">
        <f aca="false">1000*(E549-$E$215)/(B549-$B$215)</f>
        <v>14.7121851154843</v>
      </c>
      <c r="K549" s="732" t="n">
        <f aca="false">AVERAGE($E$216:E549)</f>
        <v>6.68171411063669</v>
      </c>
      <c r="L549" s="819" t="n">
        <f aca="false">L548+1</f>
        <v>334</v>
      </c>
      <c r="M549" s="820" t="n">
        <f aca="false">IF(B549&lt;$E$104,$E$105,$E$106)</f>
        <v>3</v>
      </c>
      <c r="N549" s="821" t="n">
        <f aca="false">IF(B549&lt;$E$104,$E$105,$E$111)</f>
        <v>2.5</v>
      </c>
      <c r="O549" s="822" t="n">
        <f aca="false">E549*$E$205*N549</f>
        <v>109.974817425742</v>
      </c>
      <c r="P549" s="823" t="n">
        <f aca="false">P548+O549</f>
        <v>29117.7172186931</v>
      </c>
      <c r="Q549" s="606" t="n">
        <f aca="false">Q548+1</f>
        <v>334</v>
      </c>
      <c r="R549" s="824" t="n">
        <f aca="false">R548-1</f>
        <v>-334</v>
      </c>
      <c r="S549" s="5"/>
      <c r="T549" s="5"/>
      <c r="U549" s="5"/>
      <c r="V549" s="10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02"/>
      <c r="AU549" s="502"/>
      <c r="AV549" s="606"/>
      <c r="AW549" s="502"/>
      <c r="AX549" s="502"/>
      <c r="AY549" s="502"/>
      <c r="AZ549" s="502"/>
      <c r="BA549" s="502"/>
      <c r="BB549" s="502"/>
      <c r="BC549" s="502"/>
      <c r="BD549" s="502"/>
      <c r="BE549" s="502"/>
      <c r="BF549" s="502"/>
      <c r="BG549" s="502"/>
      <c r="BH549" s="502"/>
      <c r="BI549" s="502"/>
      <c r="BJ549" s="502"/>
      <c r="BK549" s="502"/>
      <c r="BL549" s="502"/>
      <c r="BM549" s="502"/>
      <c r="BN549" s="502"/>
      <c r="BO549" s="502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</row>
    <row r="550" s="504" customFormat="true" ht="12.75" hidden="true" customHeight="true" outlineLevel="0" collapsed="false">
      <c r="A550" s="5"/>
      <c r="B550" s="813" t="n">
        <f aca="false">B549+1</f>
        <v>335</v>
      </c>
      <c r="C550" s="814" t="n">
        <f aca="false">C549+D550</f>
        <v>35011.3714028912</v>
      </c>
      <c r="D550" s="815" t="n">
        <f aca="false">E550*$E$205*M550</f>
        <v>132.12746091089</v>
      </c>
      <c r="E550" s="601" t="n">
        <f aca="false">E549+$C$204</f>
        <v>8.37946860165462</v>
      </c>
      <c r="F550" s="816" t="n">
        <f aca="false">F549+1</f>
        <v>335</v>
      </c>
      <c r="G550" s="775" t="n">
        <f aca="false">C550</f>
        <v>35011.3714028912</v>
      </c>
      <c r="H550" s="817" t="n">
        <f aca="false">1000*(E550-E549)</f>
        <v>9.99999999999979</v>
      </c>
      <c r="I550" s="5"/>
      <c r="J550" s="818" t="n">
        <f aca="false">1000*(E550-$E$215)/(B550-$B$215)</f>
        <v>14.698118891259</v>
      </c>
      <c r="K550" s="732" t="n">
        <f aca="false">AVERAGE($E$216:E550)</f>
        <v>6.68678203449048</v>
      </c>
      <c r="L550" s="819" t="n">
        <f aca="false">L549+1</f>
        <v>335</v>
      </c>
      <c r="M550" s="820" t="n">
        <f aca="false">IF(B550&lt;$E$104,$E$105,$E$106)</f>
        <v>3</v>
      </c>
      <c r="N550" s="821" t="n">
        <f aca="false">IF(B550&lt;$E$104,$E$105,$E$111)</f>
        <v>2.5</v>
      </c>
      <c r="O550" s="822" t="n">
        <f aca="false">E550*$E$205*N550</f>
        <v>110.106217425742</v>
      </c>
      <c r="P550" s="823" t="n">
        <f aca="false">P549+O550</f>
        <v>29227.8234361189</v>
      </c>
      <c r="Q550" s="606" t="n">
        <f aca="false">Q549+1</f>
        <v>335</v>
      </c>
      <c r="R550" s="824" t="n">
        <f aca="false">R549-1</f>
        <v>-335</v>
      </c>
      <c r="S550" s="5"/>
      <c r="T550" s="5"/>
      <c r="U550" s="5"/>
      <c r="V550" s="10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02"/>
      <c r="AU550" s="502"/>
      <c r="AV550" s="606"/>
      <c r="AW550" s="502"/>
      <c r="AX550" s="502"/>
      <c r="AY550" s="502"/>
      <c r="AZ550" s="502"/>
      <c r="BA550" s="502"/>
      <c r="BB550" s="502"/>
      <c r="BC550" s="502"/>
      <c r="BD550" s="502"/>
      <c r="BE550" s="502"/>
      <c r="BF550" s="502"/>
      <c r="BG550" s="502"/>
      <c r="BH550" s="502"/>
      <c r="BI550" s="502"/>
      <c r="BJ550" s="502"/>
      <c r="BK550" s="502"/>
      <c r="BL550" s="502"/>
      <c r="BM550" s="502"/>
      <c r="BN550" s="502"/>
      <c r="BO550" s="502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</row>
    <row r="551" s="504" customFormat="true" ht="12.75" hidden="true" customHeight="true" outlineLevel="0" collapsed="false">
      <c r="A551" s="5"/>
      <c r="B551" s="813" t="n">
        <f aca="false">B550+1</f>
        <v>336</v>
      </c>
      <c r="C551" s="814" t="n">
        <f aca="false">C550+D551</f>
        <v>35143.6565438021</v>
      </c>
      <c r="D551" s="815" t="n">
        <f aca="false">E551*$E$205*M551</f>
        <v>132.28514091089</v>
      </c>
      <c r="E551" s="601" t="n">
        <f aca="false">E550+$C$204</f>
        <v>8.38946860165462</v>
      </c>
      <c r="F551" s="816" t="n">
        <f aca="false">F550+1</f>
        <v>336</v>
      </c>
      <c r="G551" s="775" t="n">
        <f aca="false">C551</f>
        <v>35143.6565438021</v>
      </c>
      <c r="H551" s="817" t="n">
        <f aca="false">1000*(E551-E550)</f>
        <v>9.99999999999979</v>
      </c>
      <c r="I551" s="5"/>
      <c r="J551" s="818" t="n">
        <f aca="false">1000*(E551-$E$215)/(B551-$B$215)</f>
        <v>14.6841363945588</v>
      </c>
      <c r="K551" s="732" t="n">
        <f aca="false">AVERAGE($E$216:E551)</f>
        <v>6.69184955403561</v>
      </c>
      <c r="L551" s="819" t="n">
        <f aca="false">L550+1</f>
        <v>336</v>
      </c>
      <c r="M551" s="820" t="n">
        <f aca="false">IF(B551&lt;$E$104,$E$105,$E$106)</f>
        <v>3</v>
      </c>
      <c r="N551" s="821" t="n">
        <f aca="false">IF(B551&lt;$E$104,$E$105,$E$111)</f>
        <v>2.5</v>
      </c>
      <c r="O551" s="822" t="n">
        <f aca="false">E551*$E$205*N551</f>
        <v>110.237617425742</v>
      </c>
      <c r="P551" s="823" t="n">
        <f aca="false">P550+O551</f>
        <v>29338.0610535446</v>
      </c>
      <c r="Q551" s="606" t="n">
        <f aca="false">Q550+1</f>
        <v>336</v>
      </c>
      <c r="R551" s="824" t="n">
        <f aca="false">R550-1</f>
        <v>-336</v>
      </c>
      <c r="S551" s="5"/>
      <c r="T551" s="5"/>
      <c r="U551" s="5"/>
      <c r="V551" s="10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02"/>
      <c r="AU551" s="502"/>
      <c r="AV551" s="606"/>
      <c r="AW551" s="502"/>
      <c r="AX551" s="502"/>
      <c r="AY551" s="502"/>
      <c r="AZ551" s="502"/>
      <c r="BA551" s="502"/>
      <c r="BB551" s="502"/>
      <c r="BC551" s="502"/>
      <c r="BD551" s="502"/>
      <c r="BE551" s="502"/>
      <c r="BF551" s="502"/>
      <c r="BG551" s="502"/>
      <c r="BH551" s="502"/>
      <c r="BI551" s="502"/>
      <c r="BJ551" s="502"/>
      <c r="BK551" s="502"/>
      <c r="BL551" s="502"/>
      <c r="BM551" s="502"/>
      <c r="BN551" s="502"/>
      <c r="BO551" s="502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</row>
    <row r="552" s="504" customFormat="true" ht="12.75" hidden="true" customHeight="true" outlineLevel="0" collapsed="false">
      <c r="A552" s="5"/>
      <c r="B552" s="813" t="n">
        <f aca="false">B551+1</f>
        <v>337</v>
      </c>
      <c r="C552" s="814" t="n">
        <f aca="false">C551+D552</f>
        <v>35276.099364713</v>
      </c>
      <c r="D552" s="815" t="n">
        <f aca="false">E552*$E$205*M552</f>
        <v>132.44282091089</v>
      </c>
      <c r="E552" s="601" t="n">
        <f aca="false">E551+$C$204</f>
        <v>8.39946860165462</v>
      </c>
      <c r="F552" s="816" t="n">
        <f aca="false">F551+1</f>
        <v>337</v>
      </c>
      <c r="G552" s="775" t="n">
        <f aca="false">C552</f>
        <v>35276.099364713</v>
      </c>
      <c r="H552" s="817" t="n">
        <f aca="false">1000*(E552-E551)</f>
        <v>9.99999999999979</v>
      </c>
      <c r="I552" s="5"/>
      <c r="J552" s="818" t="n">
        <f aca="false">1000*(E552-$E$215)/(B552-$B$215)</f>
        <v>14.6702368800349</v>
      </c>
      <c r="K552" s="732" t="n">
        <f aca="false">AVERAGE($E$216:E552)</f>
        <v>6.69691667287127</v>
      </c>
      <c r="L552" s="819" t="n">
        <f aca="false">L551+1</f>
        <v>337</v>
      </c>
      <c r="M552" s="820" t="n">
        <f aca="false">IF(B552&lt;$E$104,$E$105,$E$106)</f>
        <v>3</v>
      </c>
      <c r="N552" s="821" t="n">
        <f aca="false">IF(B552&lt;$E$104,$E$105,$E$111)</f>
        <v>2.5</v>
      </c>
      <c r="O552" s="822" t="n">
        <f aca="false">E552*$E$205*N552</f>
        <v>110.369017425742</v>
      </c>
      <c r="P552" s="823" t="n">
        <f aca="false">P551+O552</f>
        <v>29448.4300709703</v>
      </c>
      <c r="Q552" s="606" t="n">
        <f aca="false">Q551+1</f>
        <v>337</v>
      </c>
      <c r="R552" s="824" t="n">
        <f aca="false">R551-1</f>
        <v>-337</v>
      </c>
      <c r="S552" s="5"/>
      <c r="T552" s="5"/>
      <c r="U552" s="5"/>
      <c r="V552" s="10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02"/>
      <c r="AU552" s="502"/>
      <c r="AV552" s="606"/>
      <c r="AW552" s="502"/>
      <c r="AX552" s="502"/>
      <c r="AY552" s="502"/>
      <c r="AZ552" s="502"/>
      <c r="BA552" s="502"/>
      <c r="BB552" s="502"/>
      <c r="BC552" s="502"/>
      <c r="BD552" s="502"/>
      <c r="BE552" s="502"/>
      <c r="BF552" s="502"/>
      <c r="BG552" s="502"/>
      <c r="BH552" s="502"/>
      <c r="BI552" s="502"/>
      <c r="BJ552" s="502"/>
      <c r="BK552" s="502"/>
      <c r="BL552" s="502"/>
      <c r="BM552" s="502"/>
      <c r="BN552" s="502"/>
      <c r="BO552" s="502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</row>
    <row r="553" s="504" customFormat="true" ht="12.75" hidden="true" customHeight="true" outlineLevel="0" collapsed="false">
      <c r="A553" s="5"/>
      <c r="B553" s="813" t="n">
        <f aca="false">B552+1</f>
        <v>338</v>
      </c>
      <c r="C553" s="814" t="n">
        <f aca="false">C552+D553</f>
        <v>35408.6998656239</v>
      </c>
      <c r="D553" s="815" t="n">
        <f aca="false">E553*$E$205*M553</f>
        <v>132.60050091089</v>
      </c>
      <c r="E553" s="601" t="n">
        <f aca="false">E552+$C$204</f>
        <v>8.40946860165462</v>
      </c>
      <c r="F553" s="816" t="n">
        <f aca="false">F552+1</f>
        <v>338</v>
      </c>
      <c r="G553" s="775" t="n">
        <f aca="false">C553</f>
        <v>35408.6998656239</v>
      </c>
      <c r="H553" s="817" t="n">
        <f aca="false">1000*(E553-E552)</f>
        <v>9.99999999999979</v>
      </c>
      <c r="I553" s="5"/>
      <c r="J553" s="818" t="n">
        <f aca="false">1000*(E553-$E$215)/(B553-$B$215)</f>
        <v>14.6564196111591</v>
      </c>
      <c r="K553" s="732" t="n">
        <f aca="false">AVERAGE($E$216:E553)</f>
        <v>6.70198339455406</v>
      </c>
      <c r="L553" s="819" t="n">
        <f aca="false">L552+1</f>
        <v>338</v>
      </c>
      <c r="M553" s="820" t="n">
        <f aca="false">IF(B553&lt;$E$104,$E$105,$E$106)</f>
        <v>3</v>
      </c>
      <c r="N553" s="821" t="n">
        <f aca="false">IF(B553&lt;$E$104,$E$105,$E$111)</f>
        <v>2.5</v>
      </c>
      <c r="O553" s="822" t="n">
        <f aca="false">E553*$E$205*N553</f>
        <v>110.500417425742</v>
      </c>
      <c r="P553" s="823" t="n">
        <f aca="false">P552+O553</f>
        <v>29558.9304883961</v>
      </c>
      <c r="Q553" s="606" t="n">
        <f aca="false">Q552+1</f>
        <v>338</v>
      </c>
      <c r="R553" s="824" t="n">
        <f aca="false">R552-1</f>
        <v>-338</v>
      </c>
      <c r="S553" s="5"/>
      <c r="T553" s="5"/>
      <c r="U553" s="5"/>
      <c r="V553" s="10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02"/>
      <c r="AU553" s="502"/>
      <c r="AV553" s="606"/>
      <c r="AW553" s="502"/>
      <c r="AX553" s="502"/>
      <c r="AY553" s="502"/>
      <c r="AZ553" s="502"/>
      <c r="BA553" s="502"/>
      <c r="BB553" s="502"/>
      <c r="BC553" s="502"/>
      <c r="BD553" s="502"/>
      <c r="BE553" s="502"/>
      <c r="BF553" s="502"/>
      <c r="BG553" s="502"/>
      <c r="BH553" s="502"/>
      <c r="BI553" s="502"/>
      <c r="BJ553" s="502"/>
      <c r="BK553" s="502"/>
      <c r="BL553" s="502"/>
      <c r="BM553" s="502"/>
      <c r="BN553" s="502"/>
      <c r="BO553" s="502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</row>
    <row r="554" s="504" customFormat="true" ht="12.75" hidden="true" customHeight="true" outlineLevel="0" collapsed="false">
      <c r="A554" s="5"/>
      <c r="B554" s="813" t="n">
        <f aca="false">B553+1</f>
        <v>339</v>
      </c>
      <c r="C554" s="814" t="n">
        <f aca="false">C553+D554</f>
        <v>35541.4580465348</v>
      </c>
      <c r="D554" s="815" t="n">
        <f aca="false">E554*$E$205*M554</f>
        <v>132.75818091089</v>
      </c>
      <c r="E554" s="601" t="n">
        <f aca="false">E553+$C$204</f>
        <v>8.41946860165462</v>
      </c>
      <c r="F554" s="816" t="n">
        <f aca="false">F553+1</f>
        <v>339</v>
      </c>
      <c r="G554" s="775" t="n">
        <f aca="false">C554</f>
        <v>35541.4580465348</v>
      </c>
      <c r="H554" s="817" t="n">
        <f aca="false">1000*(E554-E553)</f>
        <v>9.99999999999979</v>
      </c>
      <c r="I554" s="5"/>
      <c r="J554" s="818" t="n">
        <f aca="false">1000*(E554-$E$215)/(B554-$B$215)</f>
        <v>14.6426838600937</v>
      </c>
      <c r="K554" s="732" t="n">
        <f aca="false">AVERAGE($E$216:E554)</f>
        <v>6.70704972259861</v>
      </c>
      <c r="L554" s="819" t="n">
        <f aca="false">L553+1</f>
        <v>339</v>
      </c>
      <c r="M554" s="820" t="n">
        <f aca="false">IF(B554&lt;$E$104,$E$105,$E$106)</f>
        <v>3</v>
      </c>
      <c r="N554" s="821" t="n">
        <f aca="false">IF(B554&lt;$E$104,$E$105,$E$111)</f>
        <v>2.5</v>
      </c>
      <c r="O554" s="822" t="n">
        <f aca="false">E554*$E$205*N554</f>
        <v>110.631817425742</v>
      </c>
      <c r="P554" s="823" t="n">
        <f aca="false">P553+O554</f>
        <v>29669.5623058218</v>
      </c>
      <c r="Q554" s="606" t="n">
        <f aca="false">Q553+1</f>
        <v>339</v>
      </c>
      <c r="R554" s="824" t="n">
        <f aca="false">R553-1</f>
        <v>-339</v>
      </c>
      <c r="S554" s="5"/>
      <c r="T554" s="5"/>
      <c r="U554" s="5"/>
      <c r="V554" s="10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02"/>
      <c r="AU554" s="502"/>
      <c r="AV554" s="606"/>
      <c r="AW554" s="502"/>
      <c r="AX554" s="502"/>
      <c r="AY554" s="502"/>
      <c r="AZ554" s="502"/>
      <c r="BA554" s="502"/>
      <c r="BB554" s="502"/>
      <c r="BC554" s="502"/>
      <c r="BD554" s="502"/>
      <c r="BE554" s="502"/>
      <c r="BF554" s="502"/>
      <c r="BG554" s="502"/>
      <c r="BH554" s="502"/>
      <c r="BI554" s="502"/>
      <c r="BJ554" s="502"/>
      <c r="BK554" s="502"/>
      <c r="BL554" s="502"/>
      <c r="BM554" s="502"/>
      <c r="BN554" s="502"/>
      <c r="BO554" s="502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</row>
    <row r="555" s="504" customFormat="true" ht="12.75" hidden="true" customHeight="true" outlineLevel="0" collapsed="false">
      <c r="A555" s="5"/>
      <c r="B555" s="813" t="n">
        <f aca="false">B554+1</f>
        <v>340</v>
      </c>
      <c r="C555" s="814" t="n">
        <f aca="false">C554+D555</f>
        <v>35674.3739074456</v>
      </c>
      <c r="D555" s="815" t="n">
        <f aca="false">E555*$E$205*M555</f>
        <v>132.91586091089</v>
      </c>
      <c r="E555" s="601" t="n">
        <f aca="false">E554+$C$204</f>
        <v>8.42946860165462</v>
      </c>
      <c r="F555" s="816" t="n">
        <f aca="false">F554+1</f>
        <v>340</v>
      </c>
      <c r="G555" s="775" t="n">
        <f aca="false">C555</f>
        <v>35674.3739074456</v>
      </c>
      <c r="H555" s="817" t="n">
        <f aca="false">1000*(E555-E554)</f>
        <v>9.99999999999979</v>
      </c>
      <c r="I555" s="5"/>
      <c r="J555" s="818" t="n">
        <f aca="false">1000*(E555-$E$215)/(B555-$B$215)</f>
        <v>14.629028907564</v>
      </c>
      <c r="K555" s="732" t="n">
        <f aca="false">AVERAGE($E$216:E555)</f>
        <v>6.71211566047818</v>
      </c>
      <c r="L555" s="819" t="n">
        <f aca="false">L554+1</f>
        <v>340</v>
      </c>
      <c r="M555" s="820" t="n">
        <f aca="false">IF(B555&lt;$E$104,$E$105,$E$106)</f>
        <v>3</v>
      </c>
      <c r="N555" s="821" t="n">
        <f aca="false">IF(B555&lt;$E$104,$E$105,$E$111)</f>
        <v>2.5</v>
      </c>
      <c r="O555" s="822" t="n">
        <f aca="false">E555*$E$205*N555</f>
        <v>110.763217425742</v>
      </c>
      <c r="P555" s="823" t="n">
        <f aca="false">P554+O555</f>
        <v>29780.3255232476</v>
      </c>
      <c r="Q555" s="606" t="n">
        <f aca="false">Q554+1</f>
        <v>340</v>
      </c>
      <c r="R555" s="824" t="n">
        <f aca="false">R554-1</f>
        <v>-340</v>
      </c>
      <c r="S555" s="5"/>
      <c r="T555" s="5"/>
      <c r="U555" s="5"/>
      <c r="V555" s="10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02"/>
      <c r="AU555" s="502"/>
      <c r="AV555" s="606"/>
      <c r="AW555" s="502"/>
      <c r="AX555" s="502"/>
      <c r="AY555" s="502"/>
      <c r="AZ555" s="502"/>
      <c r="BA555" s="502"/>
      <c r="BB555" s="502"/>
      <c r="BC555" s="502"/>
      <c r="BD555" s="502"/>
      <c r="BE555" s="502"/>
      <c r="BF555" s="502"/>
      <c r="BG555" s="502"/>
      <c r="BH555" s="502"/>
      <c r="BI555" s="502"/>
      <c r="BJ555" s="502"/>
      <c r="BK555" s="502"/>
      <c r="BL555" s="502"/>
      <c r="BM555" s="502"/>
      <c r="BN555" s="502"/>
      <c r="BO555" s="502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</row>
    <row r="556" s="504" customFormat="true" ht="12.75" hidden="true" customHeight="true" outlineLevel="0" collapsed="false">
      <c r="A556" s="5"/>
      <c r="B556" s="813" t="n">
        <f aca="false">B555+1</f>
        <v>341</v>
      </c>
      <c r="C556" s="814" t="n">
        <f aca="false">C555+D556</f>
        <v>35807.4474483565</v>
      </c>
      <c r="D556" s="815" t="n">
        <f aca="false">E556*$E$205*M556</f>
        <v>133.07354091089</v>
      </c>
      <c r="E556" s="601" t="n">
        <f aca="false">E555+$C$204</f>
        <v>8.43946860165462</v>
      </c>
      <c r="F556" s="816" t="n">
        <f aca="false">F555+1</f>
        <v>341</v>
      </c>
      <c r="G556" s="775" t="n">
        <f aca="false">C556</f>
        <v>35807.4474483565</v>
      </c>
      <c r="H556" s="817" t="n">
        <f aca="false">1000*(E556-E555)</f>
        <v>9.99999999999979</v>
      </c>
      <c r="I556" s="5"/>
      <c r="J556" s="818" t="n">
        <f aca="false">1000*(E556-$E$215)/(B556-$B$215)</f>
        <v>14.6154540427325</v>
      </c>
      <c r="K556" s="732" t="n">
        <f aca="false">AVERAGE($E$216:E556)</f>
        <v>6.71718121162533</v>
      </c>
      <c r="L556" s="819" t="n">
        <f aca="false">L555+1</f>
        <v>341</v>
      </c>
      <c r="M556" s="820" t="n">
        <f aca="false">IF(B556&lt;$E$104,$E$105,$E$106)</f>
        <v>3</v>
      </c>
      <c r="N556" s="821" t="n">
        <f aca="false">IF(B556&lt;$E$104,$E$105,$E$111)</f>
        <v>2.5</v>
      </c>
      <c r="O556" s="822" t="n">
        <f aca="false">E556*$E$205*N556</f>
        <v>110.894617425742</v>
      </c>
      <c r="P556" s="823" t="n">
        <f aca="false">P555+O556</f>
        <v>29891.2201406733</v>
      </c>
      <c r="Q556" s="606" t="n">
        <f aca="false">Q555+1</f>
        <v>341</v>
      </c>
      <c r="R556" s="824" t="n">
        <f aca="false">R555-1</f>
        <v>-341</v>
      </c>
      <c r="S556" s="5"/>
      <c r="T556" s="5"/>
      <c r="U556" s="5"/>
      <c r="V556" s="10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02"/>
      <c r="AU556" s="502"/>
      <c r="AV556" s="606"/>
      <c r="AW556" s="502"/>
      <c r="AX556" s="502"/>
      <c r="AY556" s="502"/>
      <c r="AZ556" s="502"/>
      <c r="BA556" s="502"/>
      <c r="BB556" s="502"/>
      <c r="BC556" s="502"/>
      <c r="BD556" s="502"/>
      <c r="BE556" s="502"/>
      <c r="BF556" s="502"/>
      <c r="BG556" s="502"/>
      <c r="BH556" s="502"/>
      <c r="BI556" s="502"/>
      <c r="BJ556" s="502"/>
      <c r="BK556" s="502"/>
      <c r="BL556" s="502"/>
      <c r="BM556" s="502"/>
      <c r="BN556" s="502"/>
      <c r="BO556" s="502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</row>
    <row r="557" s="504" customFormat="true" ht="12.75" hidden="true" customHeight="true" outlineLevel="0" collapsed="false">
      <c r="A557" s="5"/>
      <c r="B557" s="813" t="n">
        <f aca="false">B556+1</f>
        <v>342</v>
      </c>
      <c r="C557" s="814" t="n">
        <f aca="false">C556+D557</f>
        <v>35940.6786692674</v>
      </c>
      <c r="D557" s="815" t="n">
        <f aca="false">E557*$E$205*M557</f>
        <v>133.23122091089</v>
      </c>
      <c r="E557" s="601" t="n">
        <f aca="false">E556+$C$204</f>
        <v>8.44946860165462</v>
      </c>
      <c r="F557" s="816" t="n">
        <f aca="false">F556+1</f>
        <v>342</v>
      </c>
      <c r="G557" s="775" t="n">
        <f aca="false">C557</f>
        <v>35940.6786692674</v>
      </c>
      <c r="H557" s="817" t="n">
        <f aca="false">1000*(E557-E556)</f>
        <v>9.99999999999979</v>
      </c>
      <c r="I557" s="5"/>
      <c r="J557" s="818" t="n">
        <f aca="false">1000*(E557-$E$215)/(B557-$B$215)</f>
        <v>14.6019585630754</v>
      </c>
      <c r="K557" s="732" t="n">
        <f aca="false">AVERAGE($E$216:E557)</f>
        <v>6.72224637943243</v>
      </c>
      <c r="L557" s="819" t="n">
        <f aca="false">L556+1</f>
        <v>342</v>
      </c>
      <c r="M557" s="820" t="n">
        <f aca="false">IF(B557&lt;$E$104,$E$105,$E$106)</f>
        <v>3</v>
      </c>
      <c r="N557" s="821" t="n">
        <f aca="false">IF(B557&lt;$E$104,$E$105,$E$111)</f>
        <v>2.5</v>
      </c>
      <c r="O557" s="822" t="n">
        <f aca="false">E557*$E$205*N557</f>
        <v>111.026017425742</v>
      </c>
      <c r="P557" s="823" t="n">
        <f aca="false">P556+O557</f>
        <v>30002.246158099</v>
      </c>
      <c r="Q557" s="606" t="n">
        <f aca="false">Q556+1</f>
        <v>342</v>
      </c>
      <c r="R557" s="824" t="n">
        <f aca="false">R556-1</f>
        <v>-342</v>
      </c>
      <c r="S557" s="5"/>
      <c r="T557" s="5"/>
      <c r="U557" s="5"/>
      <c r="V557" s="10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02"/>
      <c r="AU557" s="502"/>
      <c r="AV557" s="606"/>
      <c r="AW557" s="502"/>
      <c r="AX557" s="502"/>
      <c r="AY557" s="502"/>
      <c r="AZ557" s="502"/>
      <c r="BA557" s="502"/>
      <c r="BB557" s="502"/>
      <c r="BC557" s="502"/>
      <c r="BD557" s="502"/>
      <c r="BE557" s="502"/>
      <c r="BF557" s="502"/>
      <c r="BG557" s="502"/>
      <c r="BH557" s="502"/>
      <c r="BI557" s="502"/>
      <c r="BJ557" s="502"/>
      <c r="BK557" s="502"/>
      <c r="BL557" s="502"/>
      <c r="BM557" s="502"/>
      <c r="BN557" s="502"/>
      <c r="BO557" s="502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</row>
    <row r="558" s="504" customFormat="true" ht="12.75" hidden="true" customHeight="true" outlineLevel="0" collapsed="false">
      <c r="A558" s="5"/>
      <c r="B558" s="813" t="n">
        <f aca="false">B557+1</f>
        <v>343</v>
      </c>
      <c r="C558" s="814" t="n">
        <f aca="false">C557+D558</f>
        <v>36074.0675701783</v>
      </c>
      <c r="D558" s="815" t="n">
        <f aca="false">E558*$E$205*M558</f>
        <v>133.38890091089</v>
      </c>
      <c r="E558" s="601" t="n">
        <f aca="false">E557+$C$204</f>
        <v>8.45946860165462</v>
      </c>
      <c r="F558" s="816" t="n">
        <f aca="false">F557+1</f>
        <v>343</v>
      </c>
      <c r="G558" s="775" t="n">
        <f aca="false">C558</f>
        <v>36074.0675701783</v>
      </c>
      <c r="H558" s="817" t="n">
        <f aca="false">1000*(E558-E557)</f>
        <v>9.99999999999979</v>
      </c>
      <c r="I558" s="5"/>
      <c r="J558" s="818" t="n">
        <f aca="false">1000*(E558-$E$215)/(B558-$B$215)</f>
        <v>14.5885417742617</v>
      </c>
      <c r="K558" s="732" t="n">
        <f aca="false">AVERAGE($E$216:E558)</f>
        <v>6.72731116725232</v>
      </c>
      <c r="L558" s="819" t="n">
        <f aca="false">L557+1</f>
        <v>343</v>
      </c>
      <c r="M558" s="820" t="n">
        <f aca="false">IF(B558&lt;$E$104,$E$105,$E$106)</f>
        <v>3</v>
      </c>
      <c r="N558" s="821" t="n">
        <f aca="false">IF(B558&lt;$E$104,$E$105,$E$111)</f>
        <v>2.5</v>
      </c>
      <c r="O558" s="822" t="n">
        <f aca="false">E558*$E$205*N558</f>
        <v>111.157417425742</v>
      </c>
      <c r="P558" s="823" t="n">
        <f aca="false">P557+O558</f>
        <v>30113.4035755248</v>
      </c>
      <c r="Q558" s="606" t="n">
        <f aca="false">Q557+1</f>
        <v>343</v>
      </c>
      <c r="R558" s="824" t="n">
        <f aca="false">R557-1</f>
        <v>-343</v>
      </c>
      <c r="S558" s="5"/>
      <c r="T558" s="5"/>
      <c r="U558" s="5"/>
      <c r="V558" s="10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02"/>
      <c r="AU558" s="502"/>
      <c r="AV558" s="606"/>
      <c r="AW558" s="502"/>
      <c r="AX558" s="502"/>
      <c r="AY558" s="502"/>
      <c r="AZ558" s="502"/>
      <c r="BA558" s="502"/>
      <c r="BB558" s="502"/>
      <c r="BC558" s="502"/>
      <c r="BD558" s="502"/>
      <c r="BE558" s="502"/>
      <c r="BF558" s="502"/>
      <c r="BG558" s="502"/>
      <c r="BH558" s="502"/>
      <c r="BI558" s="502"/>
      <c r="BJ558" s="502"/>
      <c r="BK558" s="502"/>
      <c r="BL558" s="502"/>
      <c r="BM558" s="502"/>
      <c r="BN558" s="502"/>
      <c r="BO558" s="502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</row>
    <row r="559" s="504" customFormat="true" ht="12.75" hidden="true" customHeight="true" outlineLevel="0" collapsed="false">
      <c r="A559" s="5"/>
      <c r="B559" s="813" t="n">
        <f aca="false">B558+1</f>
        <v>344</v>
      </c>
      <c r="C559" s="814" t="n">
        <f aca="false">C558+D559</f>
        <v>36207.6141510892</v>
      </c>
      <c r="D559" s="815" t="n">
        <f aca="false">E559*$E$205*M559</f>
        <v>133.54658091089</v>
      </c>
      <c r="E559" s="601" t="n">
        <f aca="false">E558+$C$204</f>
        <v>8.46946860165462</v>
      </c>
      <c r="F559" s="816" t="n">
        <f aca="false">F558+1</f>
        <v>344</v>
      </c>
      <c r="G559" s="775" t="n">
        <f aca="false">C559</f>
        <v>36207.6141510892</v>
      </c>
      <c r="H559" s="817" t="n">
        <f aca="false">1000*(E559-E558)</f>
        <v>9.99999999999979</v>
      </c>
      <c r="I559" s="5"/>
      <c r="J559" s="818" t="n">
        <f aca="false">1000*(E559-$E$215)/(B559-$B$215)</f>
        <v>14.5752029900342</v>
      </c>
      <c r="K559" s="732" t="n">
        <f aca="false">AVERAGE($E$216:E559)</f>
        <v>6.73237557839884</v>
      </c>
      <c r="L559" s="819" t="n">
        <f aca="false">L558+1</f>
        <v>344</v>
      </c>
      <c r="M559" s="820" t="n">
        <f aca="false">IF(B559&lt;$E$104,$E$105,$E$106)</f>
        <v>3</v>
      </c>
      <c r="N559" s="821" t="n">
        <f aca="false">IF(B559&lt;$E$104,$E$105,$E$111)</f>
        <v>2.5</v>
      </c>
      <c r="O559" s="822" t="n">
        <f aca="false">E559*$E$205*N559</f>
        <v>111.288817425742</v>
      </c>
      <c r="P559" s="823" t="n">
        <f aca="false">P558+O559</f>
        <v>30224.6923929505</v>
      </c>
      <c r="Q559" s="606" t="n">
        <f aca="false">Q558+1</f>
        <v>344</v>
      </c>
      <c r="R559" s="824" t="n">
        <f aca="false">R558-1</f>
        <v>-344</v>
      </c>
      <c r="S559" s="5"/>
      <c r="T559" s="5"/>
      <c r="U559" s="5"/>
      <c r="V559" s="10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02"/>
      <c r="AU559" s="502"/>
      <c r="AV559" s="606"/>
      <c r="AW559" s="502"/>
      <c r="AX559" s="502"/>
      <c r="AY559" s="502"/>
      <c r="AZ559" s="502"/>
      <c r="BA559" s="502"/>
      <c r="BB559" s="502"/>
      <c r="BC559" s="502"/>
      <c r="BD559" s="502"/>
      <c r="BE559" s="502"/>
      <c r="BF559" s="502"/>
      <c r="BG559" s="502"/>
      <c r="BH559" s="502"/>
      <c r="BI559" s="502"/>
      <c r="BJ559" s="502"/>
      <c r="BK559" s="502"/>
      <c r="BL559" s="502"/>
      <c r="BM559" s="502"/>
      <c r="BN559" s="502"/>
      <c r="BO559" s="502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</row>
    <row r="560" s="504" customFormat="true" ht="12.75" hidden="true" customHeight="true" outlineLevel="0" collapsed="false">
      <c r="A560" s="5"/>
      <c r="B560" s="813" t="n">
        <f aca="false">B559+1</f>
        <v>345</v>
      </c>
      <c r="C560" s="814" t="n">
        <f aca="false">C559+D560</f>
        <v>36341.3184120001</v>
      </c>
      <c r="D560" s="815" t="n">
        <f aca="false">E560*$E$205*M560</f>
        <v>133.70426091089</v>
      </c>
      <c r="E560" s="601" t="n">
        <f aca="false">E559+$C$204</f>
        <v>8.47946860165462</v>
      </c>
      <c r="F560" s="816" t="n">
        <f aca="false">F559+1</f>
        <v>345</v>
      </c>
      <c r="G560" s="775" t="n">
        <f aca="false">C560</f>
        <v>36341.3184120001</v>
      </c>
      <c r="H560" s="817" t="n">
        <f aca="false">1000*(E560-E559)</f>
        <v>9.99999999999979</v>
      </c>
      <c r="I560" s="5"/>
      <c r="J560" s="818" t="n">
        <f aca="false">1000*(E560-$E$215)/(B560-$B$215)</f>
        <v>14.5619415320921</v>
      </c>
      <c r="K560" s="732" t="n">
        <f aca="false">AVERAGE($E$216:E560)</f>
        <v>6.73743961614741</v>
      </c>
      <c r="L560" s="819" t="n">
        <f aca="false">L559+1</f>
        <v>345</v>
      </c>
      <c r="M560" s="820" t="n">
        <f aca="false">IF(B560&lt;$E$104,$E$105,$E$106)</f>
        <v>3</v>
      </c>
      <c r="N560" s="821" t="n">
        <f aca="false">IF(B560&lt;$E$104,$E$105,$E$111)</f>
        <v>2.5</v>
      </c>
      <c r="O560" s="822" t="n">
        <f aca="false">E560*$E$205*N560</f>
        <v>111.420217425742</v>
      </c>
      <c r="P560" s="823" t="n">
        <f aca="false">P559+O560</f>
        <v>30336.1126103763</v>
      </c>
      <c r="Q560" s="606" t="n">
        <f aca="false">Q559+1</f>
        <v>345</v>
      </c>
      <c r="R560" s="824" t="n">
        <f aca="false">R559-1</f>
        <v>-345</v>
      </c>
      <c r="S560" s="5"/>
      <c r="T560" s="5"/>
      <c r="U560" s="5"/>
      <c r="V560" s="10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02"/>
      <c r="AU560" s="502"/>
      <c r="AV560" s="606"/>
      <c r="AW560" s="502"/>
      <c r="AX560" s="502"/>
      <c r="AY560" s="502"/>
      <c r="AZ560" s="502"/>
      <c r="BA560" s="502"/>
      <c r="BB560" s="502"/>
      <c r="BC560" s="502"/>
      <c r="BD560" s="502"/>
      <c r="BE560" s="502"/>
      <c r="BF560" s="502"/>
      <c r="BG560" s="502"/>
      <c r="BH560" s="502"/>
      <c r="BI560" s="502"/>
      <c r="BJ560" s="502"/>
      <c r="BK560" s="502"/>
      <c r="BL560" s="502"/>
      <c r="BM560" s="502"/>
      <c r="BN560" s="502"/>
      <c r="BO560" s="502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</row>
    <row r="561" s="504" customFormat="true" ht="12.75" hidden="true" customHeight="true" outlineLevel="0" collapsed="false">
      <c r="A561" s="5"/>
      <c r="B561" s="813" t="n">
        <f aca="false">B560+1</f>
        <v>346</v>
      </c>
      <c r="C561" s="814" t="n">
        <f aca="false">C560+D561</f>
        <v>36475.180352911</v>
      </c>
      <c r="D561" s="815" t="n">
        <f aca="false">E561*$E$205*M561</f>
        <v>133.86194091089</v>
      </c>
      <c r="E561" s="601" t="n">
        <f aca="false">E560+$C$204</f>
        <v>8.48946860165462</v>
      </c>
      <c r="F561" s="816" t="n">
        <f aca="false">F560+1</f>
        <v>346</v>
      </c>
      <c r="G561" s="775" t="n">
        <f aca="false">C561</f>
        <v>36475.180352911</v>
      </c>
      <c r="H561" s="817" t="n">
        <f aca="false">1000*(E561-E560)</f>
        <v>9.99999999999979</v>
      </c>
      <c r="I561" s="5"/>
      <c r="J561" s="818" t="n">
        <f aca="false">1000*(E561-$E$215)/(B561-$B$215)</f>
        <v>14.5487567299762</v>
      </c>
      <c r="K561" s="732" t="n">
        <f aca="false">AVERAGE($E$216:E561)</f>
        <v>6.74250328373558</v>
      </c>
      <c r="L561" s="819" t="n">
        <f aca="false">L560+1</f>
        <v>346</v>
      </c>
      <c r="M561" s="820" t="n">
        <f aca="false">IF(B561&lt;$E$104,$E$105,$E$106)</f>
        <v>3</v>
      </c>
      <c r="N561" s="821" t="n">
        <f aca="false">IF(B561&lt;$E$104,$E$105,$E$111)</f>
        <v>2.5</v>
      </c>
      <c r="O561" s="822" t="n">
        <f aca="false">E561*$E$205*N561</f>
        <v>111.551617425742</v>
      </c>
      <c r="P561" s="823" t="n">
        <f aca="false">P560+O561</f>
        <v>30447.664227802</v>
      </c>
      <c r="Q561" s="606" t="n">
        <f aca="false">Q560+1</f>
        <v>346</v>
      </c>
      <c r="R561" s="824" t="n">
        <f aca="false">R560-1</f>
        <v>-346</v>
      </c>
      <c r="S561" s="5"/>
      <c r="T561" s="5"/>
      <c r="U561" s="5"/>
      <c r="V561" s="10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02"/>
      <c r="AU561" s="502"/>
      <c r="AV561" s="606"/>
      <c r="AW561" s="502"/>
      <c r="AX561" s="502"/>
      <c r="AY561" s="502"/>
      <c r="AZ561" s="502"/>
      <c r="BA561" s="502"/>
      <c r="BB561" s="502"/>
      <c r="BC561" s="502"/>
      <c r="BD561" s="502"/>
      <c r="BE561" s="502"/>
      <c r="BF561" s="502"/>
      <c r="BG561" s="502"/>
      <c r="BH561" s="502"/>
      <c r="BI561" s="502"/>
      <c r="BJ561" s="502"/>
      <c r="BK561" s="502"/>
      <c r="BL561" s="502"/>
      <c r="BM561" s="502"/>
      <c r="BN561" s="502"/>
      <c r="BO561" s="502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</row>
    <row r="562" s="504" customFormat="true" ht="12.75" hidden="true" customHeight="true" outlineLevel="0" collapsed="false">
      <c r="A562" s="5"/>
      <c r="B562" s="813" t="n">
        <f aca="false">B561+1</f>
        <v>347</v>
      </c>
      <c r="C562" s="814" t="n">
        <f aca="false">C561+D562</f>
        <v>36609.1999738219</v>
      </c>
      <c r="D562" s="815" t="n">
        <f aca="false">E562*$E$205*M562</f>
        <v>134.01962091089</v>
      </c>
      <c r="E562" s="601" t="n">
        <f aca="false">E561+$C$204</f>
        <v>8.49946860165462</v>
      </c>
      <c r="F562" s="816" t="n">
        <f aca="false">F561+1</f>
        <v>347</v>
      </c>
      <c r="G562" s="775" t="n">
        <f aca="false">C562</f>
        <v>36609.1999738219</v>
      </c>
      <c r="H562" s="817" t="n">
        <f aca="false">1000*(E562-E561)</f>
        <v>9.99999999999979</v>
      </c>
      <c r="I562" s="5"/>
      <c r="J562" s="818" t="n">
        <f aca="false">1000*(E562-$E$215)/(B562-$B$215)</f>
        <v>14.5356479209561</v>
      </c>
      <c r="K562" s="732" t="n">
        <f aca="false">AVERAGE($E$216:E562)</f>
        <v>6.74756658436359</v>
      </c>
      <c r="L562" s="819" t="n">
        <f aca="false">L561+1</f>
        <v>347</v>
      </c>
      <c r="M562" s="820" t="n">
        <f aca="false">IF(B562&lt;$E$104,$E$105,$E$106)</f>
        <v>3</v>
      </c>
      <c r="N562" s="821" t="n">
        <f aca="false">IF(B562&lt;$E$104,$E$105,$E$111)</f>
        <v>2.5</v>
      </c>
      <c r="O562" s="822" t="n">
        <f aca="false">E562*$E$205*N562</f>
        <v>111.683017425742</v>
      </c>
      <c r="P562" s="823" t="n">
        <f aca="false">P561+O562</f>
        <v>30559.3472452278</v>
      </c>
      <c r="Q562" s="606" t="n">
        <f aca="false">Q561+1</f>
        <v>347</v>
      </c>
      <c r="R562" s="824" t="n">
        <f aca="false">R561-1</f>
        <v>-347</v>
      </c>
      <c r="S562" s="5"/>
      <c r="T562" s="5"/>
      <c r="U562" s="5"/>
      <c r="V562" s="10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02"/>
      <c r="AU562" s="502"/>
      <c r="AV562" s="606"/>
      <c r="AW562" s="502"/>
      <c r="AX562" s="502"/>
      <c r="AY562" s="502"/>
      <c r="AZ562" s="502"/>
      <c r="BA562" s="502"/>
      <c r="BB562" s="502"/>
      <c r="BC562" s="502"/>
      <c r="BD562" s="502"/>
      <c r="BE562" s="502"/>
      <c r="BF562" s="502"/>
      <c r="BG562" s="502"/>
      <c r="BH562" s="502"/>
      <c r="BI562" s="502"/>
      <c r="BJ562" s="502"/>
      <c r="BK562" s="502"/>
      <c r="BL562" s="502"/>
      <c r="BM562" s="502"/>
      <c r="BN562" s="502"/>
      <c r="BO562" s="502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</row>
    <row r="563" s="504" customFormat="true" ht="12.75" hidden="true" customHeight="true" outlineLevel="0" collapsed="false">
      <c r="A563" s="5"/>
      <c r="B563" s="813" t="n">
        <f aca="false">B562+1</f>
        <v>348</v>
      </c>
      <c r="C563" s="814" t="n">
        <f aca="false">C562+D563</f>
        <v>36743.3772747328</v>
      </c>
      <c r="D563" s="815" t="n">
        <f aca="false">E563*$E$205*M563</f>
        <v>134.17730091089</v>
      </c>
      <c r="E563" s="601" t="n">
        <f aca="false">E562+$C$204</f>
        <v>8.50946860165462</v>
      </c>
      <c r="F563" s="816" t="n">
        <f aca="false">F562+1</f>
        <v>348</v>
      </c>
      <c r="G563" s="775" t="n">
        <f aca="false">C563</f>
        <v>36743.3772747328</v>
      </c>
      <c r="H563" s="817" t="n">
        <f aca="false">1000*(E563-E562)</f>
        <v>9.99999999999979</v>
      </c>
      <c r="I563" s="5"/>
      <c r="J563" s="818" t="n">
        <f aca="false">1000*(E563-$E$215)/(B563-$B$215)</f>
        <v>14.5226144499189</v>
      </c>
      <c r="K563" s="732" t="n">
        <f aca="false">AVERAGE($E$216:E563)</f>
        <v>6.75262952119488</v>
      </c>
      <c r="L563" s="819" t="n">
        <f aca="false">L562+1</f>
        <v>348</v>
      </c>
      <c r="M563" s="820" t="n">
        <f aca="false">IF(B563&lt;$E$104,$E$105,$E$106)</f>
        <v>3</v>
      </c>
      <c r="N563" s="821" t="n">
        <f aca="false">IF(B563&lt;$E$104,$E$105,$E$111)</f>
        <v>2.5</v>
      </c>
      <c r="O563" s="822" t="n">
        <f aca="false">E563*$E$205*N563</f>
        <v>111.814417425742</v>
      </c>
      <c r="P563" s="823" t="n">
        <f aca="false">P562+O563</f>
        <v>30671.1616626535</v>
      </c>
      <c r="Q563" s="606" t="n">
        <f aca="false">Q562+1</f>
        <v>348</v>
      </c>
      <c r="R563" s="824" t="n">
        <f aca="false">R562-1</f>
        <v>-348</v>
      </c>
      <c r="S563" s="5"/>
      <c r="T563" s="5"/>
      <c r="U563" s="5"/>
      <c r="V563" s="10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02"/>
      <c r="AU563" s="502"/>
      <c r="AV563" s="606"/>
      <c r="AW563" s="502"/>
      <c r="AX563" s="502"/>
      <c r="AY563" s="502"/>
      <c r="AZ563" s="502"/>
      <c r="BA563" s="502"/>
      <c r="BB563" s="502"/>
      <c r="BC563" s="502"/>
      <c r="BD563" s="502"/>
      <c r="BE563" s="502"/>
      <c r="BF563" s="502"/>
      <c r="BG563" s="502"/>
      <c r="BH563" s="502"/>
      <c r="BI563" s="502"/>
      <c r="BJ563" s="502"/>
      <c r="BK563" s="502"/>
      <c r="BL563" s="502"/>
      <c r="BM563" s="502"/>
      <c r="BN563" s="502"/>
      <c r="BO563" s="502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</row>
    <row r="564" s="504" customFormat="true" ht="12.75" hidden="true" customHeight="true" outlineLevel="0" collapsed="false">
      <c r="A564" s="5"/>
      <c r="B564" s="813" t="n">
        <f aca="false">B563+1</f>
        <v>349</v>
      </c>
      <c r="C564" s="814" t="n">
        <f aca="false">C563+D564</f>
        <v>36877.7122556436</v>
      </c>
      <c r="D564" s="815" t="n">
        <f aca="false">E564*$E$205*M564</f>
        <v>134.33498091089</v>
      </c>
      <c r="E564" s="601" t="n">
        <f aca="false">E563+$C$204</f>
        <v>8.51946860165462</v>
      </c>
      <c r="F564" s="816" t="n">
        <f aca="false">F563+1</f>
        <v>349</v>
      </c>
      <c r="G564" s="775" t="n">
        <f aca="false">C564</f>
        <v>36877.7122556436</v>
      </c>
      <c r="H564" s="817" t="n">
        <f aca="false">1000*(E564-E563)</f>
        <v>9.99999999999979</v>
      </c>
      <c r="I564" s="5"/>
      <c r="J564" s="818" t="n">
        <f aca="false">1000*(E564-$E$215)/(B564-$B$215)</f>
        <v>14.5096556692601</v>
      </c>
      <c r="K564" s="732" t="n">
        <f aca="false">AVERAGE($E$216:E564)</f>
        <v>6.75769209735666</v>
      </c>
      <c r="L564" s="819" t="n">
        <f aca="false">L563+1</f>
        <v>349</v>
      </c>
      <c r="M564" s="820" t="n">
        <f aca="false">IF(B564&lt;$E$104,$E$105,$E$106)</f>
        <v>3</v>
      </c>
      <c r="N564" s="821" t="n">
        <f aca="false">IF(B564&lt;$E$104,$E$105,$E$111)</f>
        <v>2.5</v>
      </c>
      <c r="O564" s="822" t="n">
        <f aca="false">E564*$E$205*N564</f>
        <v>111.945817425742</v>
      </c>
      <c r="P564" s="823" t="n">
        <f aca="false">P563+O564</f>
        <v>30783.1074800792</v>
      </c>
      <c r="Q564" s="606" t="n">
        <f aca="false">Q563+1</f>
        <v>349</v>
      </c>
      <c r="R564" s="824" t="n">
        <f aca="false">R563-1</f>
        <v>-349</v>
      </c>
      <c r="S564" s="5"/>
      <c r="T564" s="5"/>
      <c r="U564" s="5"/>
      <c r="V564" s="10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02"/>
      <c r="AU564" s="502"/>
      <c r="AV564" s="606"/>
      <c r="AW564" s="502"/>
      <c r="AX564" s="502"/>
      <c r="AY564" s="502"/>
      <c r="AZ564" s="502"/>
      <c r="BA564" s="502"/>
      <c r="BB564" s="502"/>
      <c r="BC564" s="502"/>
      <c r="BD564" s="502"/>
      <c r="BE564" s="502"/>
      <c r="BF564" s="502"/>
      <c r="BG564" s="502"/>
      <c r="BH564" s="502"/>
      <c r="BI564" s="502"/>
      <c r="BJ564" s="502"/>
      <c r="BK564" s="502"/>
      <c r="BL564" s="502"/>
      <c r="BM564" s="502"/>
      <c r="BN564" s="502"/>
      <c r="BO564" s="502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</row>
    <row r="565" s="504" customFormat="true" ht="12.75" hidden="true" customHeight="true" outlineLevel="0" collapsed="false">
      <c r="A565" s="5"/>
      <c r="B565" s="813" t="n">
        <f aca="false">B564+1</f>
        <v>350</v>
      </c>
      <c r="C565" s="814" t="n">
        <f aca="false">C564+D565</f>
        <v>37012.2049165545</v>
      </c>
      <c r="D565" s="815" t="n">
        <f aca="false">E565*$E$205*M565</f>
        <v>134.49266091089</v>
      </c>
      <c r="E565" s="601" t="n">
        <f aca="false">E564+$C$204</f>
        <v>8.52946860165462</v>
      </c>
      <c r="F565" s="816" t="n">
        <f aca="false">F564+1</f>
        <v>350</v>
      </c>
      <c r="G565" s="775" t="n">
        <f aca="false">C565</f>
        <v>37012.2049165545</v>
      </c>
      <c r="H565" s="817" t="n">
        <f aca="false">1000*(E565-E564)</f>
        <v>9.99999999999979</v>
      </c>
      <c r="I565" s="5"/>
      <c r="J565" s="818" t="n">
        <f aca="false">1000*(E565-$E$215)/(B565-$B$215)</f>
        <v>14.4967709387765</v>
      </c>
      <c r="K565" s="732" t="n">
        <f aca="false">AVERAGE($E$216:E565)</f>
        <v>6.76275431594037</v>
      </c>
      <c r="L565" s="819" t="n">
        <f aca="false">L564+1</f>
        <v>350</v>
      </c>
      <c r="M565" s="820" t="n">
        <f aca="false">IF(B565&lt;$E$104,$E$105,$E$106)</f>
        <v>3</v>
      </c>
      <c r="N565" s="821" t="n">
        <f aca="false">IF(B565&lt;$E$104,$E$105,$E$111)</f>
        <v>2.5</v>
      </c>
      <c r="O565" s="822" t="n">
        <f aca="false">E565*$E$205*N565</f>
        <v>112.077217425742</v>
      </c>
      <c r="P565" s="823" t="n">
        <f aca="false">P564+O565</f>
        <v>30895.184697505</v>
      </c>
      <c r="Q565" s="606" t="n">
        <f aca="false">Q564+1</f>
        <v>350</v>
      </c>
      <c r="R565" s="824" t="n">
        <f aca="false">R564-1</f>
        <v>-350</v>
      </c>
      <c r="S565" s="5"/>
      <c r="T565" s="5"/>
      <c r="U565" s="5"/>
      <c r="V565" s="10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02"/>
      <c r="AU565" s="502"/>
      <c r="AV565" s="606"/>
      <c r="AW565" s="502"/>
      <c r="AX565" s="502"/>
      <c r="AY565" s="502"/>
      <c r="AZ565" s="502"/>
      <c r="BA565" s="502"/>
      <c r="BB565" s="502"/>
      <c r="BC565" s="502"/>
      <c r="BD565" s="502"/>
      <c r="BE565" s="502"/>
      <c r="BF565" s="502"/>
      <c r="BG565" s="502"/>
      <c r="BH565" s="502"/>
      <c r="BI565" s="502"/>
      <c r="BJ565" s="502"/>
      <c r="BK565" s="502"/>
      <c r="BL565" s="502"/>
      <c r="BM565" s="502"/>
      <c r="BN565" s="502"/>
      <c r="BO565" s="502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</row>
    <row r="566" s="504" customFormat="true" ht="12.75" hidden="true" customHeight="true" outlineLevel="0" collapsed="false">
      <c r="A566" s="5"/>
      <c r="B566" s="813" t="n">
        <f aca="false">B565+1</f>
        <v>351</v>
      </c>
      <c r="C566" s="814" t="n">
        <f aca="false">C565+D566</f>
        <v>37146.8552574654</v>
      </c>
      <c r="D566" s="815" t="n">
        <f aca="false">E566*$E$205*M566</f>
        <v>134.65034091089</v>
      </c>
      <c r="E566" s="601" t="n">
        <f aca="false">E565+$C$204</f>
        <v>8.53946860165462</v>
      </c>
      <c r="F566" s="816" t="n">
        <f aca="false">F565+1</f>
        <v>351</v>
      </c>
      <c r="G566" s="775" t="n">
        <f aca="false">C566</f>
        <v>37146.8552574654</v>
      </c>
      <c r="H566" s="817" t="n">
        <f aca="false">1000*(E566-E565)</f>
        <v>9.99999999999979</v>
      </c>
      <c r="I566" s="5"/>
      <c r="J566" s="818" t="n">
        <f aca="false">1000*(E566-$E$215)/(B566-$B$215)</f>
        <v>14.4839596255606</v>
      </c>
      <c r="K566" s="732" t="n">
        <f aca="false">AVERAGE($E$216:E566)</f>
        <v>6.76781618000223</v>
      </c>
      <c r="L566" s="819" t="n">
        <f aca="false">L565+1</f>
        <v>351</v>
      </c>
      <c r="M566" s="820" t="n">
        <f aca="false">IF(B566&lt;$E$104,$E$105,$E$106)</f>
        <v>3</v>
      </c>
      <c r="N566" s="821" t="n">
        <f aca="false">IF(B566&lt;$E$104,$E$105,$E$111)</f>
        <v>2.5</v>
      </c>
      <c r="O566" s="822" t="n">
        <f aca="false">E566*$E$205*N566</f>
        <v>112.208617425742</v>
      </c>
      <c r="P566" s="823" t="n">
        <f aca="false">P565+O566</f>
        <v>31007.3933149307</v>
      </c>
      <c r="Q566" s="606" t="n">
        <f aca="false">Q565+1</f>
        <v>351</v>
      </c>
      <c r="R566" s="824" t="n">
        <f aca="false">R565-1</f>
        <v>-351</v>
      </c>
      <c r="S566" s="5"/>
      <c r="T566" s="5"/>
      <c r="U566" s="5"/>
      <c r="V566" s="10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02"/>
      <c r="AU566" s="502"/>
      <c r="AV566" s="606"/>
      <c r="AW566" s="502"/>
      <c r="AX566" s="502"/>
      <c r="AY566" s="502"/>
      <c r="AZ566" s="502"/>
      <c r="BA566" s="502"/>
      <c r="BB566" s="502"/>
      <c r="BC566" s="502"/>
      <c r="BD566" s="502"/>
      <c r="BE566" s="502"/>
      <c r="BF566" s="502"/>
      <c r="BG566" s="502"/>
      <c r="BH566" s="502"/>
      <c r="BI566" s="502"/>
      <c r="BJ566" s="502"/>
      <c r="BK566" s="502"/>
      <c r="BL566" s="502"/>
      <c r="BM566" s="502"/>
      <c r="BN566" s="502"/>
      <c r="BO566" s="502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</row>
    <row r="567" s="504" customFormat="true" ht="12.75" hidden="true" customHeight="true" outlineLevel="0" collapsed="false">
      <c r="A567" s="5"/>
      <c r="B567" s="813" t="n">
        <f aca="false">B566+1</f>
        <v>352</v>
      </c>
      <c r="C567" s="814" t="n">
        <f aca="false">C566+D567</f>
        <v>37281.6632783763</v>
      </c>
      <c r="D567" s="815" t="n">
        <f aca="false">E567*$E$205*M567</f>
        <v>134.80802091089</v>
      </c>
      <c r="E567" s="601" t="n">
        <f aca="false">E566+$C$204</f>
        <v>8.54946860165462</v>
      </c>
      <c r="F567" s="816" t="n">
        <f aca="false">F566+1</f>
        <v>352</v>
      </c>
      <c r="G567" s="775" t="n">
        <f aca="false">C567</f>
        <v>37281.6632783763</v>
      </c>
      <c r="H567" s="817" t="n">
        <f aca="false">1000*(E567-E566)</f>
        <v>9.99999999999979</v>
      </c>
      <c r="I567" s="5"/>
      <c r="J567" s="818" t="n">
        <f aca="false">1000*(E567-$E$215)/(B567-$B$215)</f>
        <v>14.4712211038971</v>
      </c>
      <c r="K567" s="732" t="n">
        <f aca="false">AVERAGE($E$216:E567)</f>
        <v>6.77287769256374</v>
      </c>
      <c r="L567" s="819" t="n">
        <f aca="false">L566+1</f>
        <v>352</v>
      </c>
      <c r="M567" s="820" t="n">
        <f aca="false">IF(B567&lt;$E$104,$E$105,$E$106)</f>
        <v>3</v>
      </c>
      <c r="N567" s="821" t="n">
        <f aca="false">IF(B567&lt;$E$104,$E$105,$E$111)</f>
        <v>2.5</v>
      </c>
      <c r="O567" s="822" t="n">
        <f aca="false">E567*$E$205*N567</f>
        <v>112.340017425742</v>
      </c>
      <c r="P567" s="823" t="n">
        <f aca="false">P566+O567</f>
        <v>31119.7333323565</v>
      </c>
      <c r="Q567" s="606" t="n">
        <f aca="false">Q566+1</f>
        <v>352</v>
      </c>
      <c r="R567" s="824" t="n">
        <f aca="false">R566-1</f>
        <v>-352</v>
      </c>
      <c r="S567" s="5"/>
      <c r="T567" s="5"/>
      <c r="U567" s="5"/>
      <c r="V567" s="10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02"/>
      <c r="AU567" s="502"/>
      <c r="AV567" s="606"/>
      <c r="AW567" s="502"/>
      <c r="AX567" s="502"/>
      <c r="AY567" s="502"/>
      <c r="AZ567" s="502"/>
      <c r="BA567" s="502"/>
      <c r="BB567" s="502"/>
      <c r="BC567" s="502"/>
      <c r="BD567" s="502"/>
      <c r="BE567" s="502"/>
      <c r="BF567" s="502"/>
      <c r="BG567" s="502"/>
      <c r="BH567" s="502"/>
      <c r="BI567" s="502"/>
      <c r="BJ567" s="502"/>
      <c r="BK567" s="502"/>
      <c r="BL567" s="502"/>
      <c r="BM567" s="502"/>
      <c r="BN567" s="502"/>
      <c r="BO567" s="502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</row>
    <row r="568" s="504" customFormat="true" ht="12.75" hidden="true" customHeight="true" outlineLevel="0" collapsed="false">
      <c r="A568" s="5"/>
      <c r="B568" s="813" t="n">
        <f aca="false">B567+1</f>
        <v>353</v>
      </c>
      <c r="C568" s="814" t="n">
        <f aca="false">C567+D568</f>
        <v>37416.6289792872</v>
      </c>
      <c r="D568" s="815" t="n">
        <f aca="false">E568*$E$205*M568</f>
        <v>134.96570091089</v>
      </c>
      <c r="E568" s="601" t="n">
        <f aca="false">E567+$C$204</f>
        <v>8.55946860165462</v>
      </c>
      <c r="F568" s="816" t="n">
        <f aca="false">F567+1</f>
        <v>353</v>
      </c>
      <c r="G568" s="775" t="n">
        <f aca="false">C568</f>
        <v>37416.6289792872</v>
      </c>
      <c r="H568" s="817" t="n">
        <f aca="false">1000*(E568-E567)</f>
        <v>9.99999999999979</v>
      </c>
      <c r="I568" s="5"/>
      <c r="J568" s="818" t="n">
        <f aca="false">1000*(E568-$E$215)/(B568-$B$215)</f>
        <v>14.4585547551608</v>
      </c>
      <c r="K568" s="732" t="n">
        <f aca="false">AVERAGE($E$216:E568)</f>
        <v>6.77793885661216</v>
      </c>
      <c r="L568" s="819" t="n">
        <f aca="false">L567+1</f>
        <v>353</v>
      </c>
      <c r="M568" s="820" t="n">
        <f aca="false">IF(B568&lt;$E$104,$E$105,$E$106)</f>
        <v>3</v>
      </c>
      <c r="N568" s="821" t="n">
        <f aca="false">IF(B568&lt;$E$104,$E$105,$E$111)</f>
        <v>2.5</v>
      </c>
      <c r="O568" s="822" t="n">
        <f aca="false">E568*$E$205*N568</f>
        <v>112.471417425742</v>
      </c>
      <c r="P568" s="823" t="n">
        <f aca="false">P567+O568</f>
        <v>31232.2047497822</v>
      </c>
      <c r="Q568" s="606" t="n">
        <f aca="false">Q567+1</f>
        <v>353</v>
      </c>
      <c r="R568" s="824" t="n">
        <f aca="false">R567-1</f>
        <v>-353</v>
      </c>
      <c r="S568" s="5"/>
      <c r="T568" s="5"/>
      <c r="U568" s="5"/>
      <c r="V568" s="10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02"/>
      <c r="AU568" s="502"/>
      <c r="AV568" s="606"/>
      <c r="AW568" s="502"/>
      <c r="AX568" s="502"/>
      <c r="AY568" s="502"/>
      <c r="AZ568" s="502"/>
      <c r="BA568" s="502"/>
      <c r="BB568" s="502"/>
      <c r="BC568" s="502"/>
      <c r="BD568" s="502"/>
      <c r="BE568" s="502"/>
      <c r="BF568" s="502"/>
      <c r="BG568" s="502"/>
      <c r="BH568" s="502"/>
      <c r="BI568" s="502"/>
      <c r="BJ568" s="502"/>
      <c r="BK568" s="502"/>
      <c r="BL568" s="502"/>
      <c r="BM568" s="502"/>
      <c r="BN568" s="502"/>
      <c r="BO568" s="502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</row>
    <row r="569" s="504" customFormat="true" ht="12.75" hidden="true" customHeight="true" outlineLevel="0" collapsed="false">
      <c r="A569" s="5"/>
      <c r="B569" s="813" t="n">
        <f aca="false">B568+1</f>
        <v>354</v>
      </c>
      <c r="C569" s="814" t="n">
        <f aca="false">C568+D569</f>
        <v>37551.7523601981</v>
      </c>
      <c r="D569" s="815" t="n">
        <f aca="false">E569*$E$205*M569</f>
        <v>135.12338091089</v>
      </c>
      <c r="E569" s="601" t="n">
        <f aca="false">E568+$C$204</f>
        <v>8.56946860165461</v>
      </c>
      <c r="F569" s="816" t="n">
        <f aca="false">F568+1</f>
        <v>354</v>
      </c>
      <c r="G569" s="775" t="n">
        <f aca="false">C569</f>
        <v>37551.7523601981</v>
      </c>
      <c r="H569" s="817" t="n">
        <f aca="false">1000*(E569-E568)</f>
        <v>9.99999999999979</v>
      </c>
      <c r="I569" s="5"/>
      <c r="J569" s="818" t="n">
        <f aca="false">1000*(E569-$E$215)/(B569-$B$215)</f>
        <v>14.4459599677169</v>
      </c>
      <c r="K569" s="732" t="n">
        <f aca="false">AVERAGE($E$216:E569)</f>
        <v>6.78299967510098</v>
      </c>
      <c r="L569" s="819" t="n">
        <f aca="false">L568+1</f>
        <v>354</v>
      </c>
      <c r="M569" s="820" t="n">
        <f aca="false">IF(B569&lt;$E$104,$E$105,$E$106)</f>
        <v>3</v>
      </c>
      <c r="N569" s="821" t="n">
        <f aca="false">IF(B569&lt;$E$104,$E$105,$E$111)</f>
        <v>2.5</v>
      </c>
      <c r="O569" s="822" t="n">
        <f aca="false">E569*$E$205*N569</f>
        <v>112.602817425742</v>
      </c>
      <c r="P569" s="823" t="n">
        <f aca="false">P568+O569</f>
        <v>31344.8075672079</v>
      </c>
      <c r="Q569" s="606" t="n">
        <f aca="false">Q568+1</f>
        <v>354</v>
      </c>
      <c r="R569" s="824" t="n">
        <f aca="false">R568-1</f>
        <v>-354</v>
      </c>
      <c r="S569" s="5"/>
      <c r="T569" s="5"/>
      <c r="U569" s="5"/>
      <c r="V569" s="10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02"/>
      <c r="AU569" s="502"/>
      <c r="AV569" s="606"/>
      <c r="AW569" s="502"/>
      <c r="AX569" s="502"/>
      <c r="AY569" s="502"/>
      <c r="AZ569" s="502"/>
      <c r="BA569" s="502"/>
      <c r="BB569" s="502"/>
      <c r="BC569" s="502"/>
      <c r="BD569" s="502"/>
      <c r="BE569" s="502"/>
      <c r="BF569" s="502"/>
      <c r="BG569" s="502"/>
      <c r="BH569" s="502"/>
      <c r="BI569" s="502"/>
      <c r="BJ569" s="502"/>
      <c r="BK569" s="502"/>
      <c r="BL569" s="502"/>
      <c r="BM569" s="502"/>
      <c r="BN569" s="502"/>
      <c r="BO569" s="502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</row>
    <row r="570" s="504" customFormat="true" ht="12.75" hidden="true" customHeight="true" outlineLevel="0" collapsed="false">
      <c r="A570" s="5"/>
      <c r="B570" s="813" t="n">
        <f aca="false">B569+1</f>
        <v>355</v>
      </c>
      <c r="C570" s="814" t="n">
        <f aca="false">C569+D570</f>
        <v>37687.033421109</v>
      </c>
      <c r="D570" s="815" t="n">
        <f aca="false">E570*$E$205*M570</f>
        <v>135.28106091089</v>
      </c>
      <c r="E570" s="601" t="n">
        <f aca="false">E569+$C$204</f>
        <v>8.57946860165461</v>
      </c>
      <c r="F570" s="816" t="n">
        <f aca="false">F569+1</f>
        <v>355</v>
      </c>
      <c r="G570" s="775" t="n">
        <f aca="false">C570</f>
        <v>37687.033421109</v>
      </c>
      <c r="H570" s="817" t="n">
        <f aca="false">1000*(E570-E569)</f>
        <v>9.99999999999979</v>
      </c>
      <c r="I570" s="5"/>
      <c r="J570" s="818" t="n">
        <f aca="false">1000*(E570-$E$215)/(B570-$B$215)</f>
        <v>14.4334361368219</v>
      </c>
      <c r="K570" s="732" t="n">
        <f aca="false">AVERAGE($E$216:E570)</f>
        <v>6.78806015095043</v>
      </c>
      <c r="L570" s="819" t="n">
        <f aca="false">L569+1</f>
        <v>355</v>
      </c>
      <c r="M570" s="820" t="n">
        <f aca="false">IF(B570&lt;$E$104,$E$105,$E$106)</f>
        <v>3</v>
      </c>
      <c r="N570" s="821" t="n">
        <f aca="false">IF(B570&lt;$E$104,$E$105,$E$111)</f>
        <v>2.5</v>
      </c>
      <c r="O570" s="822" t="n">
        <f aca="false">E570*$E$205*N570</f>
        <v>112.734217425742</v>
      </c>
      <c r="P570" s="823" t="n">
        <f aca="false">P569+O570</f>
        <v>31457.5417846337</v>
      </c>
      <c r="Q570" s="606" t="n">
        <f aca="false">Q569+1</f>
        <v>355</v>
      </c>
      <c r="R570" s="824" t="n">
        <f aca="false">R569-1</f>
        <v>-355</v>
      </c>
      <c r="S570" s="5"/>
      <c r="T570" s="5"/>
      <c r="U570" s="5"/>
      <c r="V570" s="10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02"/>
      <c r="AU570" s="502"/>
      <c r="AV570" s="606"/>
      <c r="AW570" s="502"/>
      <c r="AX570" s="502"/>
      <c r="AY570" s="502"/>
      <c r="AZ570" s="502"/>
      <c r="BA570" s="502"/>
      <c r="BB570" s="502"/>
      <c r="BC570" s="502"/>
      <c r="BD570" s="502"/>
      <c r="BE570" s="502"/>
      <c r="BF570" s="502"/>
      <c r="BG570" s="502"/>
      <c r="BH570" s="502"/>
      <c r="BI570" s="502"/>
      <c r="BJ570" s="502"/>
      <c r="BK570" s="502"/>
      <c r="BL570" s="502"/>
      <c r="BM570" s="502"/>
      <c r="BN570" s="502"/>
      <c r="BO570" s="502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</row>
    <row r="571" s="504" customFormat="true" ht="12.75" hidden="true" customHeight="true" outlineLevel="0" collapsed="false">
      <c r="A571" s="5"/>
      <c r="B571" s="813" t="n">
        <f aca="false">B570+1</f>
        <v>356</v>
      </c>
      <c r="C571" s="814" t="n">
        <f aca="false">C570+D571</f>
        <v>37822.4721620199</v>
      </c>
      <c r="D571" s="815" t="n">
        <f aca="false">E571*$E$205*M571</f>
        <v>135.43874091089</v>
      </c>
      <c r="E571" s="601" t="n">
        <f aca="false">E570+$C$204</f>
        <v>8.58946860165461</v>
      </c>
      <c r="F571" s="816" t="n">
        <f aca="false">F570+1</f>
        <v>356</v>
      </c>
      <c r="G571" s="775" t="n">
        <f aca="false">C571</f>
        <v>37822.4721620199</v>
      </c>
      <c r="H571" s="817" t="n">
        <f aca="false">1000*(E571-E570)</f>
        <v>9.99999999999979</v>
      </c>
      <c r="I571" s="5"/>
      <c r="J571" s="818" t="n">
        <f aca="false">1000*(E571-$E$215)/(B571-$B$215)</f>
        <v>14.4209826645274</v>
      </c>
      <c r="K571" s="732" t="n">
        <f aca="false">AVERAGE($E$216:E571)</f>
        <v>6.79312028704791</v>
      </c>
      <c r="L571" s="819" t="n">
        <f aca="false">L570+1</f>
        <v>356</v>
      </c>
      <c r="M571" s="820" t="n">
        <f aca="false">IF(B571&lt;$E$104,$E$105,$E$106)</f>
        <v>3</v>
      </c>
      <c r="N571" s="821" t="n">
        <f aca="false">IF(B571&lt;$E$104,$E$105,$E$111)</f>
        <v>2.5</v>
      </c>
      <c r="O571" s="822" t="n">
        <f aca="false">E571*$E$205*N571</f>
        <v>112.865617425742</v>
      </c>
      <c r="P571" s="823" t="n">
        <f aca="false">P570+O571</f>
        <v>31570.4074020594</v>
      </c>
      <c r="Q571" s="606" t="n">
        <f aca="false">Q570+1</f>
        <v>356</v>
      </c>
      <c r="R571" s="824" t="n">
        <f aca="false">R570-1</f>
        <v>-356</v>
      </c>
      <c r="S571" s="5"/>
      <c r="T571" s="5"/>
      <c r="U571" s="5"/>
      <c r="V571" s="10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02"/>
      <c r="AU571" s="502"/>
      <c r="AV571" s="606"/>
      <c r="AW571" s="502"/>
      <c r="AX571" s="502"/>
      <c r="AY571" s="502"/>
      <c r="AZ571" s="502"/>
      <c r="BA571" s="502"/>
      <c r="BB571" s="502"/>
      <c r="BC571" s="502"/>
      <c r="BD571" s="502"/>
      <c r="BE571" s="502"/>
      <c r="BF571" s="502"/>
      <c r="BG571" s="502"/>
      <c r="BH571" s="502"/>
      <c r="BI571" s="502"/>
      <c r="BJ571" s="502"/>
      <c r="BK571" s="502"/>
      <c r="BL571" s="502"/>
      <c r="BM571" s="502"/>
      <c r="BN571" s="502"/>
      <c r="BO571" s="502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</row>
    <row r="572" s="504" customFormat="true" ht="12.75" hidden="true" customHeight="true" outlineLevel="0" collapsed="false">
      <c r="A572" s="5"/>
      <c r="B572" s="813" t="n">
        <f aca="false">B571+1</f>
        <v>357</v>
      </c>
      <c r="C572" s="814" t="n">
        <f aca="false">C571+D572</f>
        <v>37958.0685829308</v>
      </c>
      <c r="D572" s="815" t="n">
        <f aca="false">E572*$E$205*M572</f>
        <v>135.59642091089</v>
      </c>
      <c r="E572" s="601" t="n">
        <f aca="false">E571+$C$204</f>
        <v>8.59946860165461</v>
      </c>
      <c r="F572" s="816" t="n">
        <f aca="false">F571+1</f>
        <v>357</v>
      </c>
      <c r="G572" s="775" t="n">
        <f aca="false">C572</f>
        <v>37958.0685829308</v>
      </c>
      <c r="H572" s="817" t="n">
        <f aca="false">1000*(E572-E571)</f>
        <v>9.99999999999979</v>
      </c>
      <c r="I572" s="5"/>
      <c r="J572" s="818" t="n">
        <f aca="false">1000*(E572-$E$215)/(B572-$B$215)</f>
        <v>14.4085989595848</v>
      </c>
      <c r="K572" s="732" t="n">
        <f aca="false">AVERAGE($E$216:E572)</f>
        <v>6.79818008624849</v>
      </c>
      <c r="L572" s="819" t="n">
        <f aca="false">L571+1</f>
        <v>357</v>
      </c>
      <c r="M572" s="820" t="n">
        <f aca="false">IF(B572&lt;$E$104,$E$105,$E$106)</f>
        <v>3</v>
      </c>
      <c r="N572" s="821" t="n">
        <f aca="false">IF(B572&lt;$E$104,$E$105,$E$111)</f>
        <v>2.5</v>
      </c>
      <c r="O572" s="822" t="n">
        <f aca="false">E572*$E$205*N572</f>
        <v>112.997017425742</v>
      </c>
      <c r="P572" s="823" t="n">
        <f aca="false">P571+O572</f>
        <v>31683.4044194852</v>
      </c>
      <c r="Q572" s="606" t="n">
        <f aca="false">Q571+1</f>
        <v>357</v>
      </c>
      <c r="R572" s="824" t="n">
        <f aca="false">R571-1</f>
        <v>-357</v>
      </c>
      <c r="S572" s="5"/>
      <c r="T572" s="5"/>
      <c r="U572" s="5"/>
      <c r="V572" s="10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02"/>
      <c r="AU572" s="502"/>
      <c r="AV572" s="606"/>
      <c r="AW572" s="502"/>
      <c r="AX572" s="502"/>
      <c r="AY572" s="502"/>
      <c r="AZ572" s="502"/>
      <c r="BA572" s="502"/>
      <c r="BB572" s="502"/>
      <c r="BC572" s="502"/>
      <c r="BD572" s="502"/>
      <c r="BE572" s="502"/>
      <c r="BF572" s="502"/>
      <c r="BG572" s="502"/>
      <c r="BH572" s="502"/>
      <c r="BI572" s="502"/>
      <c r="BJ572" s="502"/>
      <c r="BK572" s="502"/>
      <c r="BL572" s="502"/>
      <c r="BM572" s="502"/>
      <c r="BN572" s="502"/>
      <c r="BO572" s="502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</row>
    <row r="573" s="504" customFormat="true" ht="12.75" hidden="true" customHeight="true" outlineLevel="0" collapsed="false">
      <c r="A573" s="5"/>
      <c r="B573" s="813" t="n">
        <f aca="false">B572+1</f>
        <v>358</v>
      </c>
      <c r="C573" s="814" t="n">
        <f aca="false">C572+D573</f>
        <v>38093.8226838417</v>
      </c>
      <c r="D573" s="815" t="n">
        <f aca="false">E573*$E$205*M573</f>
        <v>135.75410091089</v>
      </c>
      <c r="E573" s="601" t="n">
        <f aca="false">E572+$C$204</f>
        <v>8.60946860165461</v>
      </c>
      <c r="F573" s="816" t="n">
        <f aca="false">F572+1</f>
        <v>358</v>
      </c>
      <c r="G573" s="775" t="n">
        <f aca="false">C573</f>
        <v>38093.8226838417</v>
      </c>
      <c r="H573" s="817" t="n">
        <f aca="false">1000*(E573-E572)</f>
        <v>9.99999999999979</v>
      </c>
      <c r="I573" s="5"/>
      <c r="J573" s="818" t="n">
        <f aca="false">1000*(E573-$E$215)/(B573-$B$215)</f>
        <v>14.3962844373513</v>
      </c>
      <c r="K573" s="732" t="n">
        <f aca="false">AVERAGE($E$216:E573)</f>
        <v>6.80323955137532</v>
      </c>
      <c r="L573" s="819" t="n">
        <f aca="false">L572+1</f>
        <v>358</v>
      </c>
      <c r="M573" s="820" t="n">
        <f aca="false">IF(B573&lt;$E$104,$E$105,$E$106)</f>
        <v>3</v>
      </c>
      <c r="N573" s="821" t="n">
        <f aca="false">IF(B573&lt;$E$104,$E$105,$E$111)</f>
        <v>2.5</v>
      </c>
      <c r="O573" s="822" t="n">
        <f aca="false">E573*$E$205*N573</f>
        <v>113.128417425742</v>
      </c>
      <c r="P573" s="823" t="n">
        <f aca="false">P572+O573</f>
        <v>31796.5328369109</v>
      </c>
      <c r="Q573" s="606" t="n">
        <f aca="false">Q572+1</f>
        <v>358</v>
      </c>
      <c r="R573" s="824" t="n">
        <f aca="false">R572-1</f>
        <v>-358</v>
      </c>
      <c r="S573" s="5"/>
      <c r="T573" s="5"/>
      <c r="U573" s="5"/>
      <c r="V573" s="10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02"/>
      <c r="AU573" s="502"/>
      <c r="AV573" s="606"/>
      <c r="AW573" s="502"/>
      <c r="AX573" s="502"/>
      <c r="AY573" s="502"/>
      <c r="AZ573" s="502"/>
      <c r="BA573" s="502"/>
      <c r="BB573" s="502"/>
      <c r="BC573" s="502"/>
      <c r="BD573" s="502"/>
      <c r="BE573" s="502"/>
      <c r="BF573" s="502"/>
      <c r="BG573" s="502"/>
      <c r="BH573" s="502"/>
      <c r="BI573" s="502"/>
      <c r="BJ573" s="502"/>
      <c r="BK573" s="502"/>
      <c r="BL573" s="502"/>
      <c r="BM573" s="502"/>
      <c r="BN573" s="502"/>
      <c r="BO573" s="502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</row>
    <row r="574" s="504" customFormat="true" ht="12.75" hidden="true" customHeight="true" outlineLevel="0" collapsed="false">
      <c r="A574" s="5"/>
      <c r="B574" s="813" t="n">
        <f aca="false">B573+1</f>
        <v>359</v>
      </c>
      <c r="C574" s="814" t="n">
        <f aca="false">C573+D574</f>
        <v>38229.7344647525</v>
      </c>
      <c r="D574" s="815" t="n">
        <f aca="false">E574*$E$205*M574</f>
        <v>135.91178091089</v>
      </c>
      <c r="E574" s="601" t="n">
        <f aca="false">E573+$C$204</f>
        <v>8.61946860165461</v>
      </c>
      <c r="F574" s="816" t="n">
        <f aca="false">F573+1</f>
        <v>359</v>
      </c>
      <c r="G574" s="775" t="n">
        <f aca="false">C574</f>
        <v>38229.7344647525</v>
      </c>
      <c r="H574" s="817" t="n">
        <f aca="false">1000*(E574-E573)</f>
        <v>9.99999999999979</v>
      </c>
      <c r="I574" s="5"/>
      <c r="J574" s="818" t="n">
        <f aca="false">1000*(E574-$E$215)/(B574-$B$215)</f>
        <v>14.3840385196985</v>
      </c>
      <c r="K574" s="732" t="n">
        <f aca="false">AVERAGE($E$216:E574)</f>
        <v>6.80829868522011</v>
      </c>
      <c r="L574" s="819" t="n">
        <f aca="false">L573+1</f>
        <v>359</v>
      </c>
      <c r="M574" s="820" t="n">
        <f aca="false">IF(B574&lt;$E$104,$E$105,$E$106)</f>
        <v>3</v>
      </c>
      <c r="N574" s="821" t="n">
        <f aca="false">IF(B574&lt;$E$104,$E$105,$E$111)</f>
        <v>2.5</v>
      </c>
      <c r="O574" s="822" t="n">
        <f aca="false">E574*$E$205*N574</f>
        <v>113.259817425742</v>
      </c>
      <c r="P574" s="823" t="n">
        <f aca="false">P573+O574</f>
        <v>31909.7926543367</v>
      </c>
      <c r="Q574" s="606" t="n">
        <f aca="false">Q573+1</f>
        <v>359</v>
      </c>
      <c r="R574" s="824" t="n">
        <f aca="false">R573-1</f>
        <v>-359</v>
      </c>
      <c r="S574" s="5"/>
      <c r="T574" s="5"/>
      <c r="U574" s="5"/>
      <c r="V574" s="10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02"/>
      <c r="AU574" s="502"/>
      <c r="AV574" s="606"/>
      <c r="AW574" s="502"/>
      <c r="AX574" s="502"/>
      <c r="AY574" s="502"/>
      <c r="AZ574" s="502"/>
      <c r="BA574" s="502"/>
      <c r="BB574" s="502"/>
      <c r="BC574" s="502"/>
      <c r="BD574" s="502"/>
      <c r="BE574" s="502"/>
      <c r="BF574" s="502"/>
      <c r="BG574" s="502"/>
      <c r="BH574" s="502"/>
      <c r="BI574" s="502"/>
      <c r="BJ574" s="502"/>
      <c r="BK574" s="502"/>
      <c r="BL574" s="502"/>
      <c r="BM574" s="502"/>
      <c r="BN574" s="502"/>
      <c r="BO574" s="502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</row>
    <row r="575" s="504" customFormat="true" ht="12.75" hidden="true" customHeight="true" outlineLevel="0" collapsed="false">
      <c r="A575" s="5"/>
      <c r="B575" s="813" t="n">
        <f aca="false">B574+1</f>
        <v>360</v>
      </c>
      <c r="C575" s="814" t="n">
        <f aca="false">C574+D575</f>
        <v>38365.8039256634</v>
      </c>
      <c r="D575" s="815" t="n">
        <f aca="false">E575*$E$205*M575</f>
        <v>136.06946091089</v>
      </c>
      <c r="E575" s="601" t="n">
        <f aca="false">E574+$C$204</f>
        <v>8.62946860165461</v>
      </c>
      <c r="F575" s="816" t="n">
        <f aca="false">F574+1</f>
        <v>360</v>
      </c>
      <c r="G575" s="775" t="n">
        <f aca="false">C575</f>
        <v>38365.8039256634</v>
      </c>
      <c r="H575" s="817" t="n">
        <f aca="false">1000*(E575-E574)</f>
        <v>9.99999999999979</v>
      </c>
      <c r="I575" s="5"/>
      <c r="J575" s="818" t="n">
        <f aca="false">1000*(E575-$E$215)/(B575-$B$215)</f>
        <v>14.3718606349216</v>
      </c>
      <c r="K575" s="732" t="n">
        <f aca="false">AVERAGE($E$216:E575)</f>
        <v>6.81335749054354</v>
      </c>
      <c r="L575" s="819" t="n">
        <f aca="false">L574+1</f>
        <v>360</v>
      </c>
      <c r="M575" s="820" t="n">
        <f aca="false">IF(B575&lt;$E$104,$E$105,$E$106)</f>
        <v>3</v>
      </c>
      <c r="N575" s="821" t="n">
        <f aca="false">IF(B575&lt;$E$104,$E$105,$E$111)</f>
        <v>2.5</v>
      </c>
      <c r="O575" s="822" t="n">
        <f aca="false">E575*$E$205*N575</f>
        <v>113.391217425742</v>
      </c>
      <c r="P575" s="823" t="n">
        <f aca="false">P574+O575</f>
        <v>32023.1838717624</v>
      </c>
      <c r="Q575" s="606" t="n">
        <f aca="false">Q574+1</f>
        <v>360</v>
      </c>
      <c r="R575" s="824" t="n">
        <f aca="false">R574-1</f>
        <v>-360</v>
      </c>
      <c r="S575" s="5"/>
      <c r="T575" s="5"/>
      <c r="U575" s="5"/>
      <c r="V575" s="10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02"/>
      <c r="AU575" s="502"/>
      <c r="AV575" s="606"/>
      <c r="AW575" s="502"/>
      <c r="AX575" s="502"/>
      <c r="AY575" s="502"/>
      <c r="AZ575" s="502"/>
      <c r="BA575" s="502"/>
      <c r="BB575" s="502"/>
      <c r="BC575" s="502"/>
      <c r="BD575" s="502"/>
      <c r="BE575" s="502"/>
      <c r="BF575" s="502"/>
      <c r="BG575" s="502"/>
      <c r="BH575" s="502"/>
      <c r="BI575" s="502"/>
      <c r="BJ575" s="502"/>
      <c r="BK575" s="502"/>
      <c r="BL575" s="502"/>
      <c r="BM575" s="502"/>
      <c r="BN575" s="502"/>
      <c r="BO575" s="502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</row>
    <row r="576" s="504" customFormat="true" ht="12.75" hidden="true" customHeight="true" outlineLevel="0" collapsed="false">
      <c r="A576" s="5"/>
      <c r="B576" s="813" t="n">
        <f aca="false">B575+1</f>
        <v>361</v>
      </c>
      <c r="C576" s="814" t="n">
        <f aca="false">C575+D576</f>
        <v>38502.0310665743</v>
      </c>
      <c r="D576" s="815" t="n">
        <f aca="false">E576*$E$205*M576</f>
        <v>136.22714091089</v>
      </c>
      <c r="E576" s="601" t="n">
        <f aca="false">E575+$C$204</f>
        <v>8.63946860165461</v>
      </c>
      <c r="F576" s="816" t="n">
        <f aca="false">F575+1</f>
        <v>361</v>
      </c>
      <c r="G576" s="775" t="n">
        <f aca="false">C576</f>
        <v>38502.0310665743</v>
      </c>
      <c r="H576" s="817" t="n">
        <f aca="false">1000*(E576-E575)</f>
        <v>9.99999999999979</v>
      </c>
      <c r="I576" s="5"/>
      <c r="J576" s="818" t="n">
        <f aca="false">1000*(E576-$E$215)/(B576-$B$215)</f>
        <v>14.3597502176503</v>
      </c>
      <c r="K576" s="732" t="n">
        <f aca="false">AVERAGE($E$216:E576)</f>
        <v>6.8184159700757</v>
      </c>
      <c r="L576" s="819" t="n">
        <f aca="false">L575+1</f>
        <v>361</v>
      </c>
      <c r="M576" s="820" t="n">
        <f aca="false">IF(B576&lt;$E$104,$E$105,$E$106)</f>
        <v>3</v>
      </c>
      <c r="N576" s="821" t="n">
        <f aca="false">IF(B576&lt;$E$104,$E$105,$E$111)</f>
        <v>2.5</v>
      </c>
      <c r="O576" s="822" t="n">
        <f aca="false">E576*$E$205*N576</f>
        <v>113.522617425742</v>
      </c>
      <c r="P576" s="823" t="n">
        <f aca="false">P575+O576</f>
        <v>32136.7064891881</v>
      </c>
      <c r="Q576" s="606" t="n">
        <f aca="false">Q575+1</f>
        <v>361</v>
      </c>
      <c r="R576" s="824" t="n">
        <f aca="false">R575-1</f>
        <v>-361</v>
      </c>
      <c r="S576" s="5"/>
      <c r="T576" s="5"/>
      <c r="U576" s="5"/>
      <c r="V576" s="10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02"/>
      <c r="AU576" s="502"/>
      <c r="AV576" s="606"/>
      <c r="AW576" s="502"/>
      <c r="AX576" s="502"/>
      <c r="AY576" s="502"/>
      <c r="AZ576" s="502"/>
      <c r="BA576" s="502"/>
      <c r="BB576" s="502"/>
      <c r="BC576" s="502"/>
      <c r="BD576" s="502"/>
      <c r="BE576" s="502"/>
      <c r="BF576" s="502"/>
      <c r="BG576" s="502"/>
      <c r="BH576" s="502"/>
      <c r="BI576" s="502"/>
      <c r="BJ576" s="502"/>
      <c r="BK576" s="502"/>
      <c r="BL576" s="502"/>
      <c r="BM576" s="502"/>
      <c r="BN576" s="502"/>
      <c r="BO576" s="502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</row>
    <row r="577" s="504" customFormat="true" ht="12.75" hidden="true" customHeight="true" outlineLevel="0" collapsed="false">
      <c r="A577" s="5"/>
      <c r="B577" s="813" t="n">
        <f aca="false">B576+1</f>
        <v>362</v>
      </c>
      <c r="C577" s="814" t="n">
        <f aca="false">C576+D577</f>
        <v>38638.4158874852</v>
      </c>
      <c r="D577" s="815" t="n">
        <f aca="false">E577*$E$205*M577</f>
        <v>136.38482091089</v>
      </c>
      <c r="E577" s="601" t="n">
        <f aca="false">E576+$C$204</f>
        <v>8.64946860165461</v>
      </c>
      <c r="F577" s="816" t="n">
        <f aca="false">F576+1</f>
        <v>362</v>
      </c>
      <c r="G577" s="775" t="n">
        <f aca="false">C577</f>
        <v>38638.4158874852</v>
      </c>
      <c r="H577" s="817" t="n">
        <f aca="false">1000*(E577-E576)</f>
        <v>9.99999999999979</v>
      </c>
      <c r="I577" s="5"/>
      <c r="J577" s="818" t="n">
        <f aca="false">1000*(E577-$E$215)/(B577-$B$215)</f>
        <v>14.3477067087618</v>
      </c>
      <c r="K577" s="732" t="n">
        <f aca="false">AVERAGE($E$216:E577)</f>
        <v>6.82347412651653</v>
      </c>
      <c r="L577" s="819" t="n">
        <f aca="false">L576+1</f>
        <v>362</v>
      </c>
      <c r="M577" s="820" t="n">
        <f aca="false">IF(B577&lt;$E$104,$E$105,$E$106)</f>
        <v>3</v>
      </c>
      <c r="N577" s="821" t="n">
        <f aca="false">IF(B577&lt;$E$104,$E$105,$E$111)</f>
        <v>2.5</v>
      </c>
      <c r="O577" s="822" t="n">
        <f aca="false">E577*$E$205*N577</f>
        <v>113.654017425742</v>
      </c>
      <c r="P577" s="823" t="n">
        <f aca="false">P576+O577</f>
        <v>32250.3605066139</v>
      </c>
      <c r="Q577" s="606" t="n">
        <f aca="false">Q576+1</f>
        <v>362</v>
      </c>
      <c r="R577" s="824" t="n">
        <f aca="false">R576-1</f>
        <v>-362</v>
      </c>
      <c r="S577" s="5"/>
      <c r="T577" s="5"/>
      <c r="U577" s="5"/>
      <c r="V577" s="10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02"/>
      <c r="AU577" s="502"/>
      <c r="AV577" s="606"/>
      <c r="AW577" s="502"/>
      <c r="AX577" s="502"/>
      <c r="AY577" s="502"/>
      <c r="AZ577" s="502"/>
      <c r="BA577" s="502"/>
      <c r="BB577" s="502"/>
      <c r="BC577" s="502"/>
      <c r="BD577" s="502"/>
      <c r="BE577" s="502"/>
      <c r="BF577" s="502"/>
      <c r="BG577" s="502"/>
      <c r="BH577" s="502"/>
      <c r="BI577" s="502"/>
      <c r="BJ577" s="502"/>
      <c r="BK577" s="502"/>
      <c r="BL577" s="502"/>
      <c r="BM577" s="502"/>
      <c r="BN577" s="502"/>
      <c r="BO577" s="502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</row>
    <row r="578" s="504" customFormat="true" ht="12.75" hidden="true" customHeight="true" outlineLevel="0" collapsed="false">
      <c r="A578" s="5"/>
      <c r="B578" s="813" t="n">
        <f aca="false">B577+1</f>
        <v>363</v>
      </c>
      <c r="C578" s="814" t="n">
        <f aca="false">C577+D578</f>
        <v>38774.9583883961</v>
      </c>
      <c r="D578" s="815" t="n">
        <f aca="false">E578*$E$205*M578</f>
        <v>136.54250091089</v>
      </c>
      <c r="E578" s="601" t="n">
        <f aca="false">E577+$C$204</f>
        <v>8.65946860165461</v>
      </c>
      <c r="F578" s="816" t="n">
        <f aca="false">F577+1</f>
        <v>363</v>
      </c>
      <c r="G578" s="775" t="n">
        <f aca="false">C578</f>
        <v>38774.9583883961</v>
      </c>
      <c r="H578" s="817" t="n">
        <f aca="false">1000*(E578-E577)</f>
        <v>9.99999999999979</v>
      </c>
      <c r="I578" s="5"/>
      <c r="J578" s="818" t="n">
        <f aca="false">1000*(E578-$E$215)/(B578-$B$215)</f>
        <v>14.3357295552941</v>
      </c>
      <c r="K578" s="732" t="n">
        <f aca="false">AVERAGE($E$216:E578)</f>
        <v>6.82853196253619</v>
      </c>
      <c r="L578" s="819" t="n">
        <f aca="false">L577+1</f>
        <v>363</v>
      </c>
      <c r="M578" s="820" t="n">
        <f aca="false">IF(B578&lt;$E$104,$E$105,$E$106)</f>
        <v>3</v>
      </c>
      <c r="N578" s="821" t="n">
        <f aca="false">IF(B578&lt;$E$104,$E$105,$E$111)</f>
        <v>2.5</v>
      </c>
      <c r="O578" s="822" t="n">
        <f aca="false">E578*$E$205*N578</f>
        <v>113.785417425742</v>
      </c>
      <c r="P578" s="823" t="n">
        <f aca="false">P577+O578</f>
        <v>32364.1459240396</v>
      </c>
      <c r="Q578" s="606" t="n">
        <f aca="false">Q577+1</f>
        <v>363</v>
      </c>
      <c r="R578" s="824" t="n">
        <f aca="false">R577-1</f>
        <v>-363</v>
      </c>
      <c r="S578" s="5"/>
      <c r="T578" s="5"/>
      <c r="U578" s="5"/>
      <c r="V578" s="10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02"/>
      <c r="AU578" s="502"/>
      <c r="AV578" s="606"/>
      <c r="AW578" s="502"/>
      <c r="AX578" s="502"/>
      <c r="AY578" s="502"/>
      <c r="AZ578" s="502"/>
      <c r="BA578" s="502"/>
      <c r="BB578" s="502"/>
      <c r="BC578" s="502"/>
      <c r="BD578" s="502"/>
      <c r="BE578" s="502"/>
      <c r="BF578" s="502"/>
      <c r="BG578" s="502"/>
      <c r="BH578" s="502"/>
      <c r="BI578" s="502"/>
      <c r="BJ578" s="502"/>
      <c r="BK578" s="502"/>
      <c r="BL578" s="502"/>
      <c r="BM578" s="502"/>
      <c r="BN578" s="502"/>
      <c r="BO578" s="502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</row>
    <row r="579" s="504" customFormat="true" ht="12.75" hidden="true" customHeight="true" outlineLevel="0" collapsed="false">
      <c r="A579" s="5"/>
      <c r="B579" s="813" t="n">
        <f aca="false">B578+1</f>
        <v>364</v>
      </c>
      <c r="C579" s="814" t="n">
        <f aca="false">C578+D579</f>
        <v>38911.658569307</v>
      </c>
      <c r="D579" s="815" t="n">
        <f aca="false">E579*$E$205*M579</f>
        <v>136.70018091089</v>
      </c>
      <c r="E579" s="601" t="n">
        <f aca="false">E578+$C$204</f>
        <v>8.66946860165461</v>
      </c>
      <c r="F579" s="816" t="n">
        <f aca="false">F578+1</f>
        <v>364</v>
      </c>
      <c r="G579" s="775" t="n">
        <f aca="false">C579</f>
        <v>38911.658569307</v>
      </c>
      <c r="H579" s="817" t="n">
        <f aca="false">1000*(E579-E578)</f>
        <v>9.99999999999979</v>
      </c>
      <c r="I579" s="5"/>
      <c r="J579" s="818" t="n">
        <f aca="false">1000*(E579-$E$215)/(B579-$B$215)</f>
        <v>14.323818210362</v>
      </c>
      <c r="K579" s="732" t="n">
        <f aca="false">AVERAGE($E$216:E579)</f>
        <v>6.83358948077553</v>
      </c>
      <c r="L579" s="819" t="n">
        <f aca="false">L578+1</f>
        <v>364</v>
      </c>
      <c r="M579" s="820" t="n">
        <f aca="false">IF(B579&lt;$E$104,$E$105,$E$106)</f>
        <v>3</v>
      </c>
      <c r="N579" s="821" t="n">
        <f aca="false">IF(B579&lt;$E$104,$E$105,$E$111)</f>
        <v>2.5</v>
      </c>
      <c r="O579" s="822" t="n">
        <f aca="false">E579*$E$205*N579</f>
        <v>113.916817425742</v>
      </c>
      <c r="P579" s="823" t="n">
        <f aca="false">P578+O579</f>
        <v>32478.0627414654</v>
      </c>
      <c r="Q579" s="606" t="n">
        <f aca="false">Q578+1</f>
        <v>364</v>
      </c>
      <c r="R579" s="824" t="n">
        <f aca="false">R578-1</f>
        <v>-364</v>
      </c>
      <c r="S579" s="5"/>
      <c r="T579" s="5"/>
      <c r="U579" s="5"/>
      <c r="V579" s="10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02"/>
      <c r="AU579" s="502"/>
      <c r="AV579" s="606"/>
      <c r="AW579" s="502"/>
      <c r="AX579" s="502"/>
      <c r="AY579" s="502"/>
      <c r="AZ579" s="502"/>
      <c r="BA579" s="502"/>
      <c r="BB579" s="502"/>
      <c r="BC579" s="502"/>
      <c r="BD579" s="502"/>
      <c r="BE579" s="502"/>
      <c r="BF579" s="502"/>
      <c r="BG579" s="502"/>
      <c r="BH579" s="502"/>
      <c r="BI579" s="502"/>
      <c r="BJ579" s="502"/>
      <c r="BK579" s="502"/>
      <c r="BL579" s="502"/>
      <c r="BM579" s="502"/>
      <c r="BN579" s="502"/>
      <c r="BO579" s="502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</row>
    <row r="580" s="504" customFormat="true" ht="12.75" hidden="true" customHeight="true" outlineLevel="0" collapsed="false">
      <c r="A580" s="5"/>
      <c r="B580" s="813" t="n">
        <f aca="false">B579+1</f>
        <v>365</v>
      </c>
      <c r="C580" s="814" t="n">
        <f aca="false">C579+D580</f>
        <v>39048.5164302179</v>
      </c>
      <c r="D580" s="815" t="n">
        <f aca="false">E580*$E$205*M580</f>
        <v>136.85786091089</v>
      </c>
      <c r="E580" s="601" t="n">
        <f aca="false">E579+$C$204</f>
        <v>8.67946860165461</v>
      </c>
      <c r="F580" s="816" t="n">
        <f aca="false">F579+1</f>
        <v>365</v>
      </c>
      <c r="G580" s="775" t="n">
        <f aca="false">C580</f>
        <v>39048.5164302179</v>
      </c>
      <c r="H580" s="817" t="n">
        <f aca="false">1000*(E580-E579)</f>
        <v>9.99999999999979</v>
      </c>
      <c r="I580" s="5"/>
      <c r="J580" s="818" t="n">
        <f aca="false">1000*(E580-$E$215)/(B580-$B$215)</f>
        <v>14.3119721330733</v>
      </c>
      <c r="K580" s="732" t="n">
        <f aca="false">AVERAGE($E$216:E580)</f>
        <v>6.83864668384643</v>
      </c>
      <c r="L580" s="819" t="n">
        <f aca="false">L579+1</f>
        <v>365</v>
      </c>
      <c r="M580" s="820" t="n">
        <f aca="false">IF(B580&lt;$E$104,$E$105,$E$106)</f>
        <v>3</v>
      </c>
      <c r="N580" s="821" t="n">
        <f aca="false">IF(B580&lt;$E$104,$E$105,$E$111)</f>
        <v>2.5</v>
      </c>
      <c r="O580" s="822" t="n">
        <f aca="false">E580*$E$205*N580</f>
        <v>114.048217425742</v>
      </c>
      <c r="P580" s="823" t="n">
        <f aca="false">P579+O580</f>
        <v>32592.1109588911</v>
      </c>
      <c r="Q580" s="606" t="n">
        <f aca="false">Q579+1</f>
        <v>365</v>
      </c>
      <c r="R580" s="824" t="n">
        <f aca="false">R579-1</f>
        <v>-365</v>
      </c>
      <c r="S580" s="5"/>
      <c r="T580" s="5"/>
      <c r="U580" s="5"/>
      <c r="V580" s="10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02"/>
      <c r="AU580" s="502"/>
      <c r="AV580" s="606"/>
      <c r="AW580" s="502"/>
      <c r="AX580" s="502"/>
      <c r="AY580" s="502"/>
      <c r="AZ580" s="502"/>
      <c r="BA580" s="502"/>
      <c r="BB580" s="502"/>
      <c r="BC580" s="502"/>
      <c r="BD580" s="502"/>
      <c r="BE580" s="502"/>
      <c r="BF580" s="502"/>
      <c r="BG580" s="502"/>
      <c r="BH580" s="502"/>
      <c r="BI580" s="502"/>
      <c r="BJ580" s="502"/>
      <c r="BK580" s="502"/>
      <c r="BL580" s="502"/>
      <c r="BM580" s="502"/>
      <c r="BN580" s="502"/>
      <c r="BO580" s="502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</row>
    <row r="581" s="504" customFormat="true" ht="12.75" hidden="true" customHeight="true" outlineLevel="0" collapsed="false">
      <c r="A581" s="5"/>
      <c r="B581" s="813" t="n">
        <f aca="false">B580+1</f>
        <v>366</v>
      </c>
      <c r="C581" s="814" t="n">
        <f aca="false">C580+D581</f>
        <v>39185.5319711288</v>
      </c>
      <c r="D581" s="815" t="n">
        <f aca="false">E581*$E$205*M581</f>
        <v>137.01554091089</v>
      </c>
      <c r="E581" s="601" t="n">
        <f aca="false">E580+$C$204</f>
        <v>8.68946860165461</v>
      </c>
      <c r="F581" s="816" t="n">
        <f aca="false">F580+1</f>
        <v>366</v>
      </c>
      <c r="G581" s="775" t="n">
        <f aca="false">C581</f>
        <v>39185.5319711288</v>
      </c>
      <c r="H581" s="817" t="n">
        <f aca="false">1000*(E581-E580)</f>
        <v>9.99999999999979</v>
      </c>
      <c r="I581" s="5"/>
      <c r="J581" s="818" t="n">
        <f aca="false">1000*(E581-$E$215)/(B581-$B$215)</f>
        <v>14.3001907884475</v>
      </c>
      <c r="K581" s="732" t="n">
        <f aca="false">AVERAGE($E$216:E581)</f>
        <v>6.84370357433225</v>
      </c>
      <c r="L581" s="819" t="n">
        <f aca="false">L580+1</f>
        <v>366</v>
      </c>
      <c r="M581" s="820" t="n">
        <f aca="false">IF(B581&lt;$E$104,$E$105,$E$106)</f>
        <v>3</v>
      </c>
      <c r="N581" s="821" t="n">
        <f aca="false">IF(B581&lt;$E$104,$E$105,$E$111)</f>
        <v>2.5</v>
      </c>
      <c r="O581" s="822" t="n">
        <f aca="false">E581*$E$205*N581</f>
        <v>114.179617425742</v>
      </c>
      <c r="P581" s="823" t="n">
        <f aca="false">P580+O581</f>
        <v>32706.2905763168</v>
      </c>
      <c r="Q581" s="606" t="n">
        <f aca="false">Q580+1</f>
        <v>366</v>
      </c>
      <c r="R581" s="824" t="n">
        <f aca="false">R580-1</f>
        <v>-366</v>
      </c>
      <c r="S581" s="5"/>
      <c r="T581" s="5"/>
      <c r="U581" s="5"/>
      <c r="V581" s="10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02"/>
      <c r="AU581" s="502"/>
      <c r="AV581" s="606"/>
      <c r="AW581" s="502"/>
      <c r="AX581" s="502"/>
      <c r="AY581" s="502"/>
      <c r="AZ581" s="502"/>
      <c r="BA581" s="502"/>
      <c r="BB581" s="502"/>
      <c r="BC581" s="502"/>
      <c r="BD581" s="502"/>
      <c r="BE581" s="502"/>
      <c r="BF581" s="502"/>
      <c r="BG581" s="502"/>
      <c r="BH581" s="502"/>
      <c r="BI581" s="502"/>
      <c r="BJ581" s="502"/>
      <c r="BK581" s="502"/>
      <c r="BL581" s="502"/>
      <c r="BM581" s="502"/>
      <c r="BN581" s="502"/>
      <c r="BO581" s="502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</row>
    <row r="582" s="504" customFormat="true" ht="12.75" hidden="true" customHeight="true" outlineLevel="0" collapsed="false">
      <c r="A582" s="5"/>
      <c r="B582" s="813" t="n">
        <f aca="false">B581+1</f>
        <v>367</v>
      </c>
      <c r="C582" s="814" t="n">
        <f aca="false">C581+D582</f>
        <v>39322.7051920397</v>
      </c>
      <c r="D582" s="815" t="n">
        <f aca="false">E582*$E$205*M582</f>
        <v>137.17322091089</v>
      </c>
      <c r="E582" s="601" t="n">
        <f aca="false">E581+$C$204</f>
        <v>8.69946860165461</v>
      </c>
      <c r="F582" s="816" t="n">
        <f aca="false">F581+1</f>
        <v>367</v>
      </c>
      <c r="G582" s="775" t="n">
        <f aca="false">C582</f>
        <v>39322.7051920397</v>
      </c>
      <c r="H582" s="817" t="n">
        <f aca="false">1000*(E582-E581)</f>
        <v>9.99999999999979</v>
      </c>
      <c r="I582" s="5"/>
      <c r="J582" s="818" t="n">
        <f aca="false">1000*(E582-$E$215)/(B582-$B$215)</f>
        <v>14.2884736473345</v>
      </c>
      <c r="K582" s="732" t="n">
        <f aca="false">AVERAGE($E$216:E582)</f>
        <v>6.84876015478817</v>
      </c>
      <c r="L582" s="819" t="n">
        <f aca="false">L581+1</f>
        <v>367</v>
      </c>
      <c r="M582" s="820" t="n">
        <f aca="false">IF(B582&lt;$E$104,$E$105,$E$106)</f>
        <v>3</v>
      </c>
      <c r="N582" s="821" t="n">
        <f aca="false">IF(B582&lt;$E$104,$E$105,$E$111)</f>
        <v>2.5</v>
      </c>
      <c r="O582" s="822" t="n">
        <f aca="false">E582*$E$205*N582</f>
        <v>114.311017425742</v>
      </c>
      <c r="P582" s="823" t="n">
        <f aca="false">P581+O582</f>
        <v>32820.6015937426</v>
      </c>
      <c r="Q582" s="606" t="n">
        <f aca="false">Q581+1</f>
        <v>367</v>
      </c>
      <c r="R582" s="824" t="n">
        <f aca="false">R581-1</f>
        <v>-367</v>
      </c>
      <c r="S582" s="5"/>
      <c r="T582" s="5"/>
      <c r="U582" s="5"/>
      <c r="V582" s="10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02"/>
      <c r="AU582" s="502"/>
      <c r="AV582" s="606"/>
      <c r="AW582" s="502"/>
      <c r="AX582" s="502"/>
      <c r="AY582" s="502"/>
      <c r="AZ582" s="502"/>
      <c r="BA582" s="502"/>
      <c r="BB582" s="502"/>
      <c r="BC582" s="502"/>
      <c r="BD582" s="502"/>
      <c r="BE582" s="502"/>
      <c r="BF582" s="502"/>
      <c r="BG582" s="502"/>
      <c r="BH582" s="502"/>
      <c r="BI582" s="502"/>
      <c r="BJ582" s="502"/>
      <c r="BK582" s="502"/>
      <c r="BL582" s="502"/>
      <c r="BM582" s="502"/>
      <c r="BN582" s="502"/>
      <c r="BO582" s="502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</row>
    <row r="583" s="504" customFormat="true" ht="12.75" hidden="true" customHeight="true" outlineLevel="0" collapsed="false">
      <c r="A583" s="5"/>
      <c r="B583" s="813" t="n">
        <f aca="false">B582+1</f>
        <v>368</v>
      </c>
      <c r="C583" s="814" t="n">
        <f aca="false">C582+D583</f>
        <v>39460.0360929506</v>
      </c>
      <c r="D583" s="815" t="n">
        <f aca="false">E583*$E$205*M583</f>
        <v>137.33090091089</v>
      </c>
      <c r="E583" s="601" t="n">
        <f aca="false">E582+$C$204</f>
        <v>8.70946860165461</v>
      </c>
      <c r="F583" s="816" t="n">
        <f aca="false">F582+1</f>
        <v>368</v>
      </c>
      <c r="G583" s="775" t="n">
        <f aca="false">C583</f>
        <v>39460.0360929506</v>
      </c>
      <c r="H583" s="817" t="n">
        <f aca="false">1000*(E583-E582)</f>
        <v>9.99999999999979</v>
      </c>
      <c r="I583" s="5"/>
      <c r="J583" s="818" t="n">
        <f aca="false">1000*(E583-$E$215)/(B583-$B$215)</f>
        <v>14.2768201863363</v>
      </c>
      <c r="K583" s="732" t="n">
        <f aca="false">AVERAGE($E$216:E583)</f>
        <v>6.85381642774161</v>
      </c>
      <c r="L583" s="819" t="n">
        <f aca="false">L582+1</f>
        <v>368</v>
      </c>
      <c r="M583" s="820" t="n">
        <f aca="false">IF(B583&lt;$E$104,$E$105,$E$106)</f>
        <v>3</v>
      </c>
      <c r="N583" s="821" t="n">
        <f aca="false">IF(B583&lt;$E$104,$E$105,$E$111)</f>
        <v>2.5</v>
      </c>
      <c r="O583" s="822" t="n">
        <f aca="false">E583*$E$205*N583</f>
        <v>114.442417425742</v>
      </c>
      <c r="P583" s="823" t="n">
        <f aca="false">P582+O583</f>
        <v>32935.0440111683</v>
      </c>
      <c r="Q583" s="606" t="n">
        <f aca="false">Q582+1</f>
        <v>368</v>
      </c>
      <c r="R583" s="824" t="n">
        <f aca="false">R582-1</f>
        <v>-368</v>
      </c>
      <c r="S583" s="5"/>
      <c r="T583" s="5"/>
      <c r="U583" s="5"/>
      <c r="V583" s="10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02"/>
      <c r="AU583" s="502"/>
      <c r="AV583" s="606"/>
      <c r="AW583" s="502"/>
      <c r="AX583" s="502"/>
      <c r="AY583" s="502"/>
      <c r="AZ583" s="502"/>
      <c r="BA583" s="502"/>
      <c r="BB583" s="502"/>
      <c r="BC583" s="502"/>
      <c r="BD583" s="502"/>
      <c r="BE583" s="502"/>
      <c r="BF583" s="502"/>
      <c r="BG583" s="502"/>
      <c r="BH583" s="502"/>
      <c r="BI583" s="502"/>
      <c r="BJ583" s="502"/>
      <c r="BK583" s="502"/>
      <c r="BL583" s="502"/>
      <c r="BM583" s="502"/>
      <c r="BN583" s="502"/>
      <c r="BO583" s="502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</row>
    <row r="584" s="504" customFormat="true" ht="12.75" hidden="true" customHeight="true" outlineLevel="0" collapsed="false">
      <c r="A584" s="5"/>
      <c r="B584" s="813" t="n">
        <f aca="false">B583+1</f>
        <v>369</v>
      </c>
      <c r="C584" s="814" t="n">
        <f aca="false">C583+D584</f>
        <v>39597.5246738615</v>
      </c>
      <c r="D584" s="815" t="n">
        <f aca="false">E584*$E$205*M584</f>
        <v>137.48858091089</v>
      </c>
      <c r="E584" s="601" t="n">
        <f aca="false">E583+$C$204</f>
        <v>8.71946860165461</v>
      </c>
      <c r="F584" s="816" t="n">
        <f aca="false">F583+1</f>
        <v>369</v>
      </c>
      <c r="G584" s="775" t="n">
        <f aca="false">C584</f>
        <v>39597.5246738615</v>
      </c>
      <c r="H584" s="817" t="n">
        <f aca="false">1000*(E584-E583)</f>
        <v>9.99999999999979</v>
      </c>
      <c r="I584" s="5"/>
      <c r="J584" s="818" t="n">
        <f aca="false">1000*(E584-$E$215)/(B584-$B$215)</f>
        <v>14.2652298877284</v>
      </c>
      <c r="K584" s="732" t="n">
        <f aca="false">AVERAGE($E$216:E584)</f>
        <v>6.85887239569259</v>
      </c>
      <c r="L584" s="819" t="n">
        <f aca="false">L583+1</f>
        <v>369</v>
      </c>
      <c r="M584" s="820" t="n">
        <f aca="false">IF(B584&lt;$E$104,$E$105,$E$106)</f>
        <v>3</v>
      </c>
      <c r="N584" s="821" t="n">
        <f aca="false">IF(B584&lt;$E$104,$E$105,$E$111)</f>
        <v>2.5</v>
      </c>
      <c r="O584" s="822" t="n">
        <f aca="false">E584*$E$205*N584</f>
        <v>114.573817425742</v>
      </c>
      <c r="P584" s="823" t="n">
        <f aca="false">P583+O584</f>
        <v>33049.6178285941</v>
      </c>
      <c r="Q584" s="606" t="n">
        <f aca="false">Q583+1</f>
        <v>369</v>
      </c>
      <c r="R584" s="824" t="n">
        <f aca="false">R583-1</f>
        <v>-369</v>
      </c>
      <c r="S584" s="5"/>
      <c r="T584" s="5"/>
      <c r="U584" s="5"/>
      <c r="V584" s="10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02"/>
      <c r="AU584" s="502"/>
      <c r="AV584" s="606"/>
      <c r="AW584" s="502"/>
      <c r="AX584" s="502"/>
      <c r="AY584" s="502"/>
      <c r="AZ584" s="502"/>
      <c r="BA584" s="502"/>
      <c r="BB584" s="502"/>
      <c r="BC584" s="502"/>
      <c r="BD584" s="502"/>
      <c r="BE584" s="502"/>
      <c r="BF584" s="502"/>
      <c r="BG584" s="502"/>
      <c r="BH584" s="502"/>
      <c r="BI584" s="502"/>
      <c r="BJ584" s="502"/>
      <c r="BK584" s="502"/>
      <c r="BL584" s="502"/>
      <c r="BM584" s="502"/>
      <c r="BN584" s="502"/>
      <c r="BO584" s="502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</row>
    <row r="585" s="504" customFormat="true" ht="12.75" hidden="true" customHeight="true" outlineLevel="0" collapsed="false">
      <c r="A585" s="5"/>
      <c r="B585" s="813" t="n">
        <f aca="false">B584+1</f>
        <v>370</v>
      </c>
      <c r="C585" s="814" t="n">
        <f aca="false">C584+D585</f>
        <v>39735.1709347723</v>
      </c>
      <c r="D585" s="815" t="n">
        <f aca="false">E585*$E$205*M585</f>
        <v>137.64626091089</v>
      </c>
      <c r="E585" s="601" t="n">
        <f aca="false">E584+$C$204</f>
        <v>8.72946860165461</v>
      </c>
      <c r="F585" s="816" t="n">
        <f aca="false">F584+1</f>
        <v>370</v>
      </c>
      <c r="G585" s="775" t="n">
        <f aca="false">C585</f>
        <v>39735.1709347723</v>
      </c>
      <c r="H585" s="817" t="n">
        <f aca="false">1000*(E585-E584)</f>
        <v>9.99999999999979</v>
      </c>
      <c r="I585" s="5"/>
      <c r="J585" s="818" t="n">
        <f aca="false">1000*(E585-$E$215)/(B585-$B$215)</f>
        <v>14.2537022393832</v>
      </c>
      <c r="K585" s="732" t="n">
        <f aca="false">AVERAGE($E$216:E585)</f>
        <v>6.86392806111411</v>
      </c>
      <c r="L585" s="819" t="n">
        <f aca="false">L584+1</f>
        <v>370</v>
      </c>
      <c r="M585" s="820" t="n">
        <f aca="false">IF(B585&lt;$E$104,$E$105,$E$106)</f>
        <v>3</v>
      </c>
      <c r="N585" s="821" t="n">
        <f aca="false">IF(B585&lt;$E$104,$E$105,$E$111)</f>
        <v>2.5</v>
      </c>
      <c r="O585" s="822" t="n">
        <f aca="false">E585*$E$205*N585</f>
        <v>114.705217425742</v>
      </c>
      <c r="P585" s="823" t="n">
        <f aca="false">P584+O585</f>
        <v>33164.3230460198</v>
      </c>
      <c r="Q585" s="606" t="n">
        <f aca="false">Q584+1</f>
        <v>370</v>
      </c>
      <c r="R585" s="824" t="n">
        <f aca="false">R584-1</f>
        <v>-370</v>
      </c>
      <c r="S585" s="5"/>
      <c r="T585" s="5"/>
      <c r="U585" s="5"/>
      <c r="V585" s="10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02"/>
      <c r="AU585" s="502"/>
      <c r="AV585" s="606"/>
      <c r="AW585" s="502"/>
      <c r="AX585" s="502"/>
      <c r="AY585" s="502"/>
      <c r="AZ585" s="502"/>
      <c r="BA585" s="502"/>
      <c r="BB585" s="502"/>
      <c r="BC585" s="502"/>
      <c r="BD585" s="502"/>
      <c r="BE585" s="502"/>
      <c r="BF585" s="502"/>
      <c r="BG585" s="502"/>
      <c r="BH585" s="502"/>
      <c r="BI585" s="502"/>
      <c r="BJ585" s="502"/>
      <c r="BK585" s="502"/>
      <c r="BL585" s="502"/>
      <c r="BM585" s="502"/>
      <c r="BN585" s="502"/>
      <c r="BO585" s="502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</row>
    <row r="586" s="504" customFormat="true" ht="12.75" hidden="true" customHeight="true" outlineLevel="0" collapsed="false">
      <c r="A586" s="5"/>
      <c r="B586" s="813" t="n">
        <f aca="false">B585+1</f>
        <v>371</v>
      </c>
      <c r="C586" s="814" t="n">
        <f aca="false">C585+D586</f>
        <v>39872.9748756832</v>
      </c>
      <c r="D586" s="815" t="n">
        <f aca="false">E586*$E$205*M586</f>
        <v>137.80394091089</v>
      </c>
      <c r="E586" s="601" t="n">
        <f aca="false">E585+$C$204</f>
        <v>8.73946860165461</v>
      </c>
      <c r="F586" s="816" t="n">
        <f aca="false">F585+1</f>
        <v>371</v>
      </c>
      <c r="G586" s="775" t="n">
        <f aca="false">C586</f>
        <v>39872.9748756832</v>
      </c>
      <c r="H586" s="817" t="n">
        <f aca="false">1000*(E586-E585)</f>
        <v>9.99999999999979</v>
      </c>
      <c r="I586" s="5"/>
      <c r="J586" s="818" t="n">
        <f aca="false">1000*(E586-$E$215)/(B586-$B$215)</f>
        <v>14.2422367346948</v>
      </c>
      <c r="K586" s="732" t="n">
        <f aca="false">AVERAGE($E$216:E586)</f>
        <v>6.86898342645249</v>
      </c>
      <c r="L586" s="819" t="n">
        <f aca="false">L585+1</f>
        <v>371</v>
      </c>
      <c r="M586" s="820" t="n">
        <f aca="false">IF(B586&lt;$E$104,$E$105,$E$106)</f>
        <v>3</v>
      </c>
      <c r="N586" s="821" t="n">
        <f aca="false">IF(B586&lt;$E$104,$E$105,$E$111)</f>
        <v>2.5</v>
      </c>
      <c r="O586" s="822" t="n">
        <f aca="false">E586*$E$205*N586</f>
        <v>114.836617425742</v>
      </c>
      <c r="P586" s="823" t="n">
        <f aca="false">P585+O586</f>
        <v>33279.1596634456</v>
      </c>
      <c r="Q586" s="606" t="n">
        <f aca="false">Q585+1</f>
        <v>371</v>
      </c>
      <c r="R586" s="824" t="n">
        <f aca="false">R585-1</f>
        <v>-371</v>
      </c>
      <c r="S586" s="5"/>
      <c r="T586" s="5"/>
      <c r="U586" s="5"/>
      <c r="V586" s="10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02"/>
      <c r="AU586" s="502"/>
      <c r="AV586" s="606"/>
      <c r="AW586" s="502"/>
      <c r="AX586" s="502"/>
      <c r="AY586" s="502"/>
      <c r="AZ586" s="502"/>
      <c r="BA586" s="502"/>
      <c r="BB586" s="502"/>
      <c r="BC586" s="502"/>
      <c r="BD586" s="502"/>
      <c r="BE586" s="502"/>
      <c r="BF586" s="502"/>
      <c r="BG586" s="502"/>
      <c r="BH586" s="502"/>
      <c r="BI586" s="502"/>
      <c r="BJ586" s="502"/>
      <c r="BK586" s="502"/>
      <c r="BL586" s="502"/>
      <c r="BM586" s="502"/>
      <c r="BN586" s="502"/>
      <c r="BO586" s="502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</row>
    <row r="587" s="504" customFormat="true" ht="12.75" hidden="true" customHeight="true" outlineLevel="0" collapsed="false">
      <c r="A587" s="5"/>
      <c r="B587" s="813" t="n">
        <f aca="false">B586+1</f>
        <v>372</v>
      </c>
      <c r="C587" s="814" t="n">
        <f aca="false">C586+D587</f>
        <v>40010.9364965941</v>
      </c>
      <c r="D587" s="815" t="n">
        <f aca="false">E587*$E$205*M587</f>
        <v>137.96162091089</v>
      </c>
      <c r="E587" s="601" t="n">
        <f aca="false">E586+$C$204</f>
        <v>8.74946860165461</v>
      </c>
      <c r="F587" s="816" t="n">
        <f aca="false">F586+1</f>
        <v>372</v>
      </c>
      <c r="G587" s="775" t="n">
        <f aca="false">C587</f>
        <v>40010.9364965941</v>
      </c>
      <c r="H587" s="817" t="n">
        <f aca="false">1000*(E587-E586)</f>
        <v>9.99999999999979</v>
      </c>
      <c r="I587" s="5"/>
      <c r="J587" s="818" t="n">
        <f aca="false">1000*(E587-$E$215)/(B587-$B$215)</f>
        <v>14.2308328725047</v>
      </c>
      <c r="K587" s="732" t="n">
        <f aca="false">AVERAGE($E$216:E587)</f>
        <v>6.87403849412777</v>
      </c>
      <c r="L587" s="819" t="n">
        <f aca="false">L586+1</f>
        <v>372</v>
      </c>
      <c r="M587" s="820" t="n">
        <f aca="false">IF(B587&lt;$E$104,$E$105,$E$106)</f>
        <v>3</v>
      </c>
      <c r="N587" s="821" t="n">
        <f aca="false">IF(B587&lt;$E$104,$E$105,$E$111)</f>
        <v>2.5</v>
      </c>
      <c r="O587" s="822" t="n">
        <f aca="false">E587*$E$205*N587</f>
        <v>114.968017425742</v>
      </c>
      <c r="P587" s="823" t="n">
        <f aca="false">P586+O587</f>
        <v>33394.1276808713</v>
      </c>
      <c r="Q587" s="606" t="n">
        <f aca="false">Q586+1</f>
        <v>372</v>
      </c>
      <c r="R587" s="824" t="n">
        <f aca="false">R586-1</f>
        <v>-372</v>
      </c>
      <c r="S587" s="5"/>
      <c r="T587" s="5"/>
      <c r="U587" s="5"/>
      <c r="V587" s="10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02"/>
      <c r="AU587" s="502"/>
      <c r="AV587" s="606"/>
      <c r="AW587" s="502"/>
      <c r="AX587" s="502"/>
      <c r="AY587" s="502"/>
      <c r="AZ587" s="502"/>
      <c r="BA587" s="502"/>
      <c r="BB587" s="502"/>
      <c r="BC587" s="502"/>
      <c r="BD587" s="502"/>
      <c r="BE587" s="502"/>
      <c r="BF587" s="502"/>
      <c r="BG587" s="502"/>
      <c r="BH587" s="502"/>
      <c r="BI587" s="502"/>
      <c r="BJ587" s="502"/>
      <c r="BK587" s="502"/>
      <c r="BL587" s="502"/>
      <c r="BM587" s="502"/>
      <c r="BN587" s="502"/>
      <c r="BO587" s="502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</row>
    <row r="588" s="504" customFormat="true" ht="12.75" hidden="true" customHeight="true" outlineLevel="0" collapsed="false">
      <c r="A588" s="5"/>
      <c r="B588" s="813" t="n">
        <f aca="false">B587+1</f>
        <v>373</v>
      </c>
      <c r="C588" s="814" t="n">
        <f aca="false">C587+D588</f>
        <v>40149.055797505</v>
      </c>
      <c r="D588" s="815" t="n">
        <f aca="false">E588*$E$205*M588</f>
        <v>138.11930091089</v>
      </c>
      <c r="E588" s="601" t="n">
        <f aca="false">E587+$C$204</f>
        <v>8.75946860165461</v>
      </c>
      <c r="F588" s="816" t="n">
        <f aca="false">F587+1</f>
        <v>373</v>
      </c>
      <c r="G588" s="775" t="n">
        <f aca="false">C588</f>
        <v>40149.055797505</v>
      </c>
      <c r="H588" s="817" t="n">
        <f aca="false">1000*(E588-E587)</f>
        <v>9.99999999999979</v>
      </c>
      <c r="I588" s="5"/>
      <c r="J588" s="818" t="n">
        <f aca="false">1000*(E588-$E$215)/(B588-$B$215)</f>
        <v>14.2194901570289</v>
      </c>
      <c r="K588" s="732" t="n">
        <f aca="false">AVERAGE($E$216:E588)</f>
        <v>6.87909326653401</v>
      </c>
      <c r="L588" s="819" t="n">
        <f aca="false">L587+1</f>
        <v>373</v>
      </c>
      <c r="M588" s="820" t="n">
        <f aca="false">IF(B588&lt;$E$104,$E$105,$E$106)</f>
        <v>3</v>
      </c>
      <c r="N588" s="821" t="n">
        <f aca="false">IF(B588&lt;$E$104,$E$105,$E$111)</f>
        <v>2.5</v>
      </c>
      <c r="O588" s="822" t="n">
        <f aca="false">E588*$E$205*N588</f>
        <v>115.099417425742</v>
      </c>
      <c r="P588" s="823" t="n">
        <f aca="false">P587+O588</f>
        <v>33509.227098297</v>
      </c>
      <c r="Q588" s="606" t="n">
        <f aca="false">Q587+1</f>
        <v>373</v>
      </c>
      <c r="R588" s="824" t="n">
        <f aca="false">R587-1</f>
        <v>-373</v>
      </c>
      <c r="S588" s="5"/>
      <c r="T588" s="5"/>
      <c r="U588" s="5"/>
      <c r="V588" s="10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02"/>
      <c r="AU588" s="502"/>
      <c r="AV588" s="606"/>
      <c r="AW588" s="502"/>
      <c r="AX588" s="502"/>
      <c r="AY588" s="502"/>
      <c r="AZ588" s="502"/>
      <c r="BA588" s="502"/>
      <c r="BB588" s="502"/>
      <c r="BC588" s="502"/>
      <c r="BD588" s="502"/>
      <c r="BE588" s="502"/>
      <c r="BF588" s="502"/>
      <c r="BG588" s="502"/>
      <c r="BH588" s="502"/>
      <c r="BI588" s="502"/>
      <c r="BJ588" s="502"/>
      <c r="BK588" s="502"/>
      <c r="BL588" s="502"/>
      <c r="BM588" s="502"/>
      <c r="BN588" s="502"/>
      <c r="BO588" s="502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</row>
    <row r="589" s="504" customFormat="true" ht="12.75" hidden="true" customHeight="true" outlineLevel="0" collapsed="false">
      <c r="A589" s="5"/>
      <c r="B589" s="813" t="n">
        <f aca="false">B588+1</f>
        <v>374</v>
      </c>
      <c r="C589" s="814" t="n">
        <f aca="false">C588+D589</f>
        <v>40287.3327784159</v>
      </c>
      <c r="D589" s="815" t="n">
        <f aca="false">E589*$E$205*M589</f>
        <v>138.27698091089</v>
      </c>
      <c r="E589" s="601" t="n">
        <f aca="false">E588+$C$204</f>
        <v>8.76946860165461</v>
      </c>
      <c r="F589" s="816" t="n">
        <f aca="false">F588+1</f>
        <v>374</v>
      </c>
      <c r="G589" s="775" t="n">
        <f aca="false">C589</f>
        <v>40287.3327784159</v>
      </c>
      <c r="H589" s="817" t="n">
        <f aca="false">1000*(E589-E588)</f>
        <v>9.99999999999979</v>
      </c>
      <c r="I589" s="5"/>
      <c r="J589" s="818" t="n">
        <f aca="false">1000*(E589-$E$215)/(B589-$B$215)</f>
        <v>14.2082080977855</v>
      </c>
      <c r="K589" s="732" t="n">
        <f aca="false">AVERAGE($E$216:E589)</f>
        <v>6.88414774603968</v>
      </c>
      <c r="L589" s="819" t="n">
        <f aca="false">L588+1</f>
        <v>374</v>
      </c>
      <c r="M589" s="820" t="n">
        <f aca="false">IF(B589&lt;$E$104,$E$105,$E$106)</f>
        <v>3</v>
      </c>
      <c r="N589" s="821" t="n">
        <f aca="false">IF(B589&lt;$E$104,$E$105,$E$111)</f>
        <v>2.5</v>
      </c>
      <c r="O589" s="822" t="n">
        <f aca="false">E589*$E$205*N589</f>
        <v>115.230817425742</v>
      </c>
      <c r="P589" s="823" t="n">
        <f aca="false">P588+O589</f>
        <v>33624.4579157228</v>
      </c>
      <c r="Q589" s="606" t="n">
        <f aca="false">Q588+1</f>
        <v>374</v>
      </c>
      <c r="R589" s="824" t="n">
        <f aca="false">R588-1</f>
        <v>-374</v>
      </c>
      <c r="S589" s="5"/>
      <c r="T589" s="5"/>
      <c r="U589" s="5"/>
      <c r="V589" s="10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02"/>
      <c r="AU589" s="502"/>
      <c r="AV589" s="606"/>
      <c r="AW589" s="502"/>
      <c r="AX589" s="502"/>
      <c r="AY589" s="502"/>
      <c r="AZ589" s="502"/>
      <c r="BA589" s="502"/>
      <c r="BB589" s="502"/>
      <c r="BC589" s="502"/>
      <c r="BD589" s="502"/>
      <c r="BE589" s="502"/>
      <c r="BF589" s="502"/>
      <c r="BG589" s="502"/>
      <c r="BH589" s="502"/>
      <c r="BI589" s="502"/>
      <c r="BJ589" s="502"/>
      <c r="BK589" s="502"/>
      <c r="BL589" s="502"/>
      <c r="BM589" s="502"/>
      <c r="BN589" s="502"/>
      <c r="BO589" s="502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</row>
    <row r="590" s="504" customFormat="true" ht="12.75" hidden="true" customHeight="true" outlineLevel="0" collapsed="false">
      <c r="A590" s="5"/>
      <c r="B590" s="813" t="n">
        <f aca="false">B589+1</f>
        <v>375</v>
      </c>
      <c r="C590" s="814" t="n">
        <f aca="false">C589+D590</f>
        <v>40425.7674393268</v>
      </c>
      <c r="D590" s="815" t="n">
        <f aca="false">E590*$E$205*M590</f>
        <v>138.43466091089</v>
      </c>
      <c r="E590" s="601" t="n">
        <f aca="false">E589+$C$204</f>
        <v>8.77946860165461</v>
      </c>
      <c r="F590" s="816" t="n">
        <f aca="false">F589+1</f>
        <v>375</v>
      </c>
      <c r="G590" s="775" t="n">
        <f aca="false">C590</f>
        <v>40425.7674393268</v>
      </c>
      <c r="H590" s="817" t="n">
        <f aca="false">1000*(E590-E589)</f>
        <v>9.99999999999979</v>
      </c>
      <c r="I590" s="5"/>
      <c r="J590" s="818" t="n">
        <f aca="false">1000*(E590-$E$215)/(B590-$B$215)</f>
        <v>14.1969862095247</v>
      </c>
      <c r="K590" s="732" t="n">
        <f aca="false">AVERAGE($E$216:E590)</f>
        <v>6.88920193498798</v>
      </c>
      <c r="L590" s="819" t="n">
        <f aca="false">L589+1</f>
        <v>375</v>
      </c>
      <c r="M590" s="820" t="n">
        <f aca="false">IF(B590&lt;$E$104,$E$105,$E$106)</f>
        <v>3</v>
      </c>
      <c r="N590" s="821" t="n">
        <f aca="false">IF(B590&lt;$E$104,$E$105,$E$111)</f>
        <v>2.5</v>
      </c>
      <c r="O590" s="822" t="n">
        <f aca="false">E590*$E$205*N590</f>
        <v>115.362217425742</v>
      </c>
      <c r="P590" s="823" t="n">
        <f aca="false">P589+O590</f>
        <v>33739.8201331485</v>
      </c>
      <c r="Q590" s="606" t="n">
        <f aca="false">Q589+1</f>
        <v>375</v>
      </c>
      <c r="R590" s="824" t="n">
        <f aca="false">R589-1</f>
        <v>-375</v>
      </c>
      <c r="S590" s="5"/>
      <c r="T590" s="5"/>
      <c r="U590" s="5"/>
      <c r="V590" s="10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02"/>
      <c r="AU590" s="502"/>
      <c r="AV590" s="606"/>
      <c r="AW590" s="502"/>
      <c r="AX590" s="502"/>
      <c r="AY590" s="502"/>
      <c r="AZ590" s="502"/>
      <c r="BA590" s="502"/>
      <c r="BB590" s="502"/>
      <c r="BC590" s="502"/>
      <c r="BD590" s="502"/>
      <c r="BE590" s="502"/>
      <c r="BF590" s="502"/>
      <c r="BG590" s="502"/>
      <c r="BH590" s="502"/>
      <c r="BI590" s="502"/>
      <c r="BJ590" s="502"/>
      <c r="BK590" s="502"/>
      <c r="BL590" s="502"/>
      <c r="BM590" s="502"/>
      <c r="BN590" s="502"/>
      <c r="BO590" s="502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</row>
    <row r="591" s="504" customFormat="true" ht="12.75" hidden="true" customHeight="true" outlineLevel="0" collapsed="false">
      <c r="A591" s="5"/>
      <c r="B591" s="813" t="n">
        <f aca="false">B590+1</f>
        <v>376</v>
      </c>
      <c r="C591" s="814" t="n">
        <f aca="false">C590+D591</f>
        <v>40564.3597802377</v>
      </c>
      <c r="D591" s="815" t="n">
        <f aca="false">E591*$E$205*M591</f>
        <v>138.59234091089</v>
      </c>
      <c r="E591" s="601" t="n">
        <f aca="false">E590+$C$204</f>
        <v>8.78946860165461</v>
      </c>
      <c r="F591" s="816" t="n">
        <f aca="false">F590+1</f>
        <v>376</v>
      </c>
      <c r="G591" s="775" t="n">
        <f aca="false">C591</f>
        <v>40564.3597802377</v>
      </c>
      <c r="H591" s="817" t="n">
        <f aca="false">1000*(E591-E590)</f>
        <v>9.99999999999979</v>
      </c>
      <c r="I591" s="5"/>
      <c r="J591" s="818" t="n">
        <f aca="false">1000*(E591-$E$215)/(B591-$B$215)</f>
        <v>14.1858240121589</v>
      </c>
      <c r="K591" s="732" t="n">
        <f aca="false">AVERAGE($E$216:E591)</f>
        <v>6.8942558356972</v>
      </c>
      <c r="L591" s="819" t="n">
        <f aca="false">L590+1</f>
        <v>376</v>
      </c>
      <c r="M591" s="820" t="n">
        <f aca="false">IF(B591&lt;$E$104,$E$105,$E$106)</f>
        <v>3</v>
      </c>
      <c r="N591" s="821" t="n">
        <f aca="false">IF(B591&lt;$E$104,$E$105,$E$111)</f>
        <v>2.5</v>
      </c>
      <c r="O591" s="822" t="n">
        <f aca="false">E591*$E$205*N591</f>
        <v>115.493617425742</v>
      </c>
      <c r="P591" s="823" t="n">
        <f aca="false">P590+O591</f>
        <v>33855.3137505743</v>
      </c>
      <c r="Q591" s="606" t="n">
        <f aca="false">Q590+1</f>
        <v>376</v>
      </c>
      <c r="R591" s="824" t="n">
        <f aca="false">R590-1</f>
        <v>-376</v>
      </c>
      <c r="S591" s="5"/>
      <c r="T591" s="5"/>
      <c r="U591" s="5"/>
      <c r="V591" s="10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02"/>
      <c r="AU591" s="502"/>
      <c r="AV591" s="606"/>
      <c r="AW591" s="502"/>
      <c r="AX591" s="502"/>
      <c r="AY591" s="502"/>
      <c r="AZ591" s="502"/>
      <c r="BA591" s="502"/>
      <c r="BB591" s="502"/>
      <c r="BC591" s="502"/>
      <c r="BD591" s="502"/>
      <c r="BE591" s="502"/>
      <c r="BF591" s="502"/>
      <c r="BG591" s="502"/>
      <c r="BH591" s="502"/>
      <c r="BI591" s="502"/>
      <c r="BJ591" s="502"/>
      <c r="BK591" s="502"/>
      <c r="BL591" s="502"/>
      <c r="BM591" s="502"/>
      <c r="BN591" s="502"/>
      <c r="BO591" s="502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</row>
    <row r="592" s="504" customFormat="true" ht="12.75" hidden="true" customHeight="true" outlineLevel="0" collapsed="false">
      <c r="A592" s="5"/>
      <c r="B592" s="813" t="n">
        <f aca="false">B591+1</f>
        <v>377</v>
      </c>
      <c r="C592" s="814" t="n">
        <f aca="false">C591+D592</f>
        <v>40703.1098011486</v>
      </c>
      <c r="D592" s="815" t="n">
        <f aca="false">E592*$E$205*M592</f>
        <v>138.75002091089</v>
      </c>
      <c r="E592" s="601" t="n">
        <f aca="false">E591+$C$204</f>
        <v>8.79946860165461</v>
      </c>
      <c r="F592" s="816" t="n">
        <f aca="false">F591+1</f>
        <v>377</v>
      </c>
      <c r="G592" s="775" t="n">
        <f aca="false">C592</f>
        <v>40703.1098011486</v>
      </c>
      <c r="H592" s="817" t="n">
        <f aca="false">1000*(E592-E591)</f>
        <v>9.99999999999979</v>
      </c>
      <c r="I592" s="5"/>
      <c r="J592" s="818" t="n">
        <f aca="false">1000*(E592-$E$215)/(B592-$B$215)</f>
        <v>14.1747210306943</v>
      </c>
      <c r="K592" s="732" t="n">
        <f aca="false">AVERAGE($E$216:E592)</f>
        <v>6.89930945046102</v>
      </c>
      <c r="L592" s="819" t="n">
        <f aca="false">L591+1</f>
        <v>377</v>
      </c>
      <c r="M592" s="820" t="n">
        <f aca="false">IF(B592&lt;$E$104,$E$105,$E$106)</f>
        <v>3</v>
      </c>
      <c r="N592" s="821" t="n">
        <f aca="false">IF(B592&lt;$E$104,$E$105,$E$111)</f>
        <v>2.5</v>
      </c>
      <c r="O592" s="822" t="n">
        <f aca="false">E592*$E$205*N592</f>
        <v>115.625017425742</v>
      </c>
      <c r="P592" s="823" t="n">
        <f aca="false">P591+O592</f>
        <v>33970.938768</v>
      </c>
      <c r="Q592" s="606" t="n">
        <f aca="false">Q591+1</f>
        <v>377</v>
      </c>
      <c r="R592" s="824" t="n">
        <f aca="false">R591-1</f>
        <v>-377</v>
      </c>
      <c r="S592" s="5"/>
      <c r="T592" s="5"/>
      <c r="U592" s="5"/>
      <c r="V592" s="10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02"/>
      <c r="AU592" s="502"/>
      <c r="AV592" s="606"/>
      <c r="AW592" s="502"/>
      <c r="AX592" s="502"/>
      <c r="AY592" s="502"/>
      <c r="AZ592" s="502"/>
      <c r="BA592" s="502"/>
      <c r="BB592" s="502"/>
      <c r="BC592" s="502"/>
      <c r="BD592" s="502"/>
      <c r="BE592" s="502"/>
      <c r="BF592" s="502"/>
      <c r="BG592" s="502"/>
      <c r="BH592" s="502"/>
      <c r="BI592" s="502"/>
      <c r="BJ592" s="502"/>
      <c r="BK592" s="502"/>
      <c r="BL592" s="502"/>
      <c r="BM592" s="502"/>
      <c r="BN592" s="502"/>
      <c r="BO592" s="502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</row>
    <row r="593" s="504" customFormat="true" ht="12.75" hidden="true" customHeight="true" outlineLevel="0" collapsed="false">
      <c r="A593" s="5"/>
      <c r="B593" s="813" t="n">
        <f aca="false">B592+1</f>
        <v>378</v>
      </c>
      <c r="C593" s="814" t="n">
        <f aca="false">C592+D593</f>
        <v>40842.0175020595</v>
      </c>
      <c r="D593" s="815" t="n">
        <f aca="false">E593*$E$205*M593</f>
        <v>138.90770091089</v>
      </c>
      <c r="E593" s="601" t="n">
        <f aca="false">E592+$C$204</f>
        <v>8.80946860165461</v>
      </c>
      <c r="F593" s="816" t="n">
        <f aca="false">F592+1</f>
        <v>378</v>
      </c>
      <c r="G593" s="775" t="n">
        <f aca="false">C593</f>
        <v>40842.0175020595</v>
      </c>
      <c r="H593" s="817" t="n">
        <f aca="false">1000*(E593-E592)</f>
        <v>9.99999999999979</v>
      </c>
      <c r="I593" s="5"/>
      <c r="J593" s="818" t="n">
        <f aca="false">1000*(E593-$E$215)/(B593-$B$215)</f>
        <v>14.1636767951634</v>
      </c>
      <c r="K593" s="732" t="n">
        <f aca="false">AVERAGE($E$216:E593)</f>
        <v>6.90436278154883</v>
      </c>
      <c r="L593" s="819" t="n">
        <f aca="false">L592+1</f>
        <v>378</v>
      </c>
      <c r="M593" s="820" t="n">
        <f aca="false">IF(B593&lt;$E$104,$E$105,$E$106)</f>
        <v>3</v>
      </c>
      <c r="N593" s="821" t="n">
        <f aca="false">IF(B593&lt;$E$104,$E$105,$E$111)</f>
        <v>2.5</v>
      </c>
      <c r="O593" s="822" t="n">
        <f aca="false">E593*$E$205*N593</f>
        <v>115.756417425742</v>
      </c>
      <c r="P593" s="823" t="n">
        <f aca="false">P592+O593</f>
        <v>34086.6951854257</v>
      </c>
      <c r="Q593" s="606" t="n">
        <f aca="false">Q592+1</f>
        <v>378</v>
      </c>
      <c r="R593" s="824" t="n">
        <f aca="false">R592-1</f>
        <v>-378</v>
      </c>
      <c r="S593" s="5"/>
      <c r="T593" s="5"/>
      <c r="U593" s="5"/>
      <c r="V593" s="10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02"/>
      <c r="AU593" s="502"/>
      <c r="AV593" s="606"/>
      <c r="AW593" s="502"/>
      <c r="AX593" s="502"/>
      <c r="AY593" s="502"/>
      <c r="AZ593" s="502"/>
      <c r="BA593" s="502"/>
      <c r="BB593" s="502"/>
      <c r="BC593" s="502"/>
      <c r="BD593" s="502"/>
      <c r="BE593" s="502"/>
      <c r="BF593" s="502"/>
      <c r="BG593" s="502"/>
      <c r="BH593" s="502"/>
      <c r="BI593" s="502"/>
      <c r="BJ593" s="502"/>
      <c r="BK593" s="502"/>
      <c r="BL593" s="502"/>
      <c r="BM593" s="502"/>
      <c r="BN593" s="502"/>
      <c r="BO593" s="502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</row>
    <row r="594" s="504" customFormat="true" ht="12.75" hidden="true" customHeight="true" outlineLevel="0" collapsed="false">
      <c r="A594" s="5"/>
      <c r="B594" s="813" t="n">
        <f aca="false">B593+1</f>
        <v>379</v>
      </c>
      <c r="C594" s="814" t="n">
        <f aca="false">C593+D594</f>
        <v>40981.0828829704</v>
      </c>
      <c r="D594" s="815" t="n">
        <f aca="false">E594*$E$205*M594</f>
        <v>139.06538091089</v>
      </c>
      <c r="E594" s="601" t="n">
        <f aca="false">E593+$C$204</f>
        <v>8.81946860165461</v>
      </c>
      <c r="F594" s="816" t="n">
        <f aca="false">F593+1</f>
        <v>379</v>
      </c>
      <c r="G594" s="775" t="n">
        <f aca="false">C594</f>
        <v>40981.0828829704</v>
      </c>
      <c r="H594" s="817" t="n">
        <f aca="false">1000*(E594-E593)</f>
        <v>9.99999999999979</v>
      </c>
      <c r="I594" s="5"/>
      <c r="J594" s="818" t="n">
        <f aca="false">1000*(E594-$E$215)/(B594-$B$215)</f>
        <v>14.1526908405587</v>
      </c>
      <c r="K594" s="732" t="n">
        <f aca="false">AVERAGE($E$216:E594)</f>
        <v>6.9094158312061</v>
      </c>
      <c r="L594" s="819" t="n">
        <f aca="false">L593+1</f>
        <v>379</v>
      </c>
      <c r="M594" s="820" t="n">
        <f aca="false">IF(B594&lt;$E$104,$E$105,$E$106)</f>
        <v>3</v>
      </c>
      <c r="N594" s="821" t="n">
        <f aca="false">IF(B594&lt;$E$104,$E$105,$E$111)</f>
        <v>2.5</v>
      </c>
      <c r="O594" s="822" t="n">
        <f aca="false">E594*$E$205*N594</f>
        <v>115.887817425742</v>
      </c>
      <c r="P594" s="823" t="n">
        <f aca="false">P593+O594</f>
        <v>34202.5830028515</v>
      </c>
      <c r="Q594" s="606" t="n">
        <f aca="false">Q593+1</f>
        <v>379</v>
      </c>
      <c r="R594" s="824" t="n">
        <f aca="false">R593-1</f>
        <v>-379</v>
      </c>
      <c r="S594" s="5"/>
      <c r="T594" s="5"/>
      <c r="U594" s="5"/>
      <c r="V594" s="10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02"/>
      <c r="AU594" s="502"/>
      <c r="AV594" s="606"/>
      <c r="AW594" s="502"/>
      <c r="AX594" s="502"/>
      <c r="AY594" s="502"/>
      <c r="AZ594" s="502"/>
      <c r="BA594" s="502"/>
      <c r="BB594" s="502"/>
      <c r="BC594" s="502"/>
      <c r="BD594" s="502"/>
      <c r="BE594" s="502"/>
      <c r="BF594" s="502"/>
      <c r="BG594" s="502"/>
      <c r="BH594" s="502"/>
      <c r="BI594" s="502"/>
      <c r="BJ594" s="502"/>
      <c r="BK594" s="502"/>
      <c r="BL594" s="502"/>
      <c r="BM594" s="502"/>
      <c r="BN594" s="502"/>
      <c r="BO594" s="502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</row>
    <row r="595" s="504" customFormat="true" ht="12.75" hidden="true" customHeight="true" outlineLevel="0" collapsed="false">
      <c r="A595" s="5"/>
      <c r="B595" s="813" t="n">
        <f aca="false">B594+1</f>
        <v>380</v>
      </c>
      <c r="C595" s="814" t="n">
        <f aca="false">C594+D595</f>
        <v>41120.3059438812</v>
      </c>
      <c r="D595" s="815" t="n">
        <f aca="false">E595*$E$205*M595</f>
        <v>139.22306091089</v>
      </c>
      <c r="E595" s="601" t="n">
        <f aca="false">E594+$C$204</f>
        <v>8.82946860165461</v>
      </c>
      <c r="F595" s="816" t="n">
        <f aca="false">F594+1</f>
        <v>380</v>
      </c>
      <c r="G595" s="775" t="n">
        <f aca="false">C595</f>
        <v>41120.3059438812</v>
      </c>
      <c r="H595" s="817" t="n">
        <f aca="false">1000*(E595-E594)</f>
        <v>9.99999999999979</v>
      </c>
      <c r="I595" s="5"/>
      <c r="J595" s="818" t="n">
        <f aca="false">1000*(E595-$E$215)/(B595-$B$215)</f>
        <v>14.1417627067678</v>
      </c>
      <c r="K595" s="732" t="n">
        <f aca="false">AVERAGE($E$216:E595)</f>
        <v>6.91446860165465</v>
      </c>
      <c r="L595" s="819" t="n">
        <f aca="false">L594+1</f>
        <v>380</v>
      </c>
      <c r="M595" s="820" t="n">
        <f aca="false">IF(B595&lt;$E$104,$E$105,$E$106)</f>
        <v>3</v>
      </c>
      <c r="N595" s="821" t="n">
        <f aca="false">IF(B595&lt;$E$104,$E$105,$E$111)</f>
        <v>2.5</v>
      </c>
      <c r="O595" s="822" t="n">
        <f aca="false">E595*$E$205*N595</f>
        <v>116.019217425742</v>
      </c>
      <c r="P595" s="823" t="n">
        <f aca="false">P594+O595</f>
        <v>34318.6022202772</v>
      </c>
      <c r="Q595" s="606" t="n">
        <f aca="false">Q594+1</f>
        <v>380</v>
      </c>
      <c r="R595" s="824" t="n">
        <f aca="false">R594-1</f>
        <v>-380</v>
      </c>
      <c r="S595" s="5"/>
      <c r="T595" s="5"/>
      <c r="U595" s="5"/>
      <c r="V595" s="10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02"/>
      <c r="AU595" s="502"/>
      <c r="AV595" s="606"/>
      <c r="AW595" s="502"/>
      <c r="AX595" s="502"/>
      <c r="AY595" s="502"/>
      <c r="AZ595" s="502"/>
      <c r="BA595" s="502"/>
      <c r="BB595" s="502"/>
      <c r="BC595" s="502"/>
      <c r="BD595" s="502"/>
      <c r="BE595" s="502"/>
      <c r="BF595" s="502"/>
      <c r="BG595" s="502"/>
      <c r="BH595" s="502"/>
      <c r="BI595" s="502"/>
      <c r="BJ595" s="502"/>
      <c r="BK595" s="502"/>
      <c r="BL595" s="502"/>
      <c r="BM595" s="502"/>
      <c r="BN595" s="502"/>
      <c r="BO595" s="502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</row>
    <row r="596" s="504" customFormat="true" ht="12.75" hidden="true" customHeight="true" outlineLevel="0" collapsed="false">
      <c r="A596" s="5"/>
      <c r="B596" s="813" t="n">
        <f aca="false">B595+1</f>
        <v>381</v>
      </c>
      <c r="C596" s="814" t="n">
        <f aca="false">C595+D596</f>
        <v>41259.6866847921</v>
      </c>
      <c r="D596" s="815" t="n">
        <f aca="false">E596*$E$205*M596</f>
        <v>139.38074091089</v>
      </c>
      <c r="E596" s="601" t="n">
        <f aca="false">E595+$C$204</f>
        <v>8.83946860165461</v>
      </c>
      <c r="F596" s="816" t="n">
        <f aca="false">F595+1</f>
        <v>381</v>
      </c>
      <c r="G596" s="775" t="n">
        <f aca="false">C596</f>
        <v>41259.6866847921</v>
      </c>
      <c r="H596" s="817" t="n">
        <f aca="false">1000*(E596-E595)</f>
        <v>9.99999999999979</v>
      </c>
      <c r="I596" s="5"/>
      <c r="J596" s="818" t="n">
        <f aca="false">1000*(E596-$E$215)/(B596-$B$215)</f>
        <v>14.1308919385086</v>
      </c>
      <c r="K596" s="732" t="n">
        <f aca="false">AVERAGE($E$216:E596)</f>
        <v>6.91952109509297</v>
      </c>
      <c r="L596" s="819" t="n">
        <f aca="false">L595+1</f>
        <v>381</v>
      </c>
      <c r="M596" s="820" t="n">
        <f aca="false">IF(B596&lt;$E$104,$E$105,$E$106)</f>
        <v>3</v>
      </c>
      <c r="N596" s="821" t="n">
        <f aca="false">IF(B596&lt;$E$104,$E$105,$E$111)</f>
        <v>2.5</v>
      </c>
      <c r="O596" s="822" t="n">
        <f aca="false">E596*$E$205*N596</f>
        <v>116.150617425742</v>
      </c>
      <c r="P596" s="823" t="n">
        <f aca="false">P595+O596</f>
        <v>34434.752837703</v>
      </c>
      <c r="Q596" s="606" t="n">
        <f aca="false">Q595+1</f>
        <v>381</v>
      </c>
      <c r="R596" s="824" t="n">
        <f aca="false">R595-1</f>
        <v>-381</v>
      </c>
      <c r="S596" s="5"/>
      <c r="T596" s="5"/>
      <c r="U596" s="5"/>
      <c r="V596" s="10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02"/>
      <c r="AU596" s="502"/>
      <c r="AV596" s="606"/>
      <c r="AW596" s="502"/>
      <c r="AX596" s="502"/>
      <c r="AY596" s="502"/>
      <c r="AZ596" s="502"/>
      <c r="BA596" s="502"/>
      <c r="BB596" s="502"/>
      <c r="BC596" s="502"/>
      <c r="BD596" s="502"/>
      <c r="BE596" s="502"/>
      <c r="BF596" s="502"/>
      <c r="BG596" s="502"/>
      <c r="BH596" s="502"/>
      <c r="BI596" s="502"/>
      <c r="BJ596" s="502"/>
      <c r="BK596" s="502"/>
      <c r="BL596" s="502"/>
      <c r="BM596" s="502"/>
      <c r="BN596" s="502"/>
      <c r="BO596" s="502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</row>
    <row r="597" s="504" customFormat="true" ht="12.75" hidden="true" customHeight="true" outlineLevel="0" collapsed="false">
      <c r="A597" s="5"/>
      <c r="B597" s="813" t="n">
        <f aca="false">B596+1</f>
        <v>382</v>
      </c>
      <c r="C597" s="814" t="n">
        <f aca="false">C596+D597</f>
        <v>41399.225105703</v>
      </c>
      <c r="D597" s="815" t="n">
        <f aca="false">E597*$E$205*M597</f>
        <v>139.53842091089</v>
      </c>
      <c r="E597" s="601" t="n">
        <f aca="false">E596+$C$204</f>
        <v>8.84946860165461</v>
      </c>
      <c r="F597" s="816" t="n">
        <f aca="false">F596+1</f>
        <v>382</v>
      </c>
      <c r="G597" s="775" t="n">
        <f aca="false">C597</f>
        <v>41399.225105703</v>
      </c>
      <c r="H597" s="817" t="n">
        <f aca="false">1000*(E597-E596)</f>
        <v>9.99999999999979</v>
      </c>
      <c r="I597" s="5"/>
      <c r="J597" s="818" t="n">
        <f aca="false">1000*(E597-$E$215)/(B597-$B$215)</f>
        <v>14.1200780852664</v>
      </c>
      <c r="K597" s="732" t="n">
        <f aca="false">AVERAGE($E$216:E597)</f>
        <v>6.92457331369653</v>
      </c>
      <c r="L597" s="819" t="n">
        <f aca="false">L596+1</f>
        <v>382</v>
      </c>
      <c r="M597" s="820" t="n">
        <f aca="false">IF(B597&lt;$E$104,$E$105,$E$106)</f>
        <v>3</v>
      </c>
      <c r="N597" s="821" t="n">
        <f aca="false">IF(B597&lt;$E$104,$E$105,$E$111)</f>
        <v>2.5</v>
      </c>
      <c r="O597" s="822" t="n">
        <f aca="false">E597*$E$205*N597</f>
        <v>116.282017425742</v>
      </c>
      <c r="P597" s="823" t="n">
        <f aca="false">P596+O597</f>
        <v>34551.0348551287</v>
      </c>
      <c r="Q597" s="606" t="n">
        <f aca="false">Q596+1</f>
        <v>382</v>
      </c>
      <c r="R597" s="824" t="n">
        <f aca="false">R596-1</f>
        <v>-382</v>
      </c>
      <c r="S597" s="5"/>
      <c r="T597" s="5"/>
      <c r="U597" s="5"/>
      <c r="V597" s="10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02"/>
      <c r="AU597" s="502"/>
      <c r="AV597" s="606"/>
      <c r="AW597" s="502"/>
      <c r="AX597" s="502"/>
      <c r="AY597" s="502"/>
      <c r="AZ597" s="502"/>
      <c r="BA597" s="502"/>
      <c r="BB597" s="502"/>
      <c r="BC597" s="502"/>
      <c r="BD597" s="502"/>
      <c r="BE597" s="502"/>
      <c r="BF597" s="502"/>
      <c r="BG597" s="502"/>
      <c r="BH597" s="502"/>
      <c r="BI597" s="502"/>
      <c r="BJ597" s="502"/>
      <c r="BK597" s="502"/>
      <c r="BL597" s="502"/>
      <c r="BM597" s="502"/>
      <c r="BN597" s="502"/>
      <c r="BO597" s="502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</row>
    <row r="598" s="504" customFormat="true" ht="12.75" hidden="true" customHeight="true" outlineLevel="0" collapsed="false">
      <c r="A598" s="5"/>
      <c r="B598" s="813" t="n">
        <f aca="false">B597+1</f>
        <v>383</v>
      </c>
      <c r="C598" s="814" t="n">
        <f aca="false">C597+D598</f>
        <v>41538.9212066139</v>
      </c>
      <c r="D598" s="815" t="n">
        <f aca="false">E598*$E$205*M598</f>
        <v>139.69610091089</v>
      </c>
      <c r="E598" s="601" t="n">
        <f aca="false">E597+$C$204</f>
        <v>8.85946860165461</v>
      </c>
      <c r="F598" s="816" t="n">
        <f aca="false">F597+1</f>
        <v>383</v>
      </c>
      <c r="G598" s="775" t="n">
        <f aca="false">C598</f>
        <v>41538.9212066139</v>
      </c>
      <c r="H598" s="817" t="n">
        <f aca="false">1000*(E598-E597)</f>
        <v>9.99999999999979</v>
      </c>
      <c r="I598" s="5"/>
      <c r="J598" s="818" t="n">
        <f aca="false">1000*(E598-$E$215)/(B598-$B$215)</f>
        <v>14.1093207012318</v>
      </c>
      <c r="K598" s="732" t="n">
        <f aca="false">AVERAGE($E$216:E598)</f>
        <v>6.9296252596181</v>
      </c>
      <c r="L598" s="819" t="n">
        <f aca="false">L597+1</f>
        <v>383</v>
      </c>
      <c r="M598" s="820" t="n">
        <f aca="false">IF(B598&lt;$E$104,$E$105,$E$106)</f>
        <v>3</v>
      </c>
      <c r="N598" s="821" t="n">
        <f aca="false">IF(B598&lt;$E$104,$E$105,$E$111)</f>
        <v>2.5</v>
      </c>
      <c r="O598" s="822" t="n">
        <f aca="false">E598*$E$205*N598</f>
        <v>116.413417425742</v>
      </c>
      <c r="P598" s="823" t="n">
        <f aca="false">P597+O598</f>
        <v>34667.4482725545</v>
      </c>
      <c r="Q598" s="606" t="n">
        <f aca="false">Q597+1</f>
        <v>383</v>
      </c>
      <c r="R598" s="824" t="n">
        <f aca="false">R597-1</f>
        <v>-383</v>
      </c>
      <c r="S598" s="5"/>
      <c r="T598" s="5"/>
      <c r="U598" s="5"/>
      <c r="V598" s="10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02"/>
      <c r="AU598" s="502"/>
      <c r="AV598" s="606"/>
      <c r="AW598" s="502"/>
      <c r="AX598" s="502"/>
      <c r="AY598" s="502"/>
      <c r="AZ598" s="502"/>
      <c r="BA598" s="502"/>
      <c r="BB598" s="502"/>
      <c r="BC598" s="502"/>
      <c r="BD598" s="502"/>
      <c r="BE598" s="502"/>
      <c r="BF598" s="502"/>
      <c r="BG598" s="502"/>
      <c r="BH598" s="502"/>
      <c r="BI598" s="502"/>
      <c r="BJ598" s="502"/>
      <c r="BK598" s="502"/>
      <c r="BL598" s="502"/>
      <c r="BM598" s="502"/>
      <c r="BN598" s="502"/>
      <c r="BO598" s="502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</row>
    <row r="599" s="504" customFormat="true" ht="12.75" hidden="true" customHeight="true" outlineLevel="0" collapsed="false">
      <c r="A599" s="5"/>
      <c r="B599" s="813" t="n">
        <f aca="false">B598+1</f>
        <v>384</v>
      </c>
      <c r="C599" s="814" t="n">
        <f aca="false">C598+D599</f>
        <v>41678.7749875248</v>
      </c>
      <c r="D599" s="815" t="n">
        <f aca="false">E599*$E$205*M599</f>
        <v>139.85378091089</v>
      </c>
      <c r="E599" s="601" t="n">
        <f aca="false">E598+$C$204</f>
        <v>8.86946860165461</v>
      </c>
      <c r="F599" s="816" t="n">
        <f aca="false">F598+1</f>
        <v>384</v>
      </c>
      <c r="G599" s="775" t="n">
        <f aca="false">C599</f>
        <v>41678.7749875248</v>
      </c>
      <c r="H599" s="817" t="n">
        <f aca="false">1000*(E599-E598)</f>
        <v>9.99999999999979</v>
      </c>
      <c r="I599" s="5"/>
      <c r="J599" s="818" t="n">
        <f aca="false">1000*(E599-$E$215)/(B599-$B$215)</f>
        <v>14.098619345239</v>
      </c>
      <c r="K599" s="732" t="n">
        <f aca="false">AVERAGE($E$216:E599)</f>
        <v>6.93467693498798</v>
      </c>
      <c r="L599" s="819" t="n">
        <f aca="false">L598+1</f>
        <v>384</v>
      </c>
      <c r="M599" s="820" t="n">
        <f aca="false">IF(B599&lt;$E$104,$E$105,$E$106)</f>
        <v>3</v>
      </c>
      <c r="N599" s="821" t="n">
        <f aca="false">IF(B599&lt;$E$104,$E$105,$E$111)</f>
        <v>2.5</v>
      </c>
      <c r="O599" s="822" t="n">
        <f aca="false">E599*$E$205*N599</f>
        <v>116.544817425742</v>
      </c>
      <c r="P599" s="823" t="n">
        <f aca="false">P598+O599</f>
        <v>34783.9930899802</v>
      </c>
      <c r="Q599" s="606" t="n">
        <f aca="false">Q598+1</f>
        <v>384</v>
      </c>
      <c r="R599" s="824" t="n">
        <f aca="false">R598-1</f>
        <v>-384</v>
      </c>
      <c r="S599" s="5"/>
      <c r="T599" s="5"/>
      <c r="U599" s="5"/>
      <c r="V599" s="10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02"/>
      <c r="AU599" s="502"/>
      <c r="AV599" s="606"/>
      <c r="AW599" s="502"/>
      <c r="AX599" s="502"/>
      <c r="AY599" s="502"/>
      <c r="AZ599" s="502"/>
      <c r="BA599" s="502"/>
      <c r="BB599" s="502"/>
      <c r="BC599" s="502"/>
      <c r="BD599" s="502"/>
      <c r="BE599" s="502"/>
      <c r="BF599" s="502"/>
      <c r="BG599" s="502"/>
      <c r="BH599" s="502"/>
      <c r="BI599" s="502"/>
      <c r="BJ599" s="502"/>
      <c r="BK599" s="502"/>
      <c r="BL599" s="502"/>
      <c r="BM599" s="502"/>
      <c r="BN599" s="502"/>
      <c r="BO599" s="502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</row>
    <row r="600" s="504" customFormat="true" ht="12.75" hidden="true" customHeight="true" outlineLevel="0" collapsed="false">
      <c r="A600" s="5"/>
      <c r="B600" s="813" t="n">
        <f aca="false">B599+1</f>
        <v>385</v>
      </c>
      <c r="C600" s="814" t="n">
        <f aca="false">C599+D600</f>
        <v>41818.7864484357</v>
      </c>
      <c r="D600" s="815" t="n">
        <f aca="false">E600*$E$205*M600</f>
        <v>140.01146091089</v>
      </c>
      <c r="E600" s="601" t="n">
        <f aca="false">E599+$C$204</f>
        <v>8.87946860165461</v>
      </c>
      <c r="F600" s="816" t="n">
        <f aca="false">F599+1</f>
        <v>385</v>
      </c>
      <c r="G600" s="775" t="n">
        <f aca="false">C600</f>
        <v>41818.7864484357</v>
      </c>
      <c r="H600" s="817" t="n">
        <f aca="false">1000*(E600-E599)</f>
        <v>9.99999999999979</v>
      </c>
      <c r="I600" s="5"/>
      <c r="J600" s="818" t="n">
        <f aca="false">1000*(E600-$E$215)/(B600-$B$215)</f>
        <v>14.0879735807059</v>
      </c>
      <c r="K600" s="732" t="n">
        <f aca="false">AVERAGE($E$216:E600)</f>
        <v>6.93972834191439</v>
      </c>
      <c r="L600" s="819" t="n">
        <f aca="false">L599+1</f>
        <v>385</v>
      </c>
      <c r="M600" s="820" t="n">
        <f aca="false">IF(B600&lt;$E$104,$E$105,$E$106)</f>
        <v>3</v>
      </c>
      <c r="N600" s="821" t="n">
        <f aca="false">IF(B600&lt;$E$104,$E$105,$E$111)</f>
        <v>2.5</v>
      </c>
      <c r="O600" s="822" t="n">
        <f aca="false">E600*$E$205*N600</f>
        <v>116.676217425742</v>
      </c>
      <c r="P600" s="823" t="n">
        <f aca="false">P599+O600</f>
        <v>34900.6693074059</v>
      </c>
      <c r="Q600" s="606" t="n">
        <f aca="false">Q599+1</f>
        <v>385</v>
      </c>
      <c r="R600" s="824" t="n">
        <f aca="false">R599-1</f>
        <v>-385</v>
      </c>
      <c r="S600" s="5"/>
      <c r="T600" s="5"/>
      <c r="U600" s="5"/>
      <c r="V600" s="10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02"/>
      <c r="AU600" s="502"/>
      <c r="AV600" s="606"/>
      <c r="AW600" s="502"/>
      <c r="AX600" s="502"/>
      <c r="AY600" s="502"/>
      <c r="AZ600" s="502"/>
      <c r="BA600" s="502"/>
      <c r="BB600" s="502"/>
      <c r="BC600" s="502"/>
      <c r="BD600" s="502"/>
      <c r="BE600" s="502"/>
      <c r="BF600" s="502"/>
      <c r="BG600" s="502"/>
      <c r="BH600" s="502"/>
      <c r="BI600" s="502"/>
      <c r="BJ600" s="502"/>
      <c r="BK600" s="502"/>
      <c r="BL600" s="502"/>
      <c r="BM600" s="502"/>
      <c r="BN600" s="502"/>
      <c r="BO600" s="502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</row>
    <row r="601" s="504" customFormat="true" ht="12.75" hidden="true" customHeight="true" outlineLevel="0" collapsed="false">
      <c r="A601" s="5"/>
      <c r="B601" s="813" t="n">
        <f aca="false">B600+1</f>
        <v>386</v>
      </c>
      <c r="C601" s="814" t="n">
        <f aca="false">C600+D601</f>
        <v>41958.9555893466</v>
      </c>
      <c r="D601" s="815" t="n">
        <f aca="false">E601*$E$205*M601</f>
        <v>140.16914091089</v>
      </c>
      <c r="E601" s="601" t="n">
        <f aca="false">E600+$C$204</f>
        <v>8.88946860165461</v>
      </c>
      <c r="F601" s="816" t="n">
        <f aca="false">F600+1</f>
        <v>386</v>
      </c>
      <c r="G601" s="775" t="n">
        <f aca="false">C601</f>
        <v>41958.9555893466</v>
      </c>
      <c r="H601" s="817" t="n">
        <f aca="false">1000*(E601-E600)</f>
        <v>9.99999999999979</v>
      </c>
      <c r="I601" s="5"/>
      <c r="J601" s="818" t="n">
        <f aca="false">1000*(E601-$E$215)/(B601-$B$215)</f>
        <v>14.0773829755745</v>
      </c>
      <c r="K601" s="732" t="n">
        <f aca="false">AVERAGE($E$216:E601)</f>
        <v>6.94477948248366</v>
      </c>
      <c r="L601" s="819" t="n">
        <f aca="false">L600+1</f>
        <v>386</v>
      </c>
      <c r="M601" s="820" t="n">
        <f aca="false">IF(B601&lt;$E$104,$E$105,$E$106)</f>
        <v>3</v>
      </c>
      <c r="N601" s="821" t="n">
        <f aca="false">IF(B601&lt;$E$104,$E$105,$E$111)</f>
        <v>2.5</v>
      </c>
      <c r="O601" s="822" t="n">
        <f aca="false">E601*$E$205*N601</f>
        <v>116.807617425742</v>
      </c>
      <c r="P601" s="823" t="n">
        <f aca="false">P600+O601</f>
        <v>35017.4769248317</v>
      </c>
      <c r="Q601" s="606" t="n">
        <f aca="false">Q600+1</f>
        <v>386</v>
      </c>
      <c r="R601" s="824" t="n">
        <f aca="false">R600-1</f>
        <v>-386</v>
      </c>
      <c r="S601" s="5"/>
      <c r="T601" s="5"/>
      <c r="U601" s="5"/>
      <c r="V601" s="10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02"/>
      <c r="AU601" s="502"/>
      <c r="AV601" s="606"/>
      <c r="AW601" s="502"/>
      <c r="AX601" s="502"/>
      <c r="AY601" s="502"/>
      <c r="AZ601" s="502"/>
      <c r="BA601" s="502"/>
      <c r="BB601" s="502"/>
      <c r="BC601" s="502"/>
      <c r="BD601" s="502"/>
      <c r="BE601" s="502"/>
      <c r="BF601" s="502"/>
      <c r="BG601" s="502"/>
      <c r="BH601" s="502"/>
      <c r="BI601" s="502"/>
      <c r="BJ601" s="502"/>
      <c r="BK601" s="502"/>
      <c r="BL601" s="502"/>
      <c r="BM601" s="502"/>
      <c r="BN601" s="502"/>
      <c r="BO601" s="502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</row>
    <row r="602" s="504" customFormat="true" ht="12.75" hidden="true" customHeight="true" outlineLevel="0" collapsed="false">
      <c r="A602" s="5"/>
      <c r="B602" s="813" t="n">
        <f aca="false">B601+1</f>
        <v>387</v>
      </c>
      <c r="C602" s="814" t="n">
        <f aca="false">C601+D602</f>
        <v>42099.2824102575</v>
      </c>
      <c r="D602" s="815" t="n">
        <f aca="false">E602*$E$205*M602</f>
        <v>140.32682091089</v>
      </c>
      <c r="E602" s="601" t="n">
        <f aca="false">E601+$C$204</f>
        <v>8.89946860165461</v>
      </c>
      <c r="F602" s="816" t="n">
        <f aca="false">F601+1</f>
        <v>387</v>
      </c>
      <c r="G602" s="775" t="n">
        <f aca="false">C602</f>
        <v>42099.2824102575</v>
      </c>
      <c r="H602" s="817" t="n">
        <f aca="false">1000*(E602-E601)</f>
        <v>9.99999999999979</v>
      </c>
      <c r="I602" s="5"/>
      <c r="J602" s="818" t="n">
        <f aca="false">1000*(E602-$E$215)/(B602-$B$215)</f>
        <v>14.0668471022526</v>
      </c>
      <c r="K602" s="732" t="n">
        <f aca="false">AVERAGE($E$216:E602)</f>
        <v>6.94983035876059</v>
      </c>
      <c r="L602" s="819" t="n">
        <f aca="false">L601+1</f>
        <v>387</v>
      </c>
      <c r="M602" s="820" t="n">
        <f aca="false">IF(B602&lt;$E$104,$E$105,$E$106)</f>
        <v>3</v>
      </c>
      <c r="N602" s="821" t="n">
        <f aca="false">IF(B602&lt;$E$104,$E$105,$E$111)</f>
        <v>2.5</v>
      </c>
      <c r="O602" s="822" t="n">
        <f aca="false">E602*$E$205*N602</f>
        <v>116.939017425742</v>
      </c>
      <c r="P602" s="823" t="n">
        <f aca="false">P601+O602</f>
        <v>35134.4159422574</v>
      </c>
      <c r="Q602" s="606" t="n">
        <f aca="false">Q601+1</f>
        <v>387</v>
      </c>
      <c r="R602" s="824" t="n">
        <f aca="false">R601-1</f>
        <v>-387</v>
      </c>
      <c r="S602" s="5"/>
      <c r="T602" s="5"/>
      <c r="U602" s="5"/>
      <c r="V602" s="10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02"/>
      <c r="AU602" s="502"/>
      <c r="AV602" s="606"/>
      <c r="AW602" s="502"/>
      <c r="AX602" s="502"/>
      <c r="AY602" s="502"/>
      <c r="AZ602" s="502"/>
      <c r="BA602" s="502"/>
      <c r="BB602" s="502"/>
      <c r="BC602" s="502"/>
      <c r="BD602" s="502"/>
      <c r="BE602" s="502"/>
      <c r="BF602" s="502"/>
      <c r="BG602" s="502"/>
      <c r="BH602" s="502"/>
      <c r="BI602" s="502"/>
      <c r="BJ602" s="502"/>
      <c r="BK602" s="502"/>
      <c r="BL602" s="502"/>
      <c r="BM602" s="502"/>
      <c r="BN602" s="502"/>
      <c r="BO602" s="502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</row>
    <row r="603" s="504" customFormat="true" ht="12.75" hidden="true" customHeight="true" outlineLevel="0" collapsed="false">
      <c r="A603" s="5"/>
      <c r="B603" s="813" t="n">
        <f aca="false">B602+1</f>
        <v>388</v>
      </c>
      <c r="C603" s="814" t="n">
        <f aca="false">C602+D603</f>
        <v>42239.7669111684</v>
      </c>
      <c r="D603" s="815" t="n">
        <f aca="false">E603*$E$205*M603</f>
        <v>140.48450091089</v>
      </c>
      <c r="E603" s="601" t="n">
        <f aca="false">E602+$C$204</f>
        <v>8.90946860165461</v>
      </c>
      <c r="F603" s="816" t="n">
        <f aca="false">F602+1</f>
        <v>388</v>
      </c>
      <c r="G603" s="775" t="n">
        <f aca="false">C603</f>
        <v>42239.7669111684</v>
      </c>
      <c r="H603" s="817" t="n">
        <f aca="false">1000*(E603-E602)</f>
        <v>9.99999999999979</v>
      </c>
      <c r="I603" s="5"/>
      <c r="J603" s="818" t="n">
        <f aca="false">1000*(E603-$E$215)/(B603-$B$215)</f>
        <v>14.0563655375561</v>
      </c>
      <c r="K603" s="732" t="n">
        <f aca="false">AVERAGE($E$216:E603)</f>
        <v>6.95488097278867</v>
      </c>
      <c r="L603" s="819" t="n">
        <f aca="false">L602+1</f>
        <v>388</v>
      </c>
      <c r="M603" s="820" t="n">
        <f aca="false">IF(B603&lt;$E$104,$E$105,$E$106)</f>
        <v>3</v>
      </c>
      <c r="N603" s="821" t="n">
        <f aca="false">IF(B603&lt;$E$104,$E$105,$E$111)</f>
        <v>2.5</v>
      </c>
      <c r="O603" s="822" t="n">
        <f aca="false">E603*$E$205*N603</f>
        <v>117.070417425742</v>
      </c>
      <c r="P603" s="823" t="n">
        <f aca="false">P602+O603</f>
        <v>35251.4863596832</v>
      </c>
      <c r="Q603" s="606" t="n">
        <f aca="false">Q602+1</f>
        <v>388</v>
      </c>
      <c r="R603" s="824" t="n">
        <f aca="false">R602-1</f>
        <v>-388</v>
      </c>
      <c r="S603" s="5"/>
      <c r="T603" s="5"/>
      <c r="U603" s="5"/>
      <c r="V603" s="10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02"/>
      <c r="AU603" s="502"/>
      <c r="AV603" s="606"/>
      <c r="AW603" s="502"/>
      <c r="AX603" s="502"/>
      <c r="AY603" s="502"/>
      <c r="AZ603" s="502"/>
      <c r="BA603" s="502"/>
      <c r="BB603" s="502"/>
      <c r="BC603" s="502"/>
      <c r="BD603" s="502"/>
      <c r="BE603" s="502"/>
      <c r="BF603" s="502"/>
      <c r="BG603" s="502"/>
      <c r="BH603" s="502"/>
      <c r="BI603" s="502"/>
      <c r="BJ603" s="502"/>
      <c r="BK603" s="502"/>
      <c r="BL603" s="502"/>
      <c r="BM603" s="502"/>
      <c r="BN603" s="502"/>
      <c r="BO603" s="502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</row>
    <row r="604" s="504" customFormat="true" ht="12.75" hidden="true" customHeight="true" outlineLevel="0" collapsed="false">
      <c r="A604" s="5"/>
      <c r="B604" s="813" t="n">
        <f aca="false">B603+1</f>
        <v>389</v>
      </c>
      <c r="C604" s="814" t="n">
        <f aca="false">C603+D604</f>
        <v>42380.4090920793</v>
      </c>
      <c r="D604" s="815" t="n">
        <f aca="false">E604*$E$205*M604</f>
        <v>140.64218091089</v>
      </c>
      <c r="E604" s="601" t="n">
        <f aca="false">E603+$C$204</f>
        <v>8.91946860165461</v>
      </c>
      <c r="F604" s="816" t="n">
        <f aca="false">F603+1</f>
        <v>389</v>
      </c>
      <c r="G604" s="775" t="n">
        <f aca="false">C604</f>
        <v>42380.4090920793</v>
      </c>
      <c r="H604" s="817" t="n">
        <f aca="false">1000*(E604-E603)</f>
        <v>9.99999999999979</v>
      </c>
      <c r="I604" s="5"/>
      <c r="J604" s="818" t="n">
        <f aca="false">1000*(E604-$E$215)/(B604-$B$215)</f>
        <v>14.0459378626523</v>
      </c>
      <c r="K604" s="732" t="n">
        <f aca="false">AVERAGE($E$216:E604)</f>
        <v>6.95993132659038</v>
      </c>
      <c r="L604" s="819" t="n">
        <f aca="false">L603+1</f>
        <v>389</v>
      </c>
      <c r="M604" s="820" t="n">
        <f aca="false">IF(B604&lt;$E$104,$E$105,$E$106)</f>
        <v>3</v>
      </c>
      <c r="N604" s="821" t="n">
        <f aca="false">IF(B604&lt;$E$104,$E$105,$E$111)</f>
        <v>2.5</v>
      </c>
      <c r="O604" s="822" t="n">
        <f aca="false">E604*$E$205*N604</f>
        <v>117.201817425742</v>
      </c>
      <c r="P604" s="823" t="n">
        <f aca="false">P603+O604</f>
        <v>35368.6881771089</v>
      </c>
      <c r="Q604" s="606" t="n">
        <f aca="false">Q603+1</f>
        <v>389</v>
      </c>
      <c r="R604" s="824" t="n">
        <f aca="false">R603-1</f>
        <v>-389</v>
      </c>
      <c r="S604" s="5"/>
      <c r="T604" s="5"/>
      <c r="U604" s="5"/>
      <c r="V604" s="10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02"/>
      <c r="AU604" s="502"/>
      <c r="AV604" s="606"/>
      <c r="AW604" s="502"/>
      <c r="AX604" s="502"/>
      <c r="AY604" s="502"/>
      <c r="AZ604" s="502"/>
      <c r="BA604" s="502"/>
      <c r="BB604" s="502"/>
      <c r="BC604" s="502"/>
      <c r="BD604" s="502"/>
      <c r="BE604" s="502"/>
      <c r="BF604" s="502"/>
      <c r="BG604" s="502"/>
      <c r="BH604" s="502"/>
      <c r="BI604" s="502"/>
      <c r="BJ604" s="502"/>
      <c r="BK604" s="502"/>
      <c r="BL604" s="502"/>
      <c r="BM604" s="502"/>
      <c r="BN604" s="502"/>
      <c r="BO604" s="502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</row>
    <row r="605" s="504" customFormat="true" ht="12.75" hidden="true" customHeight="true" outlineLevel="0" collapsed="false">
      <c r="A605" s="5"/>
      <c r="B605" s="813" t="n">
        <f aca="false">B604+1</f>
        <v>390</v>
      </c>
      <c r="C605" s="814" t="n">
        <f aca="false">C604+D605</f>
        <v>42521.2089529901</v>
      </c>
      <c r="D605" s="815" t="n">
        <f aca="false">E605*$E$205*M605</f>
        <v>140.79986091089</v>
      </c>
      <c r="E605" s="601" t="n">
        <f aca="false">E604+$C$204</f>
        <v>8.92946860165461</v>
      </c>
      <c r="F605" s="816" t="n">
        <f aca="false">F604+1</f>
        <v>390</v>
      </c>
      <c r="G605" s="775" t="n">
        <f aca="false">C605</f>
        <v>42521.2089529901</v>
      </c>
      <c r="H605" s="817" t="n">
        <f aca="false">1000*(E605-E604)</f>
        <v>9.99999999999979</v>
      </c>
      <c r="I605" s="5"/>
      <c r="J605" s="818" t="n">
        <f aca="false">1000*(E605-$E$215)/(B605-$B$215)</f>
        <v>14.0355636630045</v>
      </c>
      <c r="K605" s="732" t="n">
        <f aca="false">AVERAGE($E$216:E605)</f>
        <v>6.96498142216747</v>
      </c>
      <c r="L605" s="819" t="n">
        <f aca="false">L604+1</f>
        <v>390</v>
      </c>
      <c r="M605" s="820" t="n">
        <f aca="false">IF(B605&lt;$E$104,$E$105,$E$106)</f>
        <v>3</v>
      </c>
      <c r="N605" s="821" t="n">
        <f aca="false">IF(B605&lt;$E$104,$E$105,$E$111)</f>
        <v>2.5</v>
      </c>
      <c r="O605" s="822" t="n">
        <f aca="false">E605*$E$205*N605</f>
        <v>117.333217425742</v>
      </c>
      <c r="P605" s="823" t="n">
        <f aca="false">P604+O605</f>
        <v>35486.0213945346</v>
      </c>
      <c r="Q605" s="606" t="n">
        <f aca="false">Q604+1</f>
        <v>390</v>
      </c>
      <c r="R605" s="824" t="n">
        <f aca="false">R604-1</f>
        <v>-390</v>
      </c>
      <c r="S605" s="5"/>
      <c r="T605" s="5"/>
      <c r="U605" s="5"/>
      <c r="V605" s="10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02"/>
      <c r="AU605" s="502"/>
      <c r="AV605" s="606"/>
      <c r="AW605" s="502"/>
      <c r="AX605" s="502"/>
      <c r="AY605" s="502"/>
      <c r="AZ605" s="502"/>
      <c r="BA605" s="502"/>
      <c r="BB605" s="502"/>
      <c r="BC605" s="502"/>
      <c r="BD605" s="502"/>
      <c r="BE605" s="502"/>
      <c r="BF605" s="502"/>
      <c r="BG605" s="502"/>
      <c r="BH605" s="502"/>
      <c r="BI605" s="502"/>
      <c r="BJ605" s="502"/>
      <c r="BK605" s="502"/>
      <c r="BL605" s="502"/>
      <c r="BM605" s="502"/>
      <c r="BN605" s="502"/>
      <c r="BO605" s="502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</row>
    <row r="606" s="504" customFormat="true" ht="12.75" hidden="true" customHeight="true" outlineLevel="0" collapsed="false">
      <c r="A606" s="5"/>
      <c r="B606" s="813" t="n">
        <f aca="false">B605+1</f>
        <v>391</v>
      </c>
      <c r="C606" s="814" t="n">
        <f aca="false">C605+D606</f>
        <v>42662.166493901</v>
      </c>
      <c r="D606" s="815" t="n">
        <f aca="false">E606*$E$205*M606</f>
        <v>140.95754091089</v>
      </c>
      <c r="E606" s="601" t="n">
        <f aca="false">E605+$C$204</f>
        <v>8.93946860165461</v>
      </c>
      <c r="F606" s="816" t="n">
        <f aca="false">F605+1</f>
        <v>391</v>
      </c>
      <c r="G606" s="775" t="n">
        <f aca="false">C606</f>
        <v>42662.166493901</v>
      </c>
      <c r="H606" s="817" t="n">
        <f aca="false">1000*(E606-E605)</f>
        <v>9.99999999999979</v>
      </c>
      <c r="I606" s="5"/>
      <c r="J606" s="818" t="n">
        <f aca="false">1000*(E606-$E$215)/(B606-$B$215)</f>
        <v>14.0252425283165</v>
      </c>
      <c r="K606" s="732" t="n">
        <f aca="false">AVERAGE($E$216:E606)</f>
        <v>6.97003126150119</v>
      </c>
      <c r="L606" s="819" t="n">
        <f aca="false">L605+1</f>
        <v>391</v>
      </c>
      <c r="M606" s="820" t="n">
        <f aca="false">IF(B606&lt;$E$104,$E$105,$E$106)</f>
        <v>3</v>
      </c>
      <c r="N606" s="821" t="n">
        <f aca="false">IF(B606&lt;$E$104,$E$105,$E$111)</f>
        <v>2.5</v>
      </c>
      <c r="O606" s="822" t="n">
        <f aca="false">E606*$E$205*N606</f>
        <v>117.464617425742</v>
      </c>
      <c r="P606" s="823" t="n">
        <f aca="false">P605+O606</f>
        <v>35603.4860119604</v>
      </c>
      <c r="Q606" s="606" t="n">
        <f aca="false">Q605+1</f>
        <v>391</v>
      </c>
      <c r="R606" s="824" t="n">
        <f aca="false">R605-1</f>
        <v>-391</v>
      </c>
      <c r="S606" s="5"/>
      <c r="T606" s="5"/>
      <c r="U606" s="5"/>
      <c r="V606" s="10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02"/>
      <c r="AU606" s="502"/>
      <c r="AV606" s="606"/>
      <c r="AW606" s="502"/>
      <c r="AX606" s="502"/>
      <c r="AY606" s="502"/>
      <c r="AZ606" s="502"/>
      <c r="BA606" s="502"/>
      <c r="BB606" s="502"/>
      <c r="BC606" s="502"/>
      <c r="BD606" s="502"/>
      <c r="BE606" s="502"/>
      <c r="BF606" s="502"/>
      <c r="BG606" s="502"/>
      <c r="BH606" s="502"/>
      <c r="BI606" s="502"/>
      <c r="BJ606" s="502"/>
      <c r="BK606" s="502"/>
      <c r="BL606" s="502"/>
      <c r="BM606" s="502"/>
      <c r="BN606" s="502"/>
      <c r="BO606" s="502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</row>
    <row r="607" s="504" customFormat="true" ht="12.75" hidden="true" customHeight="true" outlineLevel="0" collapsed="false">
      <c r="A607" s="5"/>
      <c r="B607" s="813" t="n">
        <f aca="false">B606+1</f>
        <v>392</v>
      </c>
      <c r="C607" s="814" t="n">
        <f aca="false">C606+D607</f>
        <v>42803.2817148119</v>
      </c>
      <c r="D607" s="815" t="n">
        <f aca="false">E607*$E$205*M607</f>
        <v>141.11522091089</v>
      </c>
      <c r="E607" s="601" t="n">
        <f aca="false">E606+$C$204</f>
        <v>8.94946860165461</v>
      </c>
      <c r="F607" s="816" t="n">
        <f aca="false">F606+1</f>
        <v>392</v>
      </c>
      <c r="G607" s="775" t="n">
        <f aca="false">C607</f>
        <v>42803.2817148119</v>
      </c>
      <c r="H607" s="817" t="n">
        <f aca="false">1000*(E607-E606)</f>
        <v>9.99999999999979</v>
      </c>
      <c r="I607" s="5"/>
      <c r="J607" s="818" t="n">
        <f aca="false">1000*(E607-$E$215)/(B607-$B$215)</f>
        <v>14.014974052479</v>
      </c>
      <c r="K607" s="732" t="n">
        <f aca="false">AVERAGE($E$216:E607)</f>
        <v>6.97508084655261</v>
      </c>
      <c r="L607" s="819" t="n">
        <f aca="false">L606+1</f>
        <v>392</v>
      </c>
      <c r="M607" s="820" t="n">
        <f aca="false">IF(B607&lt;$E$104,$E$105,$E$106)</f>
        <v>3</v>
      </c>
      <c r="N607" s="821" t="n">
        <f aca="false">IF(B607&lt;$E$104,$E$105,$E$111)</f>
        <v>2.5</v>
      </c>
      <c r="O607" s="822" t="n">
        <f aca="false">E607*$E$205*N607</f>
        <v>117.596017425742</v>
      </c>
      <c r="P607" s="823" t="n">
        <f aca="false">P606+O607</f>
        <v>35721.0820293861</v>
      </c>
      <c r="Q607" s="606" t="n">
        <f aca="false">Q606+1</f>
        <v>392</v>
      </c>
      <c r="R607" s="824" t="n">
        <f aca="false">R606-1</f>
        <v>-392</v>
      </c>
      <c r="S607" s="5"/>
      <c r="T607" s="5"/>
      <c r="U607" s="5"/>
      <c r="V607" s="10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02"/>
      <c r="AU607" s="502"/>
      <c r="AV607" s="606"/>
      <c r="AW607" s="502"/>
      <c r="AX607" s="502"/>
      <c r="AY607" s="502"/>
      <c r="AZ607" s="502"/>
      <c r="BA607" s="502"/>
      <c r="BB607" s="502"/>
      <c r="BC607" s="502"/>
      <c r="BD607" s="502"/>
      <c r="BE607" s="502"/>
      <c r="BF607" s="502"/>
      <c r="BG607" s="502"/>
      <c r="BH607" s="502"/>
      <c r="BI607" s="502"/>
      <c r="BJ607" s="502"/>
      <c r="BK607" s="502"/>
      <c r="BL607" s="502"/>
      <c r="BM607" s="502"/>
      <c r="BN607" s="502"/>
      <c r="BO607" s="502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</row>
    <row r="608" s="504" customFormat="true" ht="12.75" hidden="true" customHeight="true" outlineLevel="0" collapsed="false">
      <c r="A608" s="5"/>
      <c r="B608" s="813" t="n">
        <f aca="false">B607+1</f>
        <v>393</v>
      </c>
      <c r="C608" s="814" t="n">
        <f aca="false">C607+D608</f>
        <v>42944.5546157228</v>
      </c>
      <c r="D608" s="815" t="n">
        <f aca="false">E608*$E$205*M608</f>
        <v>141.27290091089</v>
      </c>
      <c r="E608" s="601" t="n">
        <f aca="false">E607+$C$204</f>
        <v>8.95946860165461</v>
      </c>
      <c r="F608" s="816" t="n">
        <f aca="false">F607+1</f>
        <v>393</v>
      </c>
      <c r="G608" s="775" t="n">
        <f aca="false">C608</f>
        <v>42944.5546157228</v>
      </c>
      <c r="H608" s="817" t="n">
        <f aca="false">1000*(E608-E607)</f>
        <v>9.99999999999979</v>
      </c>
      <c r="I608" s="5"/>
      <c r="J608" s="818" t="n">
        <f aca="false">1000*(E608-$E$215)/(B608-$B$215)</f>
        <v>14.0047578335159</v>
      </c>
      <c r="K608" s="732" t="n">
        <f aca="false">AVERAGE($E$216:E608)</f>
        <v>6.98013017926279</v>
      </c>
      <c r="L608" s="819" t="n">
        <f aca="false">L607+1</f>
        <v>393</v>
      </c>
      <c r="M608" s="820" t="n">
        <f aca="false">IF(B608&lt;$E$104,$E$105,$E$106)</f>
        <v>3</v>
      </c>
      <c r="N608" s="821" t="n">
        <f aca="false">IF(B608&lt;$E$104,$E$105,$E$111)</f>
        <v>2.5</v>
      </c>
      <c r="O608" s="822" t="n">
        <f aca="false">E608*$E$205*N608</f>
        <v>117.727417425742</v>
      </c>
      <c r="P608" s="823" t="n">
        <f aca="false">P607+O608</f>
        <v>35838.8094468119</v>
      </c>
      <c r="Q608" s="606" t="n">
        <f aca="false">Q607+1</f>
        <v>393</v>
      </c>
      <c r="R608" s="824" t="n">
        <f aca="false">R607-1</f>
        <v>-393</v>
      </c>
      <c r="S608" s="5"/>
      <c r="T608" s="5"/>
      <c r="U608" s="5"/>
      <c r="V608" s="10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02"/>
      <c r="AU608" s="502"/>
      <c r="AV608" s="606"/>
      <c r="AW608" s="502"/>
      <c r="AX608" s="502"/>
      <c r="AY608" s="502"/>
      <c r="AZ608" s="502"/>
      <c r="BA608" s="502"/>
      <c r="BB608" s="502"/>
      <c r="BC608" s="502"/>
      <c r="BD608" s="502"/>
      <c r="BE608" s="502"/>
      <c r="BF608" s="502"/>
      <c r="BG608" s="502"/>
      <c r="BH608" s="502"/>
      <c r="BI608" s="502"/>
      <c r="BJ608" s="502"/>
      <c r="BK608" s="502"/>
      <c r="BL608" s="502"/>
      <c r="BM608" s="502"/>
      <c r="BN608" s="502"/>
      <c r="BO608" s="502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</row>
    <row r="609" s="504" customFormat="true" ht="12.75" hidden="true" customHeight="true" outlineLevel="0" collapsed="false">
      <c r="A609" s="5"/>
      <c r="B609" s="813" t="n">
        <f aca="false">B608+1</f>
        <v>394</v>
      </c>
      <c r="C609" s="814" t="n">
        <f aca="false">C608+D609</f>
        <v>43085.9851966337</v>
      </c>
      <c r="D609" s="815" t="n">
        <f aca="false">E609*$E$205*M609</f>
        <v>141.43058091089</v>
      </c>
      <c r="E609" s="601" t="n">
        <f aca="false">E608+$C$204</f>
        <v>8.96946860165461</v>
      </c>
      <c r="F609" s="816" t="n">
        <f aca="false">F608+1</f>
        <v>394</v>
      </c>
      <c r="G609" s="775" t="n">
        <f aca="false">C609</f>
        <v>43085.9851966337</v>
      </c>
      <c r="H609" s="817" t="n">
        <f aca="false">1000*(E609-E608)</f>
        <v>9.99999999999979</v>
      </c>
      <c r="I609" s="5"/>
      <c r="J609" s="818" t="n">
        <f aca="false">1000*(E609-$E$215)/(B609-$B$215)</f>
        <v>13.9945934735324</v>
      </c>
      <c r="K609" s="732" t="n">
        <f aca="false">AVERAGE($E$216:E609)</f>
        <v>6.98517926155312</v>
      </c>
      <c r="L609" s="819" t="n">
        <f aca="false">L608+1</f>
        <v>394</v>
      </c>
      <c r="M609" s="820" t="n">
        <f aca="false">IF(B609&lt;$E$104,$E$105,$E$106)</f>
        <v>3</v>
      </c>
      <c r="N609" s="821" t="n">
        <f aca="false">IF(B609&lt;$E$104,$E$105,$E$111)</f>
        <v>2.5</v>
      </c>
      <c r="O609" s="822" t="n">
        <f aca="false">E609*$E$205*N609</f>
        <v>117.858817425742</v>
      </c>
      <c r="P609" s="823" t="n">
        <f aca="false">P608+O609</f>
        <v>35956.6682642376</v>
      </c>
      <c r="Q609" s="606" t="n">
        <f aca="false">Q608+1</f>
        <v>394</v>
      </c>
      <c r="R609" s="824" t="n">
        <f aca="false">R608-1</f>
        <v>-394</v>
      </c>
      <c r="S609" s="5"/>
      <c r="T609" s="5"/>
      <c r="U609" s="5"/>
      <c r="V609" s="10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02"/>
      <c r="AU609" s="502"/>
      <c r="AV609" s="606"/>
      <c r="AW609" s="502"/>
      <c r="AX609" s="502"/>
      <c r="AY609" s="502"/>
      <c r="AZ609" s="502"/>
      <c r="BA609" s="502"/>
      <c r="BB609" s="502"/>
      <c r="BC609" s="502"/>
      <c r="BD609" s="502"/>
      <c r="BE609" s="502"/>
      <c r="BF609" s="502"/>
      <c r="BG609" s="502"/>
      <c r="BH609" s="502"/>
      <c r="BI609" s="502"/>
      <c r="BJ609" s="502"/>
      <c r="BK609" s="502"/>
      <c r="BL609" s="502"/>
      <c r="BM609" s="502"/>
      <c r="BN609" s="502"/>
      <c r="BO609" s="502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</row>
    <row r="610" s="504" customFormat="true" ht="12.75" hidden="true" customHeight="true" outlineLevel="0" collapsed="false">
      <c r="A610" s="5"/>
      <c r="B610" s="813" t="n">
        <f aca="false">B609+1</f>
        <v>395</v>
      </c>
      <c r="C610" s="814" t="n">
        <f aca="false">C609+D610</f>
        <v>43227.5734575446</v>
      </c>
      <c r="D610" s="815" t="n">
        <f aca="false">E610*$E$205*M610</f>
        <v>141.58826091089</v>
      </c>
      <c r="E610" s="601" t="n">
        <f aca="false">E609+$C$204</f>
        <v>8.97946860165461</v>
      </c>
      <c r="F610" s="816" t="n">
        <f aca="false">F609+1</f>
        <v>395</v>
      </c>
      <c r="G610" s="775" t="n">
        <f aca="false">C610</f>
        <v>43227.5734575446</v>
      </c>
      <c r="H610" s="817" t="n">
        <f aca="false">1000*(E610-E609)</f>
        <v>9.99999999999979</v>
      </c>
      <c r="I610" s="5"/>
      <c r="J610" s="818" t="n">
        <f aca="false">1000*(E610-$E$215)/(B610-$B$215)</f>
        <v>13.9844805786627</v>
      </c>
      <c r="K610" s="732" t="n">
        <f aca="false">AVERAGE($E$216:E610)</f>
        <v>6.99022809532553</v>
      </c>
      <c r="L610" s="819" t="n">
        <f aca="false">L609+1</f>
        <v>395</v>
      </c>
      <c r="M610" s="820" t="n">
        <f aca="false">IF(B610&lt;$E$104,$E$105,$E$106)</f>
        <v>3</v>
      </c>
      <c r="N610" s="821" t="n">
        <f aca="false">IF(B610&lt;$E$104,$E$105,$E$111)</f>
        <v>2.5</v>
      </c>
      <c r="O610" s="822" t="n">
        <f aca="false">E610*$E$205*N610</f>
        <v>117.990217425742</v>
      </c>
      <c r="P610" s="823" t="n">
        <f aca="false">P609+O610</f>
        <v>36074.6584816634</v>
      </c>
      <c r="Q610" s="606" t="n">
        <f aca="false">Q609+1</f>
        <v>395</v>
      </c>
      <c r="R610" s="824" t="n">
        <f aca="false">R609-1</f>
        <v>-395</v>
      </c>
      <c r="S610" s="5"/>
      <c r="T610" s="5"/>
      <c r="U610" s="5"/>
      <c r="V610" s="10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02"/>
      <c r="AU610" s="502"/>
      <c r="AV610" s="606"/>
      <c r="AW610" s="502"/>
      <c r="AX610" s="502"/>
      <c r="AY610" s="502"/>
      <c r="AZ610" s="502"/>
      <c r="BA610" s="502"/>
      <c r="BB610" s="502"/>
      <c r="BC610" s="502"/>
      <c r="BD610" s="502"/>
      <c r="BE610" s="502"/>
      <c r="BF610" s="502"/>
      <c r="BG610" s="502"/>
      <c r="BH610" s="502"/>
      <c r="BI610" s="502"/>
      <c r="BJ610" s="502"/>
      <c r="BK610" s="502"/>
      <c r="BL610" s="502"/>
      <c r="BM610" s="502"/>
      <c r="BN610" s="502"/>
      <c r="BO610" s="502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</row>
    <row r="611" s="504" customFormat="true" ht="12.75" hidden="true" customHeight="true" outlineLevel="0" collapsed="false">
      <c r="A611" s="5"/>
      <c r="B611" s="813" t="n">
        <f aca="false">B610+1</f>
        <v>396</v>
      </c>
      <c r="C611" s="814" t="n">
        <f aca="false">C610+D611</f>
        <v>43369.3193984555</v>
      </c>
      <c r="D611" s="815" t="n">
        <f aca="false">E611*$E$205*M611</f>
        <v>141.74594091089</v>
      </c>
      <c r="E611" s="601" t="n">
        <f aca="false">E610+$C$204</f>
        <v>8.98946860165461</v>
      </c>
      <c r="F611" s="816" t="n">
        <f aca="false">F610+1</f>
        <v>396</v>
      </c>
      <c r="G611" s="775" t="n">
        <f aca="false">C611</f>
        <v>43369.3193984555</v>
      </c>
      <c r="H611" s="817" t="n">
        <f aca="false">1000*(E611-E610)</f>
        <v>9.99999999999979</v>
      </c>
      <c r="I611" s="5"/>
      <c r="J611" s="818" t="n">
        <f aca="false">1000*(E611-$E$215)/(B611-$B$215)</f>
        <v>13.9744187590196</v>
      </c>
      <c r="K611" s="732" t="n">
        <f aca="false">AVERAGE($E$216:E611)</f>
        <v>6.99527668246273</v>
      </c>
      <c r="L611" s="819" t="n">
        <f aca="false">L610+1</f>
        <v>396</v>
      </c>
      <c r="M611" s="820" t="n">
        <f aca="false">IF(B611&lt;$E$104,$E$105,$E$106)</f>
        <v>3</v>
      </c>
      <c r="N611" s="821" t="n">
        <f aca="false">IF(B611&lt;$E$104,$E$105,$E$111)</f>
        <v>2.5</v>
      </c>
      <c r="O611" s="822" t="n">
        <f aca="false">E611*$E$205*N611</f>
        <v>118.121617425742</v>
      </c>
      <c r="P611" s="823" t="n">
        <f aca="false">P610+O611</f>
        <v>36192.7800990891</v>
      </c>
      <c r="Q611" s="606" t="n">
        <f aca="false">Q610+1</f>
        <v>396</v>
      </c>
      <c r="R611" s="824" t="n">
        <f aca="false">R610-1</f>
        <v>-396</v>
      </c>
      <c r="S611" s="5"/>
      <c r="T611" s="5"/>
      <c r="U611" s="5"/>
      <c r="V611" s="10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02"/>
      <c r="AU611" s="502"/>
      <c r="AV611" s="606"/>
      <c r="AW611" s="502"/>
      <c r="AX611" s="502"/>
      <c r="AY611" s="502"/>
      <c r="AZ611" s="502"/>
      <c r="BA611" s="502"/>
      <c r="BB611" s="502"/>
      <c r="BC611" s="502"/>
      <c r="BD611" s="502"/>
      <c r="BE611" s="502"/>
      <c r="BF611" s="502"/>
      <c r="BG611" s="502"/>
      <c r="BH611" s="502"/>
      <c r="BI611" s="502"/>
      <c r="BJ611" s="502"/>
      <c r="BK611" s="502"/>
      <c r="BL611" s="502"/>
      <c r="BM611" s="502"/>
      <c r="BN611" s="502"/>
      <c r="BO611" s="502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</row>
    <row r="612" s="504" customFormat="true" ht="12.75" hidden="true" customHeight="true" outlineLevel="0" collapsed="false">
      <c r="A612" s="5"/>
      <c r="B612" s="813" t="n">
        <f aca="false">B611+1</f>
        <v>397</v>
      </c>
      <c r="C612" s="814" t="n">
        <f aca="false">C611+D612</f>
        <v>43511.2230193664</v>
      </c>
      <c r="D612" s="815" t="n">
        <f aca="false">E612*$E$205*M612</f>
        <v>141.90362091089</v>
      </c>
      <c r="E612" s="601" t="n">
        <f aca="false">E611+$C$204</f>
        <v>8.99946860165461</v>
      </c>
      <c r="F612" s="816" t="n">
        <f aca="false">F611+1</f>
        <v>397</v>
      </c>
      <c r="G612" s="775" t="n">
        <f aca="false">C612</f>
        <v>43511.2230193664</v>
      </c>
      <c r="H612" s="817" t="n">
        <f aca="false">1000*(E612-E611)</f>
        <v>9.99999999999979</v>
      </c>
      <c r="I612" s="5"/>
      <c r="J612" s="818" t="n">
        <f aca="false">1000*(E612-$E$215)/(B612-$B$215)</f>
        <v>13.9644076286442</v>
      </c>
      <c r="K612" s="732" t="n">
        <f aca="false">AVERAGE($E$216:E612)</f>
        <v>7.00032502482845</v>
      </c>
      <c r="L612" s="819" t="n">
        <f aca="false">L611+1</f>
        <v>397</v>
      </c>
      <c r="M612" s="820" t="n">
        <f aca="false">IF(B612&lt;$E$104,$E$105,$E$106)</f>
        <v>3</v>
      </c>
      <c r="N612" s="821" t="n">
        <f aca="false">IF(B612&lt;$E$104,$E$105,$E$111)</f>
        <v>2.5</v>
      </c>
      <c r="O612" s="822" t="n">
        <f aca="false">E612*$E$205*N612</f>
        <v>118.253017425742</v>
      </c>
      <c r="P612" s="823" t="n">
        <f aca="false">P611+O612</f>
        <v>36311.0331165148</v>
      </c>
      <c r="Q612" s="606" t="n">
        <f aca="false">Q611+1</f>
        <v>397</v>
      </c>
      <c r="R612" s="824" t="n">
        <f aca="false">R611-1</f>
        <v>-397</v>
      </c>
      <c r="S612" s="5"/>
      <c r="T612" s="5"/>
      <c r="U612" s="5"/>
      <c r="V612" s="10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02"/>
      <c r="AU612" s="502"/>
      <c r="AV612" s="606"/>
      <c r="AW612" s="502"/>
      <c r="AX612" s="502"/>
      <c r="AY612" s="502"/>
      <c r="AZ612" s="502"/>
      <c r="BA612" s="502"/>
      <c r="BB612" s="502"/>
      <c r="BC612" s="502"/>
      <c r="BD612" s="502"/>
      <c r="BE612" s="502"/>
      <c r="BF612" s="502"/>
      <c r="BG612" s="502"/>
      <c r="BH612" s="502"/>
      <c r="BI612" s="502"/>
      <c r="BJ612" s="502"/>
      <c r="BK612" s="502"/>
      <c r="BL612" s="502"/>
      <c r="BM612" s="502"/>
      <c r="BN612" s="502"/>
      <c r="BO612" s="502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</row>
    <row r="613" s="504" customFormat="true" ht="12.75" hidden="true" customHeight="true" outlineLevel="0" collapsed="false">
      <c r="A613" s="5"/>
      <c r="B613" s="813" t="n">
        <f aca="false">B612+1</f>
        <v>398</v>
      </c>
      <c r="C613" s="814" t="n">
        <f aca="false">C612+D613</f>
        <v>43653.2843202773</v>
      </c>
      <c r="D613" s="815" t="n">
        <f aca="false">E613*$E$205*M613</f>
        <v>142.06130091089</v>
      </c>
      <c r="E613" s="601" t="n">
        <f aca="false">E612+$C$204</f>
        <v>9.00946860165461</v>
      </c>
      <c r="F613" s="816" t="n">
        <f aca="false">F612+1</f>
        <v>398</v>
      </c>
      <c r="G613" s="775" t="n">
        <f aca="false">C613</f>
        <v>43653.2843202773</v>
      </c>
      <c r="H613" s="817" t="n">
        <f aca="false">1000*(E613-E612)</f>
        <v>9.99999999999979</v>
      </c>
      <c r="I613" s="5"/>
      <c r="J613" s="818" t="n">
        <f aca="false">1000*(E613-$E$215)/(B613-$B$215)</f>
        <v>13.9544468054567</v>
      </c>
      <c r="K613" s="732" t="n">
        <f aca="false">AVERAGE($E$216:E613)</f>
        <v>7.00537312426771</v>
      </c>
      <c r="L613" s="819" t="n">
        <f aca="false">L612+1</f>
        <v>398</v>
      </c>
      <c r="M613" s="820" t="n">
        <f aca="false">IF(B613&lt;$E$104,$E$105,$E$106)</f>
        <v>3</v>
      </c>
      <c r="N613" s="821" t="n">
        <f aca="false">IF(B613&lt;$E$104,$E$105,$E$111)</f>
        <v>2.5</v>
      </c>
      <c r="O613" s="822" t="n">
        <f aca="false">E613*$E$205*N613</f>
        <v>118.384417425742</v>
      </c>
      <c r="P613" s="823" t="n">
        <f aca="false">P612+O613</f>
        <v>36429.4175339406</v>
      </c>
      <c r="Q613" s="606" t="n">
        <f aca="false">Q612+1</f>
        <v>398</v>
      </c>
      <c r="R613" s="824" t="n">
        <f aca="false">R612-1</f>
        <v>-398</v>
      </c>
      <c r="S613" s="5"/>
      <c r="T613" s="5"/>
      <c r="U613" s="5"/>
      <c r="V613" s="10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02"/>
      <c r="AU613" s="502"/>
      <c r="AV613" s="606"/>
      <c r="AW613" s="502"/>
      <c r="AX613" s="502"/>
      <c r="AY613" s="502"/>
      <c r="AZ613" s="502"/>
      <c r="BA613" s="502"/>
      <c r="BB613" s="502"/>
      <c r="BC613" s="502"/>
      <c r="BD613" s="502"/>
      <c r="BE613" s="502"/>
      <c r="BF613" s="502"/>
      <c r="BG613" s="502"/>
      <c r="BH613" s="502"/>
      <c r="BI613" s="502"/>
      <c r="BJ613" s="502"/>
      <c r="BK613" s="502"/>
      <c r="BL613" s="502"/>
      <c r="BM613" s="502"/>
      <c r="BN613" s="502"/>
      <c r="BO613" s="502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</row>
    <row r="614" s="504" customFormat="true" ht="12.75" hidden="true" customHeight="true" outlineLevel="0" collapsed="false">
      <c r="A614" s="5"/>
      <c r="B614" s="813" t="n">
        <f aca="false">B613+1</f>
        <v>399</v>
      </c>
      <c r="C614" s="814" t="n">
        <f aca="false">C613+D614</f>
        <v>43795.5033011882</v>
      </c>
      <c r="D614" s="815" t="n">
        <f aca="false">E614*$E$205*M614</f>
        <v>142.21898091089</v>
      </c>
      <c r="E614" s="601" t="n">
        <f aca="false">E613+$C$204</f>
        <v>9.01946860165461</v>
      </c>
      <c r="F614" s="816" t="n">
        <f aca="false">F613+1</f>
        <v>399</v>
      </c>
      <c r="G614" s="775" t="n">
        <f aca="false">C614</f>
        <v>43795.5033011882</v>
      </c>
      <c r="H614" s="817" t="n">
        <f aca="false">1000*(E614-E613)</f>
        <v>9.99999999999979</v>
      </c>
      <c r="I614" s="5"/>
      <c r="J614" s="818" t="n">
        <f aca="false">1000*(E614-$E$215)/(B614-$B$215)</f>
        <v>13.9445359112074</v>
      </c>
      <c r="K614" s="732" t="n">
        <f aca="false">AVERAGE($E$216:E614)</f>
        <v>7.01042098260703</v>
      </c>
      <c r="L614" s="819" t="n">
        <f aca="false">L613+1</f>
        <v>399</v>
      </c>
      <c r="M614" s="820" t="n">
        <f aca="false">IF(B614&lt;$E$104,$E$105,$E$106)</f>
        <v>3</v>
      </c>
      <c r="N614" s="821" t="n">
        <f aca="false">IF(B614&lt;$E$104,$E$105,$E$111)</f>
        <v>2.5</v>
      </c>
      <c r="O614" s="822" t="n">
        <f aca="false">E614*$E$205*N614</f>
        <v>118.515817425742</v>
      </c>
      <c r="P614" s="823" t="n">
        <f aca="false">P613+O614</f>
        <v>36547.9333513663</v>
      </c>
      <c r="Q614" s="606" t="n">
        <f aca="false">Q613+1</f>
        <v>399</v>
      </c>
      <c r="R614" s="824" t="n">
        <f aca="false">R613-1</f>
        <v>-399</v>
      </c>
      <c r="S614" s="5"/>
      <c r="T614" s="5"/>
      <c r="U614" s="5"/>
      <c r="V614" s="10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02"/>
      <c r="AU614" s="502"/>
      <c r="AV614" s="606"/>
      <c r="AW614" s="502"/>
      <c r="AX614" s="502"/>
      <c r="AY614" s="502"/>
      <c r="AZ614" s="502"/>
      <c r="BA614" s="502"/>
      <c r="BB614" s="502"/>
      <c r="BC614" s="502"/>
      <c r="BD614" s="502"/>
      <c r="BE614" s="502"/>
      <c r="BF614" s="502"/>
      <c r="BG614" s="502"/>
      <c r="BH614" s="502"/>
      <c r="BI614" s="502"/>
      <c r="BJ614" s="502"/>
      <c r="BK614" s="502"/>
      <c r="BL614" s="502"/>
      <c r="BM614" s="502"/>
      <c r="BN614" s="502"/>
      <c r="BO614" s="502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</row>
    <row r="615" s="504" customFormat="true" ht="12.75" hidden="true" customHeight="true" outlineLevel="0" collapsed="false">
      <c r="A615" s="5"/>
      <c r="B615" s="827" t="n">
        <f aca="false">B614+1</f>
        <v>400</v>
      </c>
      <c r="C615" s="768" t="n">
        <f aca="false">C614+D615</f>
        <v>43937.879962099</v>
      </c>
      <c r="D615" s="828" t="n">
        <f aca="false">E615*$E$205*M615</f>
        <v>142.37666091089</v>
      </c>
      <c r="E615" s="787" t="n">
        <f aca="false">E614+$C$204</f>
        <v>9.02946860165461</v>
      </c>
      <c r="F615" s="829" t="n">
        <f aca="false">F614+1</f>
        <v>400</v>
      </c>
      <c r="G615" s="830" t="n">
        <f aca="false">C615</f>
        <v>43937.879962099</v>
      </c>
      <c r="H615" s="831" t="n">
        <f aca="false">1000*(E615-E614)</f>
        <v>9.99999999999979</v>
      </c>
      <c r="I615" s="785"/>
      <c r="J615" s="832" t="n">
        <f aca="false">1000*(E615-$E$215)/(B615-$B$215)</f>
        <v>13.9346745714294</v>
      </c>
      <c r="K615" s="787" t="n">
        <f aca="false">AVERAGE($E$216:E615)</f>
        <v>7.01546860165465</v>
      </c>
      <c r="L615" s="833" t="n">
        <f aca="false">L614+1</f>
        <v>400</v>
      </c>
      <c r="M615" s="834" t="n">
        <f aca="false">IF(B615&lt;$E$104,$E$105,$E$106)</f>
        <v>3</v>
      </c>
      <c r="N615" s="835" t="n">
        <f aca="false">IF(B615&lt;$E$104,$E$105,$E$111)</f>
        <v>2.5</v>
      </c>
      <c r="O615" s="836" t="n">
        <f aca="false">E615*$E$205*N615</f>
        <v>118.647217425742</v>
      </c>
      <c r="P615" s="837" t="n">
        <f aca="false">P614+O615</f>
        <v>36666.5805687921</v>
      </c>
      <c r="Q615" s="742" t="n">
        <f aca="false">Q614+1</f>
        <v>400</v>
      </c>
      <c r="R615" s="838" t="n">
        <f aca="false">R614-1</f>
        <v>-400</v>
      </c>
      <c r="S615" s="5"/>
      <c r="T615" s="5"/>
      <c r="U615" s="5"/>
      <c r="V615" s="10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02"/>
      <c r="AU615" s="502"/>
      <c r="AV615" s="606"/>
      <c r="AW615" s="502"/>
      <c r="AX615" s="502"/>
      <c r="AY615" s="502"/>
      <c r="AZ615" s="502"/>
      <c r="BA615" s="502"/>
      <c r="BB615" s="502"/>
      <c r="BC615" s="502"/>
      <c r="BD615" s="502"/>
      <c r="BE615" s="502"/>
      <c r="BF615" s="502"/>
      <c r="BG615" s="502"/>
      <c r="BH615" s="502"/>
      <c r="BI615" s="502"/>
      <c r="BJ615" s="502"/>
      <c r="BK615" s="502"/>
      <c r="BL615" s="502"/>
      <c r="BM615" s="502"/>
      <c r="BN615" s="502"/>
      <c r="BO615" s="502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</row>
    <row r="616" s="504" customFormat="true" ht="12.75" hidden="true" customHeight="true" outlineLevel="0" collapsed="false">
      <c r="A616" s="5"/>
      <c r="B616" s="813" t="n">
        <f aca="false">B615+1</f>
        <v>401</v>
      </c>
      <c r="C616" s="814" t="n">
        <f aca="false">C615+D616</f>
        <v>44080.4143030099</v>
      </c>
      <c r="D616" s="815" t="n">
        <f aca="false">E616*$E$205*M616</f>
        <v>142.53434091089</v>
      </c>
      <c r="E616" s="601" t="n">
        <f aca="false">E615+$C$204</f>
        <v>9.0394686016546</v>
      </c>
      <c r="F616" s="816" t="n">
        <f aca="false">F615+1</f>
        <v>401</v>
      </c>
      <c r="G616" s="775" t="n">
        <f aca="false">C616</f>
        <v>44080.4143030099</v>
      </c>
      <c r="H616" s="817" t="n">
        <f aca="false">1000*(E616-E615)</f>
        <v>9.99999999999979</v>
      </c>
      <c r="I616" s="5"/>
      <c r="J616" s="818" t="n">
        <f aca="false">1000*(E616-$E$215)/(B616-$B$215)</f>
        <v>13.9248624153909</v>
      </c>
      <c r="K616" s="732" t="n">
        <f aca="false">AVERAGE($E$216:E616)</f>
        <v>7.02051598320078</v>
      </c>
      <c r="L616" s="819" t="n">
        <f aca="false">L615+1</f>
        <v>401</v>
      </c>
      <c r="M616" s="820" t="n">
        <f aca="false">IF(B616&lt;$E$104,$E$105,$E$106)</f>
        <v>3</v>
      </c>
      <c r="N616" s="821" t="n">
        <f aca="false">IF(B616&lt;$E$104,$E$105,$E$111)</f>
        <v>2.5</v>
      </c>
      <c r="O616" s="822" t="n">
        <f aca="false">E616*$E$205*N616</f>
        <v>118.778617425742</v>
      </c>
      <c r="P616" s="823" t="n">
        <f aca="false">P615+O616</f>
        <v>36785.3591862178</v>
      </c>
      <c r="Q616" s="606" t="n">
        <f aca="false">Q615+1</f>
        <v>401</v>
      </c>
      <c r="R616" s="824" t="n">
        <f aca="false">R615-1</f>
        <v>-401</v>
      </c>
      <c r="S616" s="5"/>
      <c r="T616" s="5"/>
      <c r="U616" s="5"/>
      <c r="V616" s="10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02"/>
      <c r="AU616" s="502"/>
      <c r="AV616" s="606"/>
      <c r="AW616" s="502"/>
      <c r="AX616" s="502"/>
      <c r="AY616" s="502"/>
      <c r="AZ616" s="502"/>
      <c r="BA616" s="502"/>
      <c r="BB616" s="502"/>
      <c r="BC616" s="502"/>
      <c r="BD616" s="502"/>
      <c r="BE616" s="502"/>
      <c r="BF616" s="502"/>
      <c r="BG616" s="502"/>
      <c r="BH616" s="502"/>
      <c r="BI616" s="502"/>
      <c r="BJ616" s="502"/>
      <c r="BK616" s="502"/>
      <c r="BL616" s="502"/>
      <c r="BM616" s="502"/>
      <c r="BN616" s="502"/>
      <c r="BO616" s="502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</row>
    <row r="617" s="504" customFormat="true" ht="12.75" hidden="true" customHeight="true" outlineLevel="0" collapsed="false">
      <c r="A617" s="5"/>
      <c r="B617" s="813" t="n">
        <f aca="false">B616+1</f>
        <v>402</v>
      </c>
      <c r="C617" s="814" t="n">
        <f aca="false">C616+D617</f>
        <v>44223.1063239208</v>
      </c>
      <c r="D617" s="815" t="n">
        <f aca="false">E617*$E$205*M617</f>
        <v>142.69202091089</v>
      </c>
      <c r="E617" s="601" t="n">
        <f aca="false">E616+$C$204</f>
        <v>9.0494686016546</v>
      </c>
      <c r="F617" s="816" t="n">
        <f aca="false">F616+1</f>
        <v>402</v>
      </c>
      <c r="G617" s="775" t="n">
        <f aca="false">C617</f>
        <v>44223.1063239208</v>
      </c>
      <c r="H617" s="817" t="n">
        <f aca="false">1000*(E617-E616)</f>
        <v>9.99999999999979</v>
      </c>
      <c r="I617" s="5"/>
      <c r="J617" s="818" t="n">
        <f aca="false">1000*(E617-$E$215)/(B617-$B$215)</f>
        <v>13.9150990760492</v>
      </c>
      <c r="K617" s="732" t="n">
        <f aca="false">AVERAGE($E$216:E617)</f>
        <v>7.02556312901783</v>
      </c>
      <c r="L617" s="819" t="n">
        <f aca="false">L616+1</f>
        <v>402</v>
      </c>
      <c r="M617" s="820" t="n">
        <f aca="false">IF(B617&lt;$E$104,$E$105,$E$106)</f>
        <v>3</v>
      </c>
      <c r="N617" s="821" t="n">
        <f aca="false">IF(B617&lt;$E$104,$E$105,$E$111)</f>
        <v>2.5</v>
      </c>
      <c r="O617" s="822" t="n">
        <f aca="false">E617*$E$205*N617</f>
        <v>118.910017425742</v>
      </c>
      <c r="P617" s="823" t="n">
        <f aca="false">P616+O617</f>
        <v>36904.2692036435</v>
      </c>
      <c r="Q617" s="606" t="n">
        <f aca="false">Q616+1</f>
        <v>402</v>
      </c>
      <c r="R617" s="824" t="n">
        <f aca="false">R616-1</f>
        <v>-402</v>
      </c>
      <c r="S617" s="5"/>
      <c r="T617" s="5"/>
      <c r="U617" s="5"/>
      <c r="V617" s="10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02"/>
      <c r="AU617" s="502"/>
      <c r="AV617" s="606"/>
      <c r="AW617" s="502"/>
      <c r="AX617" s="502"/>
      <c r="AY617" s="502"/>
      <c r="AZ617" s="502"/>
      <c r="BA617" s="502"/>
      <c r="BB617" s="502"/>
      <c r="BC617" s="502"/>
      <c r="BD617" s="502"/>
      <c r="BE617" s="502"/>
      <c r="BF617" s="502"/>
      <c r="BG617" s="502"/>
      <c r="BH617" s="502"/>
      <c r="BI617" s="502"/>
      <c r="BJ617" s="502"/>
      <c r="BK617" s="502"/>
      <c r="BL617" s="502"/>
      <c r="BM617" s="502"/>
      <c r="BN617" s="502"/>
      <c r="BO617" s="502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</row>
    <row r="618" s="504" customFormat="true" ht="12.75" hidden="true" customHeight="true" outlineLevel="0" collapsed="false">
      <c r="A618" s="5"/>
      <c r="B618" s="813" t="n">
        <f aca="false">B617+1</f>
        <v>403</v>
      </c>
      <c r="C618" s="814" t="n">
        <f aca="false">C617+D618</f>
        <v>44365.9560248317</v>
      </c>
      <c r="D618" s="815" t="n">
        <f aca="false">E618*$E$205*M618</f>
        <v>142.84970091089</v>
      </c>
      <c r="E618" s="601" t="n">
        <f aca="false">E617+$C$204</f>
        <v>9.0594686016546</v>
      </c>
      <c r="F618" s="816" t="n">
        <f aca="false">F617+1</f>
        <v>403</v>
      </c>
      <c r="G618" s="775" t="n">
        <f aca="false">C618</f>
        <v>44365.9560248317</v>
      </c>
      <c r="H618" s="817" t="n">
        <f aca="false">1000*(E618-E617)</f>
        <v>9.99999999999979</v>
      </c>
      <c r="I618" s="5"/>
      <c r="J618" s="818" t="n">
        <f aca="false">1000*(E618-$E$215)/(B618-$B$215)</f>
        <v>13.9053841900044</v>
      </c>
      <c r="K618" s="732" t="n">
        <f aca="false">AVERAGE($E$216:E618)</f>
        <v>7.0306100408606</v>
      </c>
      <c r="L618" s="819" t="n">
        <f aca="false">L617+1</f>
        <v>403</v>
      </c>
      <c r="M618" s="820" t="n">
        <f aca="false">IF(B618&lt;$E$104,$E$105,$E$106)</f>
        <v>3</v>
      </c>
      <c r="N618" s="821" t="n">
        <f aca="false">IF(B618&lt;$E$104,$E$105,$E$111)</f>
        <v>2.5</v>
      </c>
      <c r="O618" s="822" t="n">
        <f aca="false">E618*$E$205*N618</f>
        <v>119.041417425742</v>
      </c>
      <c r="P618" s="823" t="n">
        <f aca="false">P617+O618</f>
        <v>37023.3106210693</v>
      </c>
      <c r="Q618" s="606" t="n">
        <f aca="false">Q617+1</f>
        <v>403</v>
      </c>
      <c r="R618" s="824" t="n">
        <f aca="false">R617-1</f>
        <v>-403</v>
      </c>
      <c r="S618" s="5"/>
      <c r="T618" s="5"/>
      <c r="U618" s="5"/>
      <c r="V618" s="10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02"/>
      <c r="AU618" s="502"/>
      <c r="AV618" s="606"/>
      <c r="AW618" s="502"/>
      <c r="AX618" s="502"/>
      <c r="AY618" s="502"/>
      <c r="AZ618" s="502"/>
      <c r="BA618" s="502"/>
      <c r="BB618" s="502"/>
      <c r="BC618" s="502"/>
      <c r="BD618" s="502"/>
      <c r="BE618" s="502"/>
      <c r="BF618" s="502"/>
      <c r="BG618" s="502"/>
      <c r="BH618" s="502"/>
      <c r="BI618" s="502"/>
      <c r="BJ618" s="502"/>
      <c r="BK618" s="502"/>
      <c r="BL618" s="502"/>
      <c r="BM618" s="502"/>
      <c r="BN618" s="502"/>
      <c r="BO618" s="502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</row>
    <row r="619" s="504" customFormat="true" ht="12.75" hidden="true" customHeight="true" outlineLevel="0" collapsed="false">
      <c r="A619" s="5"/>
      <c r="B619" s="813" t="n">
        <f aca="false">B618+1</f>
        <v>404</v>
      </c>
      <c r="C619" s="814" t="n">
        <f aca="false">C618+D619</f>
        <v>44508.9634057426</v>
      </c>
      <c r="D619" s="815" t="n">
        <f aca="false">E619*$E$205*M619</f>
        <v>143.00738091089</v>
      </c>
      <c r="E619" s="601" t="n">
        <f aca="false">E618+$C$204</f>
        <v>9.0694686016546</v>
      </c>
      <c r="F619" s="816" t="n">
        <f aca="false">F618+1</f>
        <v>404</v>
      </c>
      <c r="G619" s="775" t="n">
        <f aca="false">C619</f>
        <v>44508.9634057426</v>
      </c>
      <c r="H619" s="817" t="n">
        <f aca="false">1000*(E619-E618)</f>
        <v>9.99999999999979</v>
      </c>
      <c r="I619" s="5"/>
      <c r="J619" s="818" t="n">
        <f aca="false">1000*(E619-$E$215)/(B619-$B$215)</f>
        <v>13.8957173974548</v>
      </c>
      <c r="K619" s="732" t="n">
        <f aca="false">AVERAGE($E$216:E619)</f>
        <v>7.03565672046653</v>
      </c>
      <c r="L619" s="819" t="n">
        <f aca="false">L618+1</f>
        <v>404</v>
      </c>
      <c r="M619" s="820" t="n">
        <f aca="false">IF(B619&lt;$E$104,$E$105,$E$106)</f>
        <v>3</v>
      </c>
      <c r="N619" s="821" t="n">
        <f aca="false">IF(B619&lt;$E$104,$E$105,$E$111)</f>
        <v>2.5</v>
      </c>
      <c r="O619" s="822" t="n">
        <f aca="false">E619*$E$205*N619</f>
        <v>119.172817425742</v>
      </c>
      <c r="P619" s="823" t="n">
        <f aca="false">P618+O619</f>
        <v>37142.483438495</v>
      </c>
      <c r="Q619" s="606" t="n">
        <f aca="false">Q618+1</f>
        <v>404</v>
      </c>
      <c r="R619" s="824" t="n">
        <f aca="false">R618-1</f>
        <v>-404</v>
      </c>
      <c r="S619" s="5"/>
      <c r="T619" s="5"/>
      <c r="U619" s="5"/>
      <c r="V619" s="10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02"/>
      <c r="AU619" s="502"/>
      <c r="AV619" s="606"/>
      <c r="AW619" s="502"/>
      <c r="AX619" s="502"/>
      <c r="AY619" s="502"/>
      <c r="AZ619" s="502"/>
      <c r="BA619" s="502"/>
      <c r="BB619" s="502"/>
      <c r="BC619" s="502"/>
      <c r="BD619" s="502"/>
      <c r="BE619" s="502"/>
      <c r="BF619" s="502"/>
      <c r="BG619" s="502"/>
      <c r="BH619" s="502"/>
      <c r="BI619" s="502"/>
      <c r="BJ619" s="502"/>
      <c r="BK619" s="502"/>
      <c r="BL619" s="502"/>
      <c r="BM619" s="502"/>
      <c r="BN619" s="502"/>
      <c r="BO619" s="502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</row>
    <row r="620" s="504" customFormat="true" ht="12.75" hidden="true" customHeight="true" outlineLevel="0" collapsed="false">
      <c r="A620" s="5"/>
      <c r="B620" s="813" t="n">
        <f aca="false">B619+1</f>
        <v>405</v>
      </c>
      <c r="C620" s="814" t="n">
        <f aca="false">C619+D620</f>
        <v>44652.1284666535</v>
      </c>
      <c r="D620" s="815" t="n">
        <f aca="false">E620*$E$205*M620</f>
        <v>143.16506091089</v>
      </c>
      <c r="E620" s="601" t="n">
        <f aca="false">E619+$C$204</f>
        <v>9.0794686016546</v>
      </c>
      <c r="F620" s="816" t="n">
        <f aca="false">F619+1</f>
        <v>405</v>
      </c>
      <c r="G620" s="775" t="n">
        <f aca="false">C620</f>
        <v>44652.1284666535</v>
      </c>
      <c r="H620" s="817" t="n">
        <f aca="false">1000*(E620-E619)</f>
        <v>9.99999999999979</v>
      </c>
      <c r="I620" s="5"/>
      <c r="J620" s="818" t="n">
        <f aca="false">1000*(E620-$E$215)/(B620-$B$215)</f>
        <v>13.8860983421525</v>
      </c>
      <c r="K620" s="732" t="n">
        <f aca="false">AVERAGE($E$216:E620)</f>
        <v>7.04070316955588</v>
      </c>
      <c r="L620" s="819" t="n">
        <f aca="false">L619+1</f>
        <v>405</v>
      </c>
      <c r="M620" s="820" t="n">
        <f aca="false">IF(B620&lt;$E$104,$E$105,$E$106)</f>
        <v>3</v>
      </c>
      <c r="N620" s="821" t="n">
        <f aca="false">IF(B620&lt;$E$104,$E$105,$E$111)</f>
        <v>2.5</v>
      </c>
      <c r="O620" s="822" t="n">
        <f aca="false">E620*$E$205*N620</f>
        <v>119.304217425742</v>
      </c>
      <c r="P620" s="823" t="n">
        <f aca="false">P619+O620</f>
        <v>37261.7876559208</v>
      </c>
      <c r="Q620" s="606" t="n">
        <f aca="false">Q619+1</f>
        <v>405</v>
      </c>
      <c r="R620" s="824" t="n">
        <f aca="false">R619-1</f>
        <v>-405</v>
      </c>
      <c r="S620" s="5"/>
      <c r="T620" s="5"/>
      <c r="U620" s="5"/>
      <c r="V620" s="10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02"/>
      <c r="AU620" s="502"/>
      <c r="AV620" s="606"/>
      <c r="AW620" s="502"/>
      <c r="AX620" s="502"/>
      <c r="AY620" s="502"/>
      <c r="AZ620" s="502"/>
      <c r="BA620" s="502"/>
      <c r="BB620" s="502"/>
      <c r="BC620" s="502"/>
      <c r="BD620" s="502"/>
      <c r="BE620" s="502"/>
      <c r="BF620" s="502"/>
      <c r="BG620" s="502"/>
      <c r="BH620" s="502"/>
      <c r="BI620" s="502"/>
      <c r="BJ620" s="502"/>
      <c r="BK620" s="502"/>
      <c r="BL620" s="502"/>
      <c r="BM620" s="502"/>
      <c r="BN620" s="502"/>
      <c r="BO620" s="502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</row>
    <row r="621" s="504" customFormat="true" ht="12.75" hidden="true" customHeight="true" outlineLevel="0" collapsed="false">
      <c r="A621" s="5"/>
      <c r="B621" s="813" t="n">
        <f aca="false">B620+1</f>
        <v>406</v>
      </c>
      <c r="C621" s="814" t="n">
        <f aca="false">C620+D621</f>
        <v>44795.4512075644</v>
      </c>
      <c r="D621" s="815" t="n">
        <f aca="false">E621*$E$205*M621</f>
        <v>143.32274091089</v>
      </c>
      <c r="E621" s="601" t="n">
        <f aca="false">E620+$C$204</f>
        <v>9.0894686016546</v>
      </c>
      <c r="F621" s="816" t="n">
        <f aca="false">F620+1</f>
        <v>406</v>
      </c>
      <c r="G621" s="775" t="n">
        <f aca="false">C621</f>
        <v>44795.4512075644</v>
      </c>
      <c r="H621" s="817" t="n">
        <f aca="false">1000*(E621-E620)</f>
        <v>9.99999999999979</v>
      </c>
      <c r="I621" s="5"/>
      <c r="J621" s="818" t="n">
        <f aca="false">1000*(E621-$E$215)/(B621-$B$215)</f>
        <v>13.876526671359</v>
      </c>
      <c r="K621" s="732" t="n">
        <f aca="false">AVERAGE($E$216:E621)</f>
        <v>7.04574938983199</v>
      </c>
      <c r="L621" s="819" t="n">
        <f aca="false">L620+1</f>
        <v>406</v>
      </c>
      <c r="M621" s="820" t="n">
        <f aca="false">IF(B621&lt;$E$104,$E$105,$E$106)</f>
        <v>3</v>
      </c>
      <c r="N621" s="821" t="n">
        <f aca="false">IF(B621&lt;$E$104,$E$105,$E$111)</f>
        <v>2.5</v>
      </c>
      <c r="O621" s="822" t="n">
        <f aca="false">E621*$E$205*N621</f>
        <v>119.435617425742</v>
      </c>
      <c r="P621" s="823" t="n">
        <f aca="false">P620+O621</f>
        <v>37381.2232733465</v>
      </c>
      <c r="Q621" s="606" t="n">
        <f aca="false">Q620+1</f>
        <v>406</v>
      </c>
      <c r="R621" s="824" t="n">
        <f aca="false">R620-1</f>
        <v>-406</v>
      </c>
      <c r="S621" s="5"/>
      <c r="T621" s="5"/>
      <c r="U621" s="5"/>
      <c r="V621" s="10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02"/>
      <c r="AU621" s="502"/>
      <c r="AV621" s="606"/>
      <c r="AW621" s="502"/>
      <c r="AX621" s="502"/>
      <c r="AY621" s="502"/>
      <c r="AZ621" s="502"/>
      <c r="BA621" s="502"/>
      <c r="BB621" s="502"/>
      <c r="BC621" s="502"/>
      <c r="BD621" s="502"/>
      <c r="BE621" s="502"/>
      <c r="BF621" s="502"/>
      <c r="BG621" s="502"/>
      <c r="BH621" s="502"/>
      <c r="BI621" s="502"/>
      <c r="BJ621" s="502"/>
      <c r="BK621" s="502"/>
      <c r="BL621" s="502"/>
      <c r="BM621" s="502"/>
      <c r="BN621" s="502"/>
      <c r="BO621" s="502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</row>
    <row r="622" s="504" customFormat="true" ht="12.75" hidden="true" customHeight="true" outlineLevel="0" collapsed="false">
      <c r="A622" s="5"/>
      <c r="B622" s="813" t="n">
        <f aca="false">B621+1</f>
        <v>407</v>
      </c>
      <c r="C622" s="814" t="n">
        <f aca="false">C621+D622</f>
        <v>44938.9316284753</v>
      </c>
      <c r="D622" s="815" t="n">
        <f aca="false">E622*$E$205*M622</f>
        <v>143.48042091089</v>
      </c>
      <c r="E622" s="601" t="n">
        <f aca="false">E621+$C$204</f>
        <v>9.0994686016546</v>
      </c>
      <c r="F622" s="816" t="n">
        <f aca="false">F621+1</f>
        <v>407</v>
      </c>
      <c r="G622" s="775" t="n">
        <f aca="false">C622</f>
        <v>44938.9316284753</v>
      </c>
      <c r="H622" s="817" t="n">
        <f aca="false">1000*(E622-E621)</f>
        <v>9.99999999999979</v>
      </c>
      <c r="I622" s="5"/>
      <c r="J622" s="818" t="n">
        <f aca="false">1000*(E622-$E$215)/(B622-$B$215)</f>
        <v>13.8670020358028</v>
      </c>
      <c r="K622" s="732" t="n">
        <f aca="false">AVERAGE($E$216:E622)</f>
        <v>7.05079538298143</v>
      </c>
      <c r="L622" s="819" t="n">
        <f aca="false">L621+1</f>
        <v>407</v>
      </c>
      <c r="M622" s="820" t="n">
        <f aca="false">IF(B622&lt;$E$104,$E$105,$E$106)</f>
        <v>3</v>
      </c>
      <c r="N622" s="821" t="n">
        <f aca="false">IF(B622&lt;$E$104,$E$105,$E$111)</f>
        <v>2.5</v>
      </c>
      <c r="O622" s="822" t="n">
        <f aca="false">E622*$E$205*N622</f>
        <v>119.567017425741</v>
      </c>
      <c r="P622" s="823" t="n">
        <f aca="false">P621+O622</f>
        <v>37500.7902907723</v>
      </c>
      <c r="Q622" s="606" t="n">
        <f aca="false">Q621+1</f>
        <v>407</v>
      </c>
      <c r="R622" s="824" t="n">
        <f aca="false">R621-1</f>
        <v>-407</v>
      </c>
      <c r="S622" s="5"/>
      <c r="T622" s="5"/>
      <c r="U622" s="5"/>
      <c r="V622" s="10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02"/>
      <c r="AU622" s="502"/>
      <c r="AV622" s="606"/>
      <c r="AW622" s="502"/>
      <c r="AX622" s="502"/>
      <c r="AY622" s="502"/>
      <c r="AZ622" s="502"/>
      <c r="BA622" s="502"/>
      <c r="BB622" s="502"/>
      <c r="BC622" s="502"/>
      <c r="BD622" s="502"/>
      <c r="BE622" s="502"/>
      <c r="BF622" s="502"/>
      <c r="BG622" s="502"/>
      <c r="BH622" s="502"/>
      <c r="BI622" s="502"/>
      <c r="BJ622" s="502"/>
      <c r="BK622" s="502"/>
      <c r="BL622" s="502"/>
      <c r="BM622" s="502"/>
      <c r="BN622" s="502"/>
      <c r="BO622" s="502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</row>
    <row r="623" s="504" customFormat="true" ht="12.75" hidden="true" customHeight="true" outlineLevel="0" collapsed="false">
      <c r="A623" s="5"/>
      <c r="B623" s="813" t="n">
        <f aca="false">B622+1</f>
        <v>408</v>
      </c>
      <c r="C623" s="814" t="n">
        <f aca="false">C622+D623</f>
        <v>45082.5697293862</v>
      </c>
      <c r="D623" s="815" t="n">
        <f aca="false">E623*$E$205*M623</f>
        <v>143.63810091089</v>
      </c>
      <c r="E623" s="601" t="n">
        <f aca="false">E622+$C$204</f>
        <v>9.1094686016546</v>
      </c>
      <c r="F623" s="816" t="n">
        <f aca="false">F622+1</f>
        <v>408</v>
      </c>
      <c r="G623" s="775" t="n">
        <f aca="false">C623</f>
        <v>45082.5697293862</v>
      </c>
      <c r="H623" s="817" t="n">
        <f aca="false">1000*(E623-E622)</f>
        <v>9.99999999999979</v>
      </c>
      <c r="I623" s="5"/>
      <c r="J623" s="818" t="n">
        <f aca="false">1000*(E623-$E$215)/(B623-$B$215)</f>
        <v>13.8575240896367</v>
      </c>
      <c r="K623" s="732" t="n">
        <f aca="false">AVERAGE($E$216:E623)</f>
        <v>7.05584115067425</v>
      </c>
      <c r="L623" s="819" t="n">
        <f aca="false">L622+1</f>
        <v>408</v>
      </c>
      <c r="M623" s="820" t="n">
        <f aca="false">IF(B623&lt;$E$104,$E$105,$E$106)</f>
        <v>3</v>
      </c>
      <c r="N623" s="821" t="n">
        <f aca="false">IF(B623&lt;$E$104,$E$105,$E$111)</f>
        <v>2.5</v>
      </c>
      <c r="O623" s="822" t="n">
        <f aca="false">E623*$E$205*N623</f>
        <v>119.698417425741</v>
      </c>
      <c r="P623" s="823" t="n">
        <f aca="false">P622+O623</f>
        <v>37620.488708198</v>
      </c>
      <c r="Q623" s="606" t="n">
        <f aca="false">Q622+1</f>
        <v>408</v>
      </c>
      <c r="R623" s="824" t="n">
        <f aca="false">R622-1</f>
        <v>-408</v>
      </c>
      <c r="S623" s="5"/>
      <c r="T623" s="5"/>
      <c r="U623" s="5"/>
      <c r="V623" s="10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02"/>
      <c r="AU623" s="502"/>
      <c r="AV623" s="606"/>
      <c r="AW623" s="502"/>
      <c r="AX623" s="502"/>
      <c r="AY623" s="502"/>
      <c r="AZ623" s="502"/>
      <c r="BA623" s="502"/>
      <c r="BB623" s="502"/>
      <c r="BC623" s="502"/>
      <c r="BD623" s="502"/>
      <c r="BE623" s="502"/>
      <c r="BF623" s="502"/>
      <c r="BG623" s="502"/>
      <c r="BH623" s="502"/>
      <c r="BI623" s="502"/>
      <c r="BJ623" s="502"/>
      <c r="BK623" s="502"/>
      <c r="BL623" s="502"/>
      <c r="BM623" s="502"/>
      <c r="BN623" s="502"/>
      <c r="BO623" s="502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</row>
    <row r="624" s="504" customFormat="true" ht="12.75" hidden="true" customHeight="true" outlineLevel="0" collapsed="false">
      <c r="A624" s="5"/>
      <c r="B624" s="813" t="n">
        <f aca="false">B623+1</f>
        <v>409</v>
      </c>
      <c r="C624" s="814" t="n">
        <f aca="false">C623+D624</f>
        <v>45226.3655102971</v>
      </c>
      <c r="D624" s="815" t="n">
        <f aca="false">E624*$E$205*M624</f>
        <v>143.79578091089</v>
      </c>
      <c r="E624" s="601" t="n">
        <f aca="false">E623+$C$204</f>
        <v>9.1194686016546</v>
      </c>
      <c r="F624" s="816" t="n">
        <f aca="false">F623+1</f>
        <v>409</v>
      </c>
      <c r="G624" s="775" t="n">
        <f aca="false">C624</f>
        <v>45226.3655102971</v>
      </c>
      <c r="H624" s="817" t="n">
        <f aca="false">1000*(E624-E623)</f>
        <v>9.99999999999979</v>
      </c>
      <c r="I624" s="5"/>
      <c r="J624" s="818" t="n">
        <f aca="false">1000*(E624-$E$215)/(B624-$B$215)</f>
        <v>13.8480924903955</v>
      </c>
      <c r="K624" s="732" t="n">
        <f aca="false">AVERAGE($E$216:E624)</f>
        <v>7.06088669456418</v>
      </c>
      <c r="L624" s="819" t="n">
        <f aca="false">L623+1</f>
        <v>409</v>
      </c>
      <c r="M624" s="820" t="n">
        <f aca="false">IF(B624&lt;$E$104,$E$105,$E$106)</f>
        <v>3</v>
      </c>
      <c r="N624" s="821" t="n">
        <f aca="false">IF(B624&lt;$E$104,$E$105,$E$111)</f>
        <v>2.5</v>
      </c>
      <c r="O624" s="822" t="n">
        <f aca="false">E624*$E$205*N624</f>
        <v>119.829817425741</v>
      </c>
      <c r="P624" s="823" t="n">
        <f aca="false">P623+O624</f>
        <v>37740.3185256237</v>
      </c>
      <c r="Q624" s="606" t="n">
        <f aca="false">Q623+1</f>
        <v>409</v>
      </c>
      <c r="R624" s="824" t="n">
        <f aca="false">R623-1</f>
        <v>-409</v>
      </c>
      <c r="S624" s="5"/>
      <c r="T624" s="5"/>
      <c r="U624" s="5"/>
      <c r="V624" s="10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02"/>
      <c r="AU624" s="502"/>
      <c r="AV624" s="606"/>
      <c r="AW624" s="502"/>
      <c r="AX624" s="502"/>
      <c r="AY624" s="502"/>
      <c r="AZ624" s="502"/>
      <c r="BA624" s="502"/>
      <c r="BB624" s="502"/>
      <c r="BC624" s="502"/>
      <c r="BD624" s="502"/>
      <c r="BE624" s="502"/>
      <c r="BF624" s="502"/>
      <c r="BG624" s="502"/>
      <c r="BH624" s="502"/>
      <c r="BI624" s="502"/>
      <c r="BJ624" s="502"/>
      <c r="BK624" s="502"/>
      <c r="BL624" s="502"/>
      <c r="BM624" s="502"/>
      <c r="BN624" s="502"/>
      <c r="BO624" s="502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</row>
    <row r="625" s="504" customFormat="true" ht="12.75" hidden="true" customHeight="true" outlineLevel="0" collapsed="false">
      <c r="A625" s="5"/>
      <c r="B625" s="813" t="n">
        <f aca="false">B624+1</f>
        <v>410</v>
      </c>
      <c r="C625" s="814" t="n">
        <f aca="false">C624+D625</f>
        <v>45370.3189712079</v>
      </c>
      <c r="D625" s="815" t="n">
        <f aca="false">E625*$E$205*M625</f>
        <v>143.95346091089</v>
      </c>
      <c r="E625" s="601" t="n">
        <f aca="false">E624+$C$204</f>
        <v>9.1294686016546</v>
      </c>
      <c r="F625" s="816" t="n">
        <f aca="false">F624+1</f>
        <v>410</v>
      </c>
      <c r="G625" s="775" t="n">
        <f aca="false">C625</f>
        <v>45370.3189712079</v>
      </c>
      <c r="H625" s="817" t="n">
        <f aca="false">1000*(E625-E624)</f>
        <v>9.99999999999979</v>
      </c>
      <c r="I625" s="5"/>
      <c r="J625" s="818" t="n">
        <f aca="false">1000*(E625-$E$215)/(B625-$B$215)</f>
        <v>13.8387068989555</v>
      </c>
      <c r="K625" s="732" t="n">
        <f aca="false">AVERAGE($E$216:E625)</f>
        <v>7.06593201628879</v>
      </c>
      <c r="L625" s="819" t="n">
        <f aca="false">L624+1</f>
        <v>410</v>
      </c>
      <c r="M625" s="820" t="n">
        <f aca="false">IF(B625&lt;$E$104,$E$105,$E$106)</f>
        <v>3</v>
      </c>
      <c r="N625" s="821" t="n">
        <f aca="false">IF(B625&lt;$E$104,$E$105,$E$111)</f>
        <v>2.5</v>
      </c>
      <c r="O625" s="822" t="n">
        <f aca="false">E625*$E$205*N625</f>
        <v>119.961217425741</v>
      </c>
      <c r="P625" s="823" t="n">
        <f aca="false">P624+O625</f>
        <v>37860.2797430495</v>
      </c>
      <c r="Q625" s="606" t="n">
        <f aca="false">Q624+1</f>
        <v>410</v>
      </c>
      <c r="R625" s="824" t="n">
        <f aca="false">R624-1</f>
        <v>-410</v>
      </c>
      <c r="S625" s="5"/>
      <c r="T625" s="5"/>
      <c r="U625" s="5"/>
      <c r="V625" s="10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02"/>
      <c r="AU625" s="502"/>
      <c r="AV625" s="606"/>
      <c r="AW625" s="502"/>
      <c r="AX625" s="502"/>
      <c r="AY625" s="502"/>
      <c r="AZ625" s="502"/>
      <c r="BA625" s="502"/>
      <c r="BB625" s="502"/>
      <c r="BC625" s="502"/>
      <c r="BD625" s="502"/>
      <c r="BE625" s="502"/>
      <c r="BF625" s="502"/>
      <c r="BG625" s="502"/>
      <c r="BH625" s="502"/>
      <c r="BI625" s="502"/>
      <c r="BJ625" s="502"/>
      <c r="BK625" s="502"/>
      <c r="BL625" s="502"/>
      <c r="BM625" s="502"/>
      <c r="BN625" s="502"/>
      <c r="BO625" s="502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</row>
    <row r="626" s="504" customFormat="true" ht="12.75" hidden="true" customHeight="true" outlineLevel="0" collapsed="false">
      <c r="A626" s="5"/>
      <c r="B626" s="813" t="n">
        <f aca="false">B625+1</f>
        <v>411</v>
      </c>
      <c r="C626" s="814" t="n">
        <f aca="false">C625+D626</f>
        <v>45514.4301121188</v>
      </c>
      <c r="D626" s="815" t="n">
        <f aca="false">E626*$E$205*M626</f>
        <v>144.11114091089</v>
      </c>
      <c r="E626" s="601" t="n">
        <f aca="false">E625+$C$204</f>
        <v>9.1394686016546</v>
      </c>
      <c r="F626" s="816" t="n">
        <f aca="false">F625+1</f>
        <v>411</v>
      </c>
      <c r="G626" s="775" t="n">
        <f aca="false">C626</f>
        <v>45514.4301121188</v>
      </c>
      <c r="H626" s="817" t="n">
        <f aca="false">1000*(E626-E625)</f>
        <v>9.99999999999979</v>
      </c>
      <c r="I626" s="5"/>
      <c r="J626" s="818" t="n">
        <f aca="false">1000*(E626-$E$215)/(B626-$B$215)</f>
        <v>13.8293669794933</v>
      </c>
      <c r="K626" s="732" t="n">
        <f aca="false">AVERAGE($E$216:E626)</f>
        <v>7.07097711746973</v>
      </c>
      <c r="L626" s="819" t="n">
        <f aca="false">L625+1</f>
        <v>411</v>
      </c>
      <c r="M626" s="820" t="n">
        <f aca="false">IF(B626&lt;$E$104,$E$105,$E$106)</f>
        <v>3</v>
      </c>
      <c r="N626" s="821" t="n">
        <f aca="false">IF(B626&lt;$E$104,$E$105,$E$111)</f>
        <v>2.5</v>
      </c>
      <c r="O626" s="822" t="n">
        <f aca="false">E626*$E$205*N626</f>
        <v>120.092617425741</v>
      </c>
      <c r="P626" s="823" t="n">
        <f aca="false">P625+O626</f>
        <v>37980.3723604752</v>
      </c>
      <c r="Q626" s="606" t="n">
        <f aca="false">Q625+1</f>
        <v>411</v>
      </c>
      <c r="R626" s="824" t="n">
        <f aca="false">R625-1</f>
        <v>-411</v>
      </c>
      <c r="S626" s="5"/>
      <c r="T626" s="5"/>
      <c r="U626" s="5"/>
      <c r="V626" s="10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02"/>
      <c r="AU626" s="502"/>
      <c r="AV626" s="606"/>
      <c r="AW626" s="502"/>
      <c r="AX626" s="502"/>
      <c r="AY626" s="502"/>
      <c r="AZ626" s="502"/>
      <c r="BA626" s="502"/>
      <c r="BB626" s="502"/>
      <c r="BC626" s="502"/>
      <c r="BD626" s="502"/>
      <c r="BE626" s="502"/>
      <c r="BF626" s="502"/>
      <c r="BG626" s="502"/>
      <c r="BH626" s="502"/>
      <c r="BI626" s="502"/>
      <c r="BJ626" s="502"/>
      <c r="BK626" s="502"/>
      <c r="BL626" s="502"/>
      <c r="BM626" s="502"/>
      <c r="BN626" s="502"/>
      <c r="BO626" s="502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</row>
    <row r="627" s="504" customFormat="true" ht="12.75" hidden="true" customHeight="true" outlineLevel="0" collapsed="false">
      <c r="A627" s="5"/>
      <c r="B627" s="813" t="n">
        <f aca="false">B626+1</f>
        <v>412</v>
      </c>
      <c r="C627" s="814" t="n">
        <f aca="false">C626+D627</f>
        <v>45658.6989330297</v>
      </c>
      <c r="D627" s="815" t="n">
        <f aca="false">E627*$E$205*M627</f>
        <v>144.26882091089</v>
      </c>
      <c r="E627" s="601" t="n">
        <f aca="false">E626+$C$204</f>
        <v>9.1494686016546</v>
      </c>
      <c r="F627" s="816" t="n">
        <f aca="false">F626+1</f>
        <v>412</v>
      </c>
      <c r="G627" s="775" t="n">
        <f aca="false">C627</f>
        <v>45658.6989330297</v>
      </c>
      <c r="H627" s="817" t="n">
        <f aca="false">1000*(E627-E626)</f>
        <v>9.99999999999979</v>
      </c>
      <c r="I627" s="5"/>
      <c r="J627" s="818" t="n">
        <f aca="false">1000*(E627-$E$215)/(B627-$B$215)</f>
        <v>13.820072399446</v>
      </c>
      <c r="K627" s="732" t="n">
        <f aca="false">AVERAGE($E$216:E627)</f>
        <v>7.0760219997129</v>
      </c>
      <c r="L627" s="819" t="n">
        <f aca="false">L626+1</f>
        <v>412</v>
      </c>
      <c r="M627" s="820" t="n">
        <f aca="false">IF(B627&lt;$E$104,$E$105,$E$106)</f>
        <v>3</v>
      </c>
      <c r="N627" s="821" t="n">
        <f aca="false">IF(B627&lt;$E$104,$E$105,$E$111)</f>
        <v>2.5</v>
      </c>
      <c r="O627" s="822" t="n">
        <f aca="false">E627*$E$205*N627</f>
        <v>120.224017425741</v>
      </c>
      <c r="P627" s="823" t="n">
        <f aca="false">P626+O627</f>
        <v>38100.596377901</v>
      </c>
      <c r="Q627" s="606" t="n">
        <f aca="false">Q626+1</f>
        <v>412</v>
      </c>
      <c r="R627" s="824" t="n">
        <f aca="false">R626-1</f>
        <v>-412</v>
      </c>
      <c r="S627" s="5"/>
      <c r="T627" s="5"/>
      <c r="U627" s="5"/>
      <c r="V627" s="10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02"/>
      <c r="AU627" s="502"/>
      <c r="AV627" s="606"/>
      <c r="AW627" s="502"/>
      <c r="AX627" s="502"/>
      <c r="AY627" s="502"/>
      <c r="AZ627" s="502"/>
      <c r="BA627" s="502"/>
      <c r="BB627" s="502"/>
      <c r="BC627" s="502"/>
      <c r="BD627" s="502"/>
      <c r="BE627" s="502"/>
      <c r="BF627" s="502"/>
      <c r="BG627" s="502"/>
      <c r="BH627" s="502"/>
      <c r="BI627" s="502"/>
      <c r="BJ627" s="502"/>
      <c r="BK627" s="502"/>
      <c r="BL627" s="502"/>
      <c r="BM627" s="502"/>
      <c r="BN627" s="502"/>
      <c r="BO627" s="502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</row>
    <row r="628" s="504" customFormat="true" ht="12.75" hidden="true" customHeight="true" outlineLevel="0" collapsed="false">
      <c r="A628" s="5"/>
      <c r="B628" s="813" t="n">
        <f aca="false">B627+1</f>
        <v>413</v>
      </c>
      <c r="C628" s="814" t="n">
        <f aca="false">C627+D628</f>
        <v>45803.1254339406</v>
      </c>
      <c r="D628" s="815" t="n">
        <f aca="false">E628*$E$205*M628</f>
        <v>144.42650091089</v>
      </c>
      <c r="E628" s="601" t="n">
        <f aca="false">E627+$C$204</f>
        <v>9.1594686016546</v>
      </c>
      <c r="F628" s="816" t="n">
        <f aca="false">F627+1</f>
        <v>413</v>
      </c>
      <c r="G628" s="775" t="n">
        <f aca="false">C628</f>
        <v>45803.1254339406</v>
      </c>
      <c r="H628" s="817" t="n">
        <f aca="false">1000*(E628-E627)</f>
        <v>9.99999999999979</v>
      </c>
      <c r="I628" s="5"/>
      <c r="J628" s="818" t="n">
        <f aca="false">1000*(E628-$E$215)/(B628-$B$215)</f>
        <v>13.8108228294716</v>
      </c>
      <c r="K628" s="732" t="n">
        <f aca="false">AVERAGE($E$216:E628)</f>
        <v>7.08106666460864</v>
      </c>
      <c r="L628" s="819" t="n">
        <f aca="false">L627+1</f>
        <v>413</v>
      </c>
      <c r="M628" s="820" t="n">
        <f aca="false">IF(B628&lt;$E$104,$E$105,$E$106)</f>
        <v>3</v>
      </c>
      <c r="N628" s="821" t="n">
        <f aca="false">IF(B628&lt;$E$104,$E$105,$E$111)</f>
        <v>2.5</v>
      </c>
      <c r="O628" s="822" t="n">
        <f aca="false">E628*$E$205*N628</f>
        <v>120.355417425741</v>
      </c>
      <c r="P628" s="823" t="n">
        <f aca="false">P627+O628</f>
        <v>38220.9517953267</v>
      </c>
      <c r="Q628" s="606" t="n">
        <f aca="false">Q627+1</f>
        <v>413</v>
      </c>
      <c r="R628" s="824" t="n">
        <f aca="false">R627-1</f>
        <v>-413</v>
      </c>
      <c r="S628" s="5"/>
      <c r="T628" s="5"/>
      <c r="U628" s="5"/>
      <c r="V628" s="10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02"/>
      <c r="AU628" s="502"/>
      <c r="AV628" s="606"/>
      <c r="AW628" s="502"/>
      <c r="AX628" s="502"/>
      <c r="AY628" s="502"/>
      <c r="AZ628" s="502"/>
      <c r="BA628" s="502"/>
      <c r="BB628" s="502"/>
      <c r="BC628" s="502"/>
      <c r="BD628" s="502"/>
      <c r="BE628" s="502"/>
      <c r="BF628" s="502"/>
      <c r="BG628" s="502"/>
      <c r="BH628" s="502"/>
      <c r="BI628" s="502"/>
      <c r="BJ628" s="502"/>
      <c r="BK628" s="502"/>
      <c r="BL628" s="502"/>
      <c r="BM628" s="502"/>
      <c r="BN628" s="502"/>
      <c r="BO628" s="502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</row>
    <row r="629" s="504" customFormat="true" ht="12.75" hidden="true" customHeight="true" outlineLevel="0" collapsed="false">
      <c r="A629" s="5"/>
      <c r="B629" s="813" t="n">
        <f aca="false">B628+1</f>
        <v>414</v>
      </c>
      <c r="C629" s="814" t="n">
        <f aca="false">C628+D629</f>
        <v>45947.7096148515</v>
      </c>
      <c r="D629" s="815" t="n">
        <f aca="false">E629*$E$205*M629</f>
        <v>144.58418091089</v>
      </c>
      <c r="E629" s="601" t="n">
        <f aca="false">E628+$C$204</f>
        <v>9.1694686016546</v>
      </c>
      <c r="F629" s="816" t="n">
        <f aca="false">F628+1</f>
        <v>414</v>
      </c>
      <c r="G629" s="775" t="n">
        <f aca="false">C629</f>
        <v>45947.7096148515</v>
      </c>
      <c r="H629" s="817" t="n">
        <f aca="false">1000*(E629-E628)</f>
        <v>9.99999999999979</v>
      </c>
      <c r="I629" s="5"/>
      <c r="J629" s="818" t="n">
        <f aca="false">1000*(E629-$E$215)/(B629-$B$215)</f>
        <v>13.80161794341</v>
      </c>
      <c r="K629" s="732" t="n">
        <f aca="false">AVERAGE($E$216:E629)</f>
        <v>7.08611111373194</v>
      </c>
      <c r="L629" s="819" t="n">
        <f aca="false">L628+1</f>
        <v>414</v>
      </c>
      <c r="M629" s="820" t="n">
        <f aca="false">IF(B629&lt;$E$104,$E$105,$E$106)</f>
        <v>3</v>
      </c>
      <c r="N629" s="821" t="n">
        <f aca="false">IF(B629&lt;$E$104,$E$105,$E$111)</f>
        <v>2.5</v>
      </c>
      <c r="O629" s="822" t="n">
        <f aca="false">E629*$E$205*N629</f>
        <v>120.486817425741</v>
      </c>
      <c r="P629" s="823" t="n">
        <f aca="false">P628+O629</f>
        <v>38341.4386127524</v>
      </c>
      <c r="Q629" s="606" t="n">
        <f aca="false">Q628+1</f>
        <v>414</v>
      </c>
      <c r="R629" s="824" t="n">
        <f aca="false">R628-1</f>
        <v>-414</v>
      </c>
      <c r="S629" s="5"/>
      <c r="T629" s="5"/>
      <c r="U629" s="5"/>
      <c r="V629" s="10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02"/>
      <c r="AU629" s="502"/>
      <c r="AV629" s="606"/>
      <c r="AW629" s="502"/>
      <c r="AX629" s="502"/>
      <c r="AY629" s="502"/>
      <c r="AZ629" s="502"/>
      <c r="BA629" s="502"/>
      <c r="BB629" s="502"/>
      <c r="BC629" s="502"/>
      <c r="BD629" s="502"/>
      <c r="BE629" s="502"/>
      <c r="BF629" s="502"/>
      <c r="BG629" s="502"/>
      <c r="BH629" s="502"/>
      <c r="BI629" s="502"/>
      <c r="BJ629" s="502"/>
      <c r="BK629" s="502"/>
      <c r="BL629" s="502"/>
      <c r="BM629" s="502"/>
      <c r="BN629" s="502"/>
      <c r="BO629" s="502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</row>
    <row r="630" s="504" customFormat="true" ht="12.75" hidden="true" customHeight="true" outlineLevel="0" collapsed="false">
      <c r="A630" s="5"/>
      <c r="B630" s="813" t="n">
        <f aca="false">B629+1</f>
        <v>415</v>
      </c>
      <c r="C630" s="814" t="n">
        <f aca="false">C629+D630</f>
        <v>46092.4514757624</v>
      </c>
      <c r="D630" s="815" t="n">
        <f aca="false">E630*$E$205*M630</f>
        <v>144.74186091089</v>
      </c>
      <c r="E630" s="601" t="n">
        <f aca="false">E629+$C$204</f>
        <v>9.1794686016546</v>
      </c>
      <c r="F630" s="816" t="n">
        <f aca="false">F629+1</f>
        <v>415</v>
      </c>
      <c r="G630" s="775" t="n">
        <f aca="false">C630</f>
        <v>46092.4514757624</v>
      </c>
      <c r="H630" s="817" t="n">
        <f aca="false">1000*(E630-E629)</f>
        <v>9.99999999999979</v>
      </c>
      <c r="I630" s="5"/>
      <c r="J630" s="818" t="n">
        <f aca="false">1000*(E630-$E$215)/(B630-$B$215)</f>
        <v>13.7924574182452</v>
      </c>
      <c r="K630" s="732" t="n">
        <f aca="false">AVERAGE($E$216:E630)</f>
        <v>7.0911553486426</v>
      </c>
      <c r="L630" s="819" t="n">
        <f aca="false">L629+1</f>
        <v>415</v>
      </c>
      <c r="M630" s="820" t="n">
        <f aca="false">IF(B630&lt;$E$104,$E$105,$E$106)</f>
        <v>3</v>
      </c>
      <c r="N630" s="821" t="n">
        <f aca="false">IF(B630&lt;$E$104,$E$105,$E$111)</f>
        <v>2.5</v>
      </c>
      <c r="O630" s="822" t="n">
        <f aca="false">E630*$E$205*N630</f>
        <v>120.618217425741</v>
      </c>
      <c r="P630" s="823" t="n">
        <f aca="false">P629+O630</f>
        <v>38462.0568301782</v>
      </c>
      <c r="Q630" s="606" t="n">
        <f aca="false">Q629+1</f>
        <v>415</v>
      </c>
      <c r="R630" s="824" t="n">
        <f aca="false">R629-1</f>
        <v>-415</v>
      </c>
      <c r="S630" s="5"/>
      <c r="T630" s="5"/>
      <c r="U630" s="5"/>
      <c r="V630" s="10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02"/>
      <c r="AU630" s="502"/>
      <c r="AV630" s="606"/>
      <c r="AW630" s="502"/>
      <c r="AX630" s="502"/>
      <c r="AY630" s="502"/>
      <c r="AZ630" s="502"/>
      <c r="BA630" s="502"/>
      <c r="BB630" s="502"/>
      <c r="BC630" s="502"/>
      <c r="BD630" s="502"/>
      <c r="BE630" s="502"/>
      <c r="BF630" s="502"/>
      <c r="BG630" s="502"/>
      <c r="BH630" s="502"/>
      <c r="BI630" s="502"/>
      <c r="BJ630" s="502"/>
      <c r="BK630" s="502"/>
      <c r="BL630" s="502"/>
      <c r="BM630" s="502"/>
      <c r="BN630" s="502"/>
      <c r="BO630" s="502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</row>
    <row r="631" s="504" customFormat="true" ht="12.75" hidden="true" customHeight="true" outlineLevel="0" collapsed="false">
      <c r="A631" s="5"/>
      <c r="B631" s="813" t="n">
        <f aca="false">B630+1</f>
        <v>416</v>
      </c>
      <c r="C631" s="814" t="n">
        <f aca="false">C630+D631</f>
        <v>46237.3510166733</v>
      </c>
      <c r="D631" s="815" t="n">
        <f aca="false">E631*$E$205*M631</f>
        <v>144.89954091089</v>
      </c>
      <c r="E631" s="601" t="n">
        <f aca="false">E630+$C$204</f>
        <v>9.1894686016546</v>
      </c>
      <c r="F631" s="816" t="n">
        <f aca="false">F630+1</f>
        <v>416</v>
      </c>
      <c r="G631" s="775" t="n">
        <f aca="false">C631</f>
        <v>46237.3510166733</v>
      </c>
      <c r="H631" s="817" t="n">
        <f aca="false">1000*(E631-E630)</f>
        <v>9.99999999999979</v>
      </c>
      <c r="I631" s="5"/>
      <c r="J631" s="818" t="n">
        <f aca="false">1000*(E631-$E$215)/(B631-$B$215)</f>
        <v>13.7833409340667</v>
      </c>
      <c r="K631" s="732" t="n">
        <f aca="false">AVERAGE($E$216:E631)</f>
        <v>7.09619937088541</v>
      </c>
      <c r="L631" s="819" t="n">
        <f aca="false">L630+1</f>
        <v>416</v>
      </c>
      <c r="M631" s="820" t="n">
        <f aca="false">IF(B631&lt;$E$104,$E$105,$E$106)</f>
        <v>3</v>
      </c>
      <c r="N631" s="821" t="n">
        <f aca="false">IF(B631&lt;$E$104,$E$105,$E$111)</f>
        <v>2.5</v>
      </c>
      <c r="O631" s="822" t="n">
        <f aca="false">E631*$E$205*N631</f>
        <v>120.749617425741</v>
      </c>
      <c r="P631" s="823" t="n">
        <f aca="false">P630+O631</f>
        <v>38582.8064476039</v>
      </c>
      <c r="Q631" s="606" t="n">
        <f aca="false">Q630+1</f>
        <v>416</v>
      </c>
      <c r="R631" s="824" t="n">
        <f aca="false">R630-1</f>
        <v>-416</v>
      </c>
      <c r="S631" s="5"/>
      <c r="T631" s="5"/>
      <c r="U631" s="5"/>
      <c r="V631" s="10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02"/>
      <c r="AU631" s="502"/>
      <c r="AV631" s="606"/>
      <c r="AW631" s="502"/>
      <c r="AX631" s="502"/>
      <c r="AY631" s="502"/>
      <c r="AZ631" s="502"/>
      <c r="BA631" s="502"/>
      <c r="BB631" s="502"/>
      <c r="BC631" s="502"/>
      <c r="BD631" s="502"/>
      <c r="BE631" s="502"/>
      <c r="BF631" s="502"/>
      <c r="BG631" s="502"/>
      <c r="BH631" s="502"/>
      <c r="BI631" s="502"/>
      <c r="BJ631" s="502"/>
      <c r="BK631" s="502"/>
      <c r="BL631" s="502"/>
      <c r="BM631" s="502"/>
      <c r="BN631" s="502"/>
      <c r="BO631" s="502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</row>
    <row r="632" s="504" customFormat="true" ht="12.75" hidden="true" customHeight="true" outlineLevel="0" collapsed="false">
      <c r="A632" s="5"/>
      <c r="B632" s="813" t="n">
        <f aca="false">B631+1</f>
        <v>417</v>
      </c>
      <c r="C632" s="814" t="n">
        <f aca="false">C631+D632</f>
        <v>46382.4082375842</v>
      </c>
      <c r="D632" s="815" t="n">
        <f aca="false">E632*$E$205*M632</f>
        <v>145.05722091089</v>
      </c>
      <c r="E632" s="601" t="n">
        <f aca="false">E631+$C$204</f>
        <v>9.1994686016546</v>
      </c>
      <c r="F632" s="816" t="n">
        <f aca="false">F631+1</f>
        <v>417</v>
      </c>
      <c r="G632" s="775" t="n">
        <f aca="false">C632</f>
        <v>46382.4082375842</v>
      </c>
      <c r="H632" s="817" t="n">
        <f aca="false">1000*(E632-E631)</f>
        <v>9.99999999999979</v>
      </c>
      <c r="I632" s="5"/>
      <c r="J632" s="818" t="n">
        <f aca="false">1000*(E632-$E$215)/(B632-$B$215)</f>
        <v>13.774268174033</v>
      </c>
      <c r="K632" s="732" t="n">
        <f aca="false">AVERAGE($E$216:E632)</f>
        <v>7.10124318199038</v>
      </c>
      <c r="L632" s="819" t="n">
        <f aca="false">L631+1</f>
        <v>417</v>
      </c>
      <c r="M632" s="820" t="n">
        <f aca="false">IF(B632&lt;$E$104,$E$105,$E$106)</f>
        <v>3</v>
      </c>
      <c r="N632" s="821" t="n">
        <f aca="false">IF(B632&lt;$E$104,$E$105,$E$111)</f>
        <v>2.5</v>
      </c>
      <c r="O632" s="822" t="n">
        <f aca="false">E632*$E$205*N632</f>
        <v>120.881017425741</v>
      </c>
      <c r="P632" s="823" t="n">
        <f aca="false">P631+O632</f>
        <v>38703.6874650297</v>
      </c>
      <c r="Q632" s="606" t="n">
        <f aca="false">Q631+1</f>
        <v>417</v>
      </c>
      <c r="R632" s="824" t="n">
        <f aca="false">R631-1</f>
        <v>-417</v>
      </c>
      <c r="S632" s="5"/>
      <c r="T632" s="5"/>
      <c r="U632" s="5"/>
      <c r="V632" s="10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02"/>
      <c r="AU632" s="502"/>
      <c r="AV632" s="606"/>
      <c r="AW632" s="502"/>
      <c r="AX632" s="502"/>
      <c r="AY632" s="502"/>
      <c r="AZ632" s="502"/>
      <c r="BA632" s="502"/>
      <c r="BB632" s="502"/>
      <c r="BC632" s="502"/>
      <c r="BD632" s="502"/>
      <c r="BE632" s="502"/>
      <c r="BF632" s="502"/>
      <c r="BG632" s="502"/>
      <c r="BH632" s="502"/>
      <c r="BI632" s="502"/>
      <c r="BJ632" s="502"/>
      <c r="BK632" s="502"/>
      <c r="BL632" s="502"/>
      <c r="BM632" s="502"/>
      <c r="BN632" s="502"/>
      <c r="BO632" s="502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</row>
    <row r="633" s="504" customFormat="true" ht="12.75" hidden="true" customHeight="true" outlineLevel="0" collapsed="false">
      <c r="A633" s="5"/>
      <c r="B633" s="813" t="n">
        <f aca="false">B632+1</f>
        <v>418</v>
      </c>
      <c r="C633" s="814" t="n">
        <f aca="false">C632+D633</f>
        <v>46527.6231384951</v>
      </c>
      <c r="D633" s="815" t="n">
        <f aca="false">E633*$E$205*M633</f>
        <v>145.21490091089</v>
      </c>
      <c r="E633" s="601" t="n">
        <f aca="false">E632+$C$204</f>
        <v>9.2094686016546</v>
      </c>
      <c r="F633" s="816" t="n">
        <f aca="false">F632+1</f>
        <v>418</v>
      </c>
      <c r="G633" s="775" t="n">
        <f aca="false">C633</f>
        <v>46527.6231384951</v>
      </c>
      <c r="H633" s="817" t="n">
        <f aca="false">1000*(E633-E632)</f>
        <v>9.99999999999979</v>
      </c>
      <c r="I633" s="5"/>
      <c r="J633" s="818" t="n">
        <f aca="false">1000*(E633-$E$215)/(B633-$B$215)</f>
        <v>13.7652388243343</v>
      </c>
      <c r="K633" s="732" t="n">
        <f aca="false">AVERAGE($E$216:E633)</f>
        <v>7.10628678347283</v>
      </c>
      <c r="L633" s="819" t="n">
        <f aca="false">L632+1</f>
        <v>418</v>
      </c>
      <c r="M633" s="820" t="n">
        <f aca="false">IF(B633&lt;$E$104,$E$105,$E$106)</f>
        <v>3</v>
      </c>
      <c r="N633" s="821" t="n">
        <f aca="false">IF(B633&lt;$E$104,$E$105,$E$111)</f>
        <v>2.5</v>
      </c>
      <c r="O633" s="822" t="n">
        <f aca="false">E633*$E$205*N633</f>
        <v>121.012417425741</v>
      </c>
      <c r="P633" s="823" t="n">
        <f aca="false">P632+O633</f>
        <v>38824.6998824554</v>
      </c>
      <c r="Q633" s="606" t="n">
        <f aca="false">Q632+1</f>
        <v>418</v>
      </c>
      <c r="R633" s="824" t="n">
        <f aca="false">R632-1</f>
        <v>-418</v>
      </c>
      <c r="S633" s="5"/>
      <c r="T633" s="5"/>
      <c r="U633" s="5"/>
      <c r="V633" s="10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02"/>
      <c r="AU633" s="502"/>
      <c r="AV633" s="606"/>
      <c r="AW633" s="502"/>
      <c r="AX633" s="502"/>
      <c r="AY633" s="502"/>
      <c r="AZ633" s="502"/>
      <c r="BA633" s="502"/>
      <c r="BB633" s="502"/>
      <c r="BC633" s="502"/>
      <c r="BD633" s="502"/>
      <c r="BE633" s="502"/>
      <c r="BF633" s="502"/>
      <c r="BG633" s="502"/>
      <c r="BH633" s="502"/>
      <c r="BI633" s="502"/>
      <c r="BJ633" s="502"/>
      <c r="BK633" s="502"/>
      <c r="BL633" s="502"/>
      <c r="BM633" s="502"/>
      <c r="BN633" s="502"/>
      <c r="BO633" s="502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</row>
    <row r="634" s="504" customFormat="true" ht="12.75" hidden="true" customHeight="true" outlineLevel="0" collapsed="false">
      <c r="A634" s="5"/>
      <c r="B634" s="813" t="n">
        <f aca="false">B633+1</f>
        <v>419</v>
      </c>
      <c r="C634" s="814" t="n">
        <f aca="false">C633+D634</f>
        <v>46672.9957194059</v>
      </c>
      <c r="D634" s="815" t="n">
        <f aca="false">E634*$E$205*M634</f>
        <v>145.37258091089</v>
      </c>
      <c r="E634" s="601" t="n">
        <f aca="false">E633+$C$204</f>
        <v>9.2194686016546</v>
      </c>
      <c r="F634" s="816" t="n">
        <f aca="false">F633+1</f>
        <v>419</v>
      </c>
      <c r="G634" s="775" t="n">
        <f aca="false">C634</f>
        <v>46672.9957194059</v>
      </c>
      <c r="H634" s="817" t="n">
        <f aca="false">1000*(E634-E633)</f>
        <v>9.99999999999979</v>
      </c>
      <c r="I634" s="5"/>
      <c r="J634" s="818" t="n">
        <f aca="false">1000*(E634-$E$215)/(B634-$B$215)</f>
        <v>13.7562525741569</v>
      </c>
      <c r="K634" s="732" t="n">
        <f aca="false">AVERAGE($E$216:E634)</f>
        <v>7.11133017683364</v>
      </c>
      <c r="L634" s="819" t="n">
        <f aca="false">L633+1</f>
        <v>419</v>
      </c>
      <c r="M634" s="820" t="n">
        <f aca="false">IF(B634&lt;$E$104,$E$105,$E$106)</f>
        <v>3</v>
      </c>
      <c r="N634" s="821" t="n">
        <f aca="false">IF(B634&lt;$E$104,$E$105,$E$111)</f>
        <v>2.5</v>
      </c>
      <c r="O634" s="822" t="n">
        <f aca="false">E634*$E$205*N634</f>
        <v>121.143817425741</v>
      </c>
      <c r="P634" s="823" t="n">
        <f aca="false">P633+O634</f>
        <v>38945.8436998812</v>
      </c>
      <c r="Q634" s="606" t="n">
        <f aca="false">Q633+1</f>
        <v>419</v>
      </c>
      <c r="R634" s="824" t="n">
        <f aca="false">R633-1</f>
        <v>-419</v>
      </c>
      <c r="S634" s="5"/>
      <c r="T634" s="5"/>
      <c r="U634" s="5"/>
      <c r="V634" s="10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02"/>
      <c r="AU634" s="502"/>
      <c r="AV634" s="606"/>
      <c r="AW634" s="502"/>
      <c r="AX634" s="502"/>
      <c r="AY634" s="502"/>
      <c r="AZ634" s="502"/>
      <c r="BA634" s="502"/>
      <c r="BB634" s="502"/>
      <c r="BC634" s="502"/>
      <c r="BD634" s="502"/>
      <c r="BE634" s="502"/>
      <c r="BF634" s="502"/>
      <c r="BG634" s="502"/>
      <c r="BH634" s="502"/>
      <c r="BI634" s="502"/>
      <c r="BJ634" s="502"/>
      <c r="BK634" s="502"/>
      <c r="BL634" s="502"/>
      <c r="BM634" s="502"/>
      <c r="BN634" s="502"/>
      <c r="BO634" s="502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</row>
    <row r="635" s="504" customFormat="true" ht="12.75" hidden="true" customHeight="true" outlineLevel="0" collapsed="false">
      <c r="A635" s="5"/>
      <c r="B635" s="813" t="n">
        <f aca="false">B634+1</f>
        <v>420</v>
      </c>
      <c r="C635" s="814" t="n">
        <f aca="false">C634+D635</f>
        <v>46818.5259803168</v>
      </c>
      <c r="D635" s="815" t="n">
        <f aca="false">E635*$E$205*M635</f>
        <v>145.53026091089</v>
      </c>
      <c r="E635" s="601" t="n">
        <f aca="false">E634+$C$204</f>
        <v>9.2294686016546</v>
      </c>
      <c r="F635" s="816" t="n">
        <f aca="false">F634+1</f>
        <v>420</v>
      </c>
      <c r="G635" s="775" t="n">
        <f aca="false">C635</f>
        <v>46818.5259803168</v>
      </c>
      <c r="H635" s="817" t="n">
        <f aca="false">1000*(E635-E634)</f>
        <v>9.99999999999979</v>
      </c>
      <c r="I635" s="5"/>
      <c r="J635" s="818" t="n">
        <f aca="false">1000*(E635-$E$215)/(B635-$B$215)</f>
        <v>13.747309115647</v>
      </c>
      <c r="K635" s="732" t="n">
        <f aca="false">AVERAGE($E$216:E635)</f>
        <v>7.11637336355941</v>
      </c>
      <c r="L635" s="819" t="n">
        <f aca="false">L634+1</f>
        <v>420</v>
      </c>
      <c r="M635" s="820" t="n">
        <f aca="false">IF(B635&lt;$E$104,$E$105,$E$106)</f>
        <v>3</v>
      </c>
      <c r="N635" s="821" t="n">
        <f aca="false">IF(B635&lt;$E$104,$E$105,$E$111)</f>
        <v>2.5</v>
      </c>
      <c r="O635" s="822" t="n">
        <f aca="false">E635*$E$205*N635</f>
        <v>121.275217425741</v>
      </c>
      <c r="P635" s="823" t="n">
        <f aca="false">P634+O635</f>
        <v>39067.1189173069</v>
      </c>
      <c r="Q635" s="606" t="n">
        <f aca="false">Q634+1</f>
        <v>420</v>
      </c>
      <c r="R635" s="824" t="n">
        <f aca="false">R634-1</f>
        <v>-420</v>
      </c>
      <c r="S635" s="5"/>
      <c r="T635" s="5"/>
      <c r="U635" s="5"/>
      <c r="V635" s="10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02"/>
      <c r="AU635" s="502"/>
      <c r="AV635" s="606"/>
      <c r="AW635" s="502"/>
      <c r="AX635" s="502"/>
      <c r="AY635" s="502"/>
      <c r="AZ635" s="502"/>
      <c r="BA635" s="502"/>
      <c r="BB635" s="502"/>
      <c r="BC635" s="502"/>
      <c r="BD635" s="502"/>
      <c r="BE635" s="502"/>
      <c r="BF635" s="502"/>
      <c r="BG635" s="502"/>
      <c r="BH635" s="502"/>
      <c r="BI635" s="502"/>
      <c r="BJ635" s="502"/>
      <c r="BK635" s="502"/>
      <c r="BL635" s="502"/>
      <c r="BM635" s="502"/>
      <c r="BN635" s="502"/>
      <c r="BO635" s="502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</row>
    <row r="636" s="504" customFormat="true" ht="12.75" hidden="true" customHeight="true" outlineLevel="0" collapsed="false">
      <c r="A636" s="5"/>
      <c r="B636" s="813" t="n">
        <f aca="false">B635+1</f>
        <v>421</v>
      </c>
      <c r="C636" s="814" t="n">
        <f aca="false">C635+D636</f>
        <v>46964.2139212277</v>
      </c>
      <c r="D636" s="815" t="n">
        <f aca="false">E636*$E$205*M636</f>
        <v>145.68794091089</v>
      </c>
      <c r="E636" s="601" t="n">
        <f aca="false">E635+$C$204</f>
        <v>9.2394686016546</v>
      </c>
      <c r="F636" s="816" t="n">
        <f aca="false">F635+1</f>
        <v>421</v>
      </c>
      <c r="G636" s="775" t="n">
        <f aca="false">C636</f>
        <v>46964.2139212277</v>
      </c>
      <c r="H636" s="817" t="n">
        <f aca="false">1000*(E636-E635)</f>
        <v>9.99999999999979</v>
      </c>
      <c r="I636" s="5"/>
      <c r="J636" s="818" t="n">
        <f aca="false">1000*(E636-$E$215)/(B636-$B$215)</f>
        <v>13.7384081438759</v>
      </c>
      <c r="K636" s="732" t="n">
        <f aca="false">AVERAGE($E$216:E636)</f>
        <v>7.12141634512258</v>
      </c>
      <c r="L636" s="819" t="n">
        <f aca="false">L635+1</f>
        <v>421</v>
      </c>
      <c r="M636" s="820" t="n">
        <f aca="false">IF(B636&lt;$E$104,$E$105,$E$106)</f>
        <v>3</v>
      </c>
      <c r="N636" s="821" t="n">
        <f aca="false">IF(B636&lt;$E$104,$E$105,$E$111)</f>
        <v>2.5</v>
      </c>
      <c r="O636" s="822" t="n">
        <f aca="false">E636*$E$205*N636</f>
        <v>121.406617425741</v>
      </c>
      <c r="P636" s="823" t="n">
        <f aca="false">P635+O636</f>
        <v>39188.5255347326</v>
      </c>
      <c r="Q636" s="606" t="n">
        <f aca="false">Q635+1</f>
        <v>421</v>
      </c>
      <c r="R636" s="824" t="n">
        <f aca="false">R635-1</f>
        <v>-421</v>
      </c>
      <c r="S636" s="5"/>
      <c r="T636" s="5"/>
      <c r="U636" s="5"/>
      <c r="V636" s="10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02"/>
      <c r="AU636" s="502"/>
      <c r="AV636" s="606"/>
      <c r="AW636" s="502"/>
      <c r="AX636" s="502"/>
      <c r="AY636" s="502"/>
      <c r="AZ636" s="502"/>
      <c r="BA636" s="502"/>
      <c r="BB636" s="502"/>
      <c r="BC636" s="502"/>
      <c r="BD636" s="502"/>
      <c r="BE636" s="502"/>
      <c r="BF636" s="502"/>
      <c r="BG636" s="502"/>
      <c r="BH636" s="502"/>
      <c r="BI636" s="502"/>
      <c r="BJ636" s="502"/>
      <c r="BK636" s="502"/>
      <c r="BL636" s="502"/>
      <c r="BM636" s="502"/>
      <c r="BN636" s="502"/>
      <c r="BO636" s="502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</row>
    <row r="637" s="504" customFormat="true" ht="12.75" hidden="true" customHeight="true" outlineLevel="0" collapsed="false">
      <c r="A637" s="5"/>
      <c r="B637" s="813" t="n">
        <f aca="false">B636+1</f>
        <v>422</v>
      </c>
      <c r="C637" s="814" t="n">
        <f aca="false">C636+D637</f>
        <v>47110.0595421386</v>
      </c>
      <c r="D637" s="815" t="n">
        <f aca="false">E637*$E$205*M637</f>
        <v>145.84562091089</v>
      </c>
      <c r="E637" s="601" t="n">
        <f aca="false">E636+$C$204</f>
        <v>9.2494686016546</v>
      </c>
      <c r="F637" s="816" t="n">
        <f aca="false">F636+1</f>
        <v>422</v>
      </c>
      <c r="G637" s="775" t="n">
        <f aca="false">C637</f>
        <v>47110.0595421386</v>
      </c>
      <c r="H637" s="817" t="n">
        <f aca="false">1000*(E637-E636)</f>
        <v>9.99999999999979</v>
      </c>
      <c r="I637" s="5"/>
      <c r="J637" s="818" t="n">
        <f aca="false">1000*(E637-$E$215)/(B637-$B$215)</f>
        <v>13.7295493568051</v>
      </c>
      <c r="K637" s="732" t="n">
        <f aca="false">AVERAGE($E$216:E637)</f>
        <v>7.12645912298166</v>
      </c>
      <c r="L637" s="819" t="n">
        <f aca="false">L636+1</f>
        <v>422</v>
      </c>
      <c r="M637" s="820" t="n">
        <f aca="false">IF(B637&lt;$E$104,$E$105,$E$106)</f>
        <v>3</v>
      </c>
      <c r="N637" s="821" t="n">
        <f aca="false">IF(B637&lt;$E$104,$E$105,$E$111)</f>
        <v>2.5</v>
      </c>
      <c r="O637" s="822" t="n">
        <f aca="false">E637*$E$205*N637</f>
        <v>121.538017425741</v>
      </c>
      <c r="P637" s="823" t="n">
        <f aca="false">P636+O637</f>
        <v>39310.0635521584</v>
      </c>
      <c r="Q637" s="606" t="n">
        <f aca="false">Q636+1</f>
        <v>422</v>
      </c>
      <c r="R637" s="824" t="n">
        <f aca="false">R636-1</f>
        <v>-422</v>
      </c>
      <c r="S637" s="5"/>
      <c r="T637" s="5"/>
      <c r="U637" s="5"/>
      <c r="V637" s="10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02"/>
      <c r="AU637" s="502"/>
      <c r="AV637" s="606"/>
      <c r="AW637" s="502"/>
      <c r="AX637" s="502"/>
      <c r="AY637" s="502"/>
      <c r="AZ637" s="502"/>
      <c r="BA637" s="502"/>
      <c r="BB637" s="502"/>
      <c r="BC637" s="502"/>
      <c r="BD637" s="502"/>
      <c r="BE637" s="502"/>
      <c r="BF637" s="502"/>
      <c r="BG637" s="502"/>
      <c r="BH637" s="502"/>
      <c r="BI637" s="502"/>
      <c r="BJ637" s="502"/>
      <c r="BK637" s="502"/>
      <c r="BL637" s="502"/>
      <c r="BM637" s="502"/>
      <c r="BN637" s="502"/>
      <c r="BO637" s="502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</row>
    <row r="638" s="504" customFormat="true" ht="12.75" hidden="true" customHeight="true" outlineLevel="0" collapsed="false">
      <c r="A638" s="5"/>
      <c r="B638" s="813" t="n">
        <f aca="false">B637+1</f>
        <v>423</v>
      </c>
      <c r="C638" s="814" t="n">
        <f aca="false">C637+D638</f>
        <v>47256.0628430495</v>
      </c>
      <c r="D638" s="815" t="n">
        <f aca="false">E638*$E$205*M638</f>
        <v>146.00330091089</v>
      </c>
      <c r="E638" s="601" t="n">
        <f aca="false">E637+$C$204</f>
        <v>9.2594686016546</v>
      </c>
      <c r="F638" s="816" t="n">
        <f aca="false">F637+1</f>
        <v>423</v>
      </c>
      <c r="G638" s="775" t="n">
        <f aca="false">C638</f>
        <v>47256.0628430495</v>
      </c>
      <c r="H638" s="817" t="n">
        <f aca="false">1000*(E638-E637)</f>
        <v>9.99999999999979</v>
      </c>
      <c r="I638" s="5"/>
      <c r="J638" s="818" t="n">
        <f aca="false">1000*(E638-$E$215)/(B638-$B$215)</f>
        <v>13.7207324552524</v>
      </c>
      <c r="K638" s="732" t="n">
        <f aca="false">AVERAGE($E$216:E638)</f>
        <v>7.13150169858136</v>
      </c>
      <c r="L638" s="819" t="n">
        <f aca="false">L637+1</f>
        <v>423</v>
      </c>
      <c r="M638" s="820" t="n">
        <f aca="false">IF(B638&lt;$E$104,$E$105,$E$106)</f>
        <v>3</v>
      </c>
      <c r="N638" s="821" t="n">
        <f aca="false">IF(B638&lt;$E$104,$E$105,$E$111)</f>
        <v>2.5</v>
      </c>
      <c r="O638" s="822" t="n">
        <f aca="false">E638*$E$205*N638</f>
        <v>121.669417425741</v>
      </c>
      <c r="P638" s="823" t="n">
        <f aca="false">P637+O638</f>
        <v>39431.7329695841</v>
      </c>
      <c r="Q638" s="606" t="n">
        <f aca="false">Q637+1</f>
        <v>423</v>
      </c>
      <c r="R638" s="824" t="n">
        <f aca="false">R637-1</f>
        <v>-423</v>
      </c>
      <c r="S638" s="5"/>
      <c r="T638" s="5"/>
      <c r="U638" s="5"/>
      <c r="V638" s="10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02"/>
      <c r="AU638" s="502"/>
      <c r="AV638" s="606"/>
      <c r="AW638" s="502"/>
      <c r="AX638" s="502"/>
      <c r="AY638" s="502"/>
      <c r="AZ638" s="502"/>
      <c r="BA638" s="502"/>
      <c r="BB638" s="502"/>
      <c r="BC638" s="502"/>
      <c r="BD638" s="502"/>
      <c r="BE638" s="502"/>
      <c r="BF638" s="502"/>
      <c r="BG638" s="502"/>
      <c r="BH638" s="502"/>
      <c r="BI638" s="502"/>
      <c r="BJ638" s="502"/>
      <c r="BK638" s="502"/>
      <c r="BL638" s="502"/>
      <c r="BM638" s="502"/>
      <c r="BN638" s="502"/>
      <c r="BO638" s="502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</row>
    <row r="639" s="504" customFormat="true" ht="12.75" hidden="true" customHeight="true" outlineLevel="0" collapsed="false">
      <c r="A639" s="5"/>
      <c r="B639" s="813" t="n">
        <f aca="false">B638+1</f>
        <v>424</v>
      </c>
      <c r="C639" s="814" t="n">
        <f aca="false">C638+D639</f>
        <v>47402.2238239604</v>
      </c>
      <c r="D639" s="815" t="n">
        <f aca="false">E639*$E$205*M639</f>
        <v>146.16098091089</v>
      </c>
      <c r="E639" s="601" t="n">
        <f aca="false">E638+$C$204</f>
        <v>9.2694686016546</v>
      </c>
      <c r="F639" s="816" t="n">
        <f aca="false">F638+1</f>
        <v>424</v>
      </c>
      <c r="G639" s="775" t="n">
        <f aca="false">C639</f>
        <v>47402.2238239604</v>
      </c>
      <c r="H639" s="817" t="n">
        <f aca="false">1000*(E639-E638)</f>
        <v>9.99999999999979</v>
      </c>
      <c r="I639" s="5"/>
      <c r="J639" s="818" t="n">
        <f aca="false">1000*(E639-$E$215)/(B639-$B$215)</f>
        <v>13.7119571428579</v>
      </c>
      <c r="K639" s="732" t="n">
        <f aca="false">AVERAGE($E$216:E639)</f>
        <v>7.13654407335276</v>
      </c>
      <c r="L639" s="819" t="n">
        <f aca="false">L638+1</f>
        <v>424</v>
      </c>
      <c r="M639" s="820" t="n">
        <f aca="false">IF(B639&lt;$E$104,$E$105,$E$106)</f>
        <v>3</v>
      </c>
      <c r="N639" s="821" t="n">
        <f aca="false">IF(B639&lt;$E$104,$E$105,$E$111)</f>
        <v>2.5</v>
      </c>
      <c r="O639" s="822" t="n">
        <f aca="false">E639*$E$205*N639</f>
        <v>121.800817425741</v>
      </c>
      <c r="P639" s="823" t="n">
        <f aca="false">P638+O639</f>
        <v>39553.5337870099</v>
      </c>
      <c r="Q639" s="606" t="n">
        <f aca="false">Q638+1</f>
        <v>424</v>
      </c>
      <c r="R639" s="824" t="n">
        <f aca="false">R638-1</f>
        <v>-424</v>
      </c>
      <c r="S639" s="5"/>
      <c r="T639" s="5"/>
      <c r="U639" s="5"/>
      <c r="V639" s="10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02"/>
      <c r="AU639" s="502"/>
      <c r="AV639" s="606"/>
      <c r="AW639" s="502"/>
      <c r="AX639" s="502"/>
      <c r="AY639" s="502"/>
      <c r="AZ639" s="502"/>
      <c r="BA639" s="502"/>
      <c r="BB639" s="502"/>
      <c r="BC639" s="502"/>
      <c r="BD639" s="502"/>
      <c r="BE639" s="502"/>
      <c r="BF639" s="502"/>
      <c r="BG639" s="502"/>
      <c r="BH639" s="502"/>
      <c r="BI639" s="502"/>
      <c r="BJ639" s="502"/>
      <c r="BK639" s="502"/>
      <c r="BL639" s="502"/>
      <c r="BM639" s="502"/>
      <c r="BN639" s="502"/>
      <c r="BO639" s="502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</row>
    <row r="640" s="504" customFormat="true" ht="12.75" hidden="true" customHeight="true" outlineLevel="0" collapsed="false">
      <c r="A640" s="5"/>
      <c r="B640" s="813" t="n">
        <f aca="false">B639+1</f>
        <v>425</v>
      </c>
      <c r="C640" s="814" t="n">
        <f aca="false">C639+D640</f>
        <v>47548.5424848713</v>
      </c>
      <c r="D640" s="815" t="n">
        <f aca="false">E640*$E$205*M640</f>
        <v>146.31866091089</v>
      </c>
      <c r="E640" s="601" t="n">
        <f aca="false">E639+$C$204</f>
        <v>9.2794686016546</v>
      </c>
      <c r="F640" s="816" t="n">
        <f aca="false">F639+1</f>
        <v>425</v>
      </c>
      <c r="G640" s="775" t="n">
        <f aca="false">C640</f>
        <v>47548.5424848713</v>
      </c>
      <c r="H640" s="817" t="n">
        <f aca="false">1000*(E640-E639)</f>
        <v>9.99999999999979</v>
      </c>
      <c r="I640" s="5"/>
      <c r="J640" s="818" t="n">
        <f aca="false">1000*(E640-$E$215)/(B640-$B$215)</f>
        <v>13.7032231260512</v>
      </c>
      <c r="K640" s="732" t="n">
        <f aca="false">AVERAGE($E$216:E640)</f>
        <v>7.14158624871347</v>
      </c>
      <c r="L640" s="819" t="n">
        <f aca="false">L639+1</f>
        <v>425</v>
      </c>
      <c r="M640" s="820" t="n">
        <f aca="false">IF(B640&lt;$E$104,$E$105,$E$106)</f>
        <v>3</v>
      </c>
      <c r="N640" s="821" t="n">
        <f aca="false">IF(B640&lt;$E$104,$E$105,$E$111)</f>
        <v>2.5</v>
      </c>
      <c r="O640" s="822" t="n">
        <f aca="false">E640*$E$205*N640</f>
        <v>121.932217425741</v>
      </c>
      <c r="P640" s="823" t="n">
        <f aca="false">P639+O640</f>
        <v>39675.4660044356</v>
      </c>
      <c r="Q640" s="606" t="n">
        <f aca="false">Q639+1</f>
        <v>425</v>
      </c>
      <c r="R640" s="824" t="n">
        <f aca="false">R639-1</f>
        <v>-425</v>
      </c>
      <c r="S640" s="5"/>
      <c r="T640" s="5"/>
      <c r="U640" s="5"/>
      <c r="V640" s="10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02"/>
      <c r="AU640" s="502"/>
      <c r="AV640" s="606"/>
      <c r="AW640" s="502"/>
      <c r="AX640" s="502"/>
      <c r="AY640" s="502"/>
      <c r="AZ640" s="502"/>
      <c r="BA640" s="502"/>
      <c r="BB640" s="502"/>
      <c r="BC640" s="502"/>
      <c r="BD640" s="502"/>
      <c r="BE640" s="502"/>
      <c r="BF640" s="502"/>
      <c r="BG640" s="502"/>
      <c r="BH640" s="502"/>
      <c r="BI640" s="502"/>
      <c r="BJ640" s="502"/>
      <c r="BK640" s="502"/>
      <c r="BL640" s="502"/>
      <c r="BM640" s="502"/>
      <c r="BN640" s="502"/>
      <c r="BO640" s="502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</row>
    <row r="641" s="504" customFormat="true" ht="12.75" hidden="true" customHeight="true" outlineLevel="0" collapsed="false">
      <c r="A641" s="5"/>
      <c r="B641" s="813" t="n">
        <f aca="false">B640+1</f>
        <v>426</v>
      </c>
      <c r="C641" s="814" t="n">
        <f aca="false">C640+D641</f>
        <v>47695.0188257822</v>
      </c>
      <c r="D641" s="815" t="n">
        <f aca="false">E641*$E$205*M641</f>
        <v>146.47634091089</v>
      </c>
      <c r="E641" s="601" t="n">
        <f aca="false">E640+$C$204</f>
        <v>9.2894686016546</v>
      </c>
      <c r="F641" s="816" t="n">
        <f aca="false">F640+1</f>
        <v>426</v>
      </c>
      <c r="G641" s="775" t="n">
        <f aca="false">C641</f>
        <v>47695.0188257822</v>
      </c>
      <c r="H641" s="817" t="n">
        <f aca="false">1000*(E641-E640)</f>
        <v>9.99999999999979</v>
      </c>
      <c r="I641" s="5"/>
      <c r="J641" s="818" t="n">
        <f aca="false">1000*(E641-$E$215)/(B641-$B$215)</f>
        <v>13.6945301140182</v>
      </c>
      <c r="K641" s="732" t="n">
        <f aca="false">AVERAGE($E$216:E641)</f>
        <v>7.14662822606779</v>
      </c>
      <c r="L641" s="819" t="n">
        <f aca="false">L640+1</f>
        <v>426</v>
      </c>
      <c r="M641" s="820" t="n">
        <f aca="false">IF(B641&lt;$E$104,$E$105,$E$106)</f>
        <v>3</v>
      </c>
      <c r="N641" s="821" t="n">
        <f aca="false">IF(B641&lt;$E$104,$E$105,$E$111)</f>
        <v>2.5</v>
      </c>
      <c r="O641" s="822" t="n">
        <f aca="false">E641*$E$205*N641</f>
        <v>122.063617425741</v>
      </c>
      <c r="P641" s="823" t="n">
        <f aca="false">P640+O641</f>
        <v>39797.5296218613</v>
      </c>
      <c r="Q641" s="606" t="n">
        <f aca="false">Q640+1</f>
        <v>426</v>
      </c>
      <c r="R641" s="824" t="n">
        <f aca="false">R640-1</f>
        <v>-426</v>
      </c>
      <c r="S641" s="5"/>
      <c r="T641" s="5"/>
      <c r="U641" s="5"/>
      <c r="V641" s="10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02"/>
      <c r="AU641" s="502"/>
      <c r="AV641" s="606"/>
      <c r="AW641" s="502"/>
      <c r="AX641" s="502"/>
      <c r="AY641" s="502"/>
      <c r="AZ641" s="502"/>
      <c r="BA641" s="502"/>
      <c r="BB641" s="502"/>
      <c r="BC641" s="502"/>
      <c r="BD641" s="502"/>
      <c r="BE641" s="502"/>
      <c r="BF641" s="502"/>
      <c r="BG641" s="502"/>
      <c r="BH641" s="502"/>
      <c r="BI641" s="502"/>
      <c r="BJ641" s="502"/>
      <c r="BK641" s="502"/>
      <c r="BL641" s="502"/>
      <c r="BM641" s="502"/>
      <c r="BN641" s="502"/>
      <c r="BO641" s="502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</row>
    <row r="642" s="504" customFormat="true" ht="12.75" hidden="true" customHeight="true" outlineLevel="0" collapsed="false">
      <c r="A642" s="5"/>
      <c r="B642" s="813" t="n">
        <f aca="false">B641+1</f>
        <v>427</v>
      </c>
      <c r="C642" s="814" t="n">
        <f aca="false">C641+D642</f>
        <v>47841.6528466931</v>
      </c>
      <c r="D642" s="815" t="n">
        <f aca="false">E642*$E$205*M642</f>
        <v>146.63402091089</v>
      </c>
      <c r="E642" s="601" t="n">
        <f aca="false">E641+$C$204</f>
        <v>9.2994686016546</v>
      </c>
      <c r="F642" s="816" t="n">
        <f aca="false">F641+1</f>
        <v>427</v>
      </c>
      <c r="G642" s="775" t="n">
        <f aca="false">C642</f>
        <v>47841.6528466931</v>
      </c>
      <c r="H642" s="817" t="n">
        <f aca="false">1000*(E642-E641)</f>
        <v>9.99999999999979</v>
      </c>
      <c r="I642" s="5"/>
      <c r="J642" s="818" t="n">
        <f aca="false">1000*(E642-$E$215)/(B642-$B$215)</f>
        <v>13.6858778186692</v>
      </c>
      <c r="K642" s="732" t="n">
        <f aca="false">AVERAGE($E$216:E642)</f>
        <v>7.15167000680687</v>
      </c>
      <c r="L642" s="819" t="n">
        <f aca="false">L641+1</f>
        <v>427</v>
      </c>
      <c r="M642" s="820" t="n">
        <f aca="false">IF(B642&lt;$E$104,$E$105,$E$106)</f>
        <v>3</v>
      </c>
      <c r="N642" s="821" t="n">
        <f aca="false">IF(B642&lt;$E$104,$E$105,$E$111)</f>
        <v>2.5</v>
      </c>
      <c r="O642" s="822" t="n">
        <f aca="false">E642*$E$205*N642</f>
        <v>122.195017425741</v>
      </c>
      <c r="P642" s="823" t="n">
        <f aca="false">P641+O642</f>
        <v>39919.7246392871</v>
      </c>
      <c r="Q642" s="606" t="n">
        <f aca="false">Q641+1</f>
        <v>427</v>
      </c>
      <c r="R642" s="824" t="n">
        <f aca="false">R641-1</f>
        <v>-427</v>
      </c>
      <c r="S642" s="5"/>
      <c r="T642" s="5"/>
      <c r="U642" s="5"/>
      <c r="V642" s="10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02"/>
      <c r="AU642" s="502"/>
      <c r="AV642" s="606"/>
      <c r="AW642" s="502"/>
      <c r="AX642" s="502"/>
      <c r="AY642" s="502"/>
      <c r="AZ642" s="502"/>
      <c r="BA642" s="502"/>
      <c r="BB642" s="502"/>
      <c r="BC642" s="502"/>
      <c r="BD642" s="502"/>
      <c r="BE642" s="502"/>
      <c r="BF642" s="502"/>
      <c r="BG642" s="502"/>
      <c r="BH642" s="502"/>
      <c r="BI642" s="502"/>
      <c r="BJ642" s="502"/>
      <c r="BK642" s="502"/>
      <c r="BL642" s="502"/>
      <c r="BM642" s="502"/>
      <c r="BN642" s="502"/>
      <c r="BO642" s="502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</row>
    <row r="643" s="504" customFormat="true" ht="12.75" hidden="true" customHeight="true" outlineLevel="0" collapsed="false">
      <c r="A643" s="5"/>
      <c r="B643" s="813" t="n">
        <f aca="false">B642+1</f>
        <v>428</v>
      </c>
      <c r="C643" s="814" t="n">
        <f aca="false">C642+D643</f>
        <v>47988.444547604</v>
      </c>
      <c r="D643" s="815" t="n">
        <f aca="false">E643*$E$205*M643</f>
        <v>146.79170091089</v>
      </c>
      <c r="E643" s="601" t="n">
        <f aca="false">E642+$C$204</f>
        <v>9.3094686016546</v>
      </c>
      <c r="F643" s="816" t="n">
        <f aca="false">F642+1</f>
        <v>428</v>
      </c>
      <c r="G643" s="775" t="n">
        <f aca="false">C643</f>
        <v>47988.444547604</v>
      </c>
      <c r="H643" s="817" t="n">
        <f aca="false">1000*(E643-E642)</f>
        <v>9.99999999999979</v>
      </c>
      <c r="I643" s="5"/>
      <c r="J643" s="818" t="n">
        <f aca="false">1000*(E643-$E$215)/(B643-$B$215)</f>
        <v>13.6772659546069</v>
      </c>
      <c r="K643" s="732" t="n">
        <f aca="false">AVERAGE($E$216:E643)</f>
        <v>7.15671159230885</v>
      </c>
      <c r="L643" s="819" t="n">
        <f aca="false">L642+1</f>
        <v>428</v>
      </c>
      <c r="M643" s="820" t="n">
        <f aca="false">IF(B643&lt;$E$104,$E$105,$E$106)</f>
        <v>3</v>
      </c>
      <c r="N643" s="821" t="n">
        <f aca="false">IF(B643&lt;$E$104,$E$105,$E$111)</f>
        <v>2.5</v>
      </c>
      <c r="O643" s="822" t="n">
        <f aca="false">E643*$E$205*N643</f>
        <v>122.326417425741</v>
      </c>
      <c r="P643" s="823" t="n">
        <f aca="false">P642+O643</f>
        <v>40042.0510567128</v>
      </c>
      <c r="Q643" s="606" t="n">
        <f aca="false">Q642+1</f>
        <v>428</v>
      </c>
      <c r="R643" s="824" t="n">
        <f aca="false">R642-1</f>
        <v>-428</v>
      </c>
      <c r="S643" s="5"/>
      <c r="T643" s="5"/>
      <c r="U643" s="5"/>
      <c r="V643" s="10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02"/>
      <c r="AU643" s="502"/>
      <c r="AV643" s="606"/>
      <c r="AW643" s="502"/>
      <c r="AX643" s="502"/>
      <c r="AY643" s="502"/>
      <c r="AZ643" s="502"/>
      <c r="BA643" s="502"/>
      <c r="BB643" s="502"/>
      <c r="BC643" s="502"/>
      <c r="BD643" s="502"/>
      <c r="BE643" s="502"/>
      <c r="BF643" s="502"/>
      <c r="BG643" s="502"/>
      <c r="BH643" s="502"/>
      <c r="BI643" s="502"/>
      <c r="BJ643" s="502"/>
      <c r="BK643" s="502"/>
      <c r="BL643" s="502"/>
      <c r="BM643" s="502"/>
      <c r="BN643" s="502"/>
      <c r="BO643" s="502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</row>
    <row r="644" s="504" customFormat="true" ht="12.75" hidden="true" customHeight="true" outlineLevel="0" collapsed="false">
      <c r="A644" s="5"/>
      <c r="B644" s="813" t="n">
        <f aca="false">B643+1</f>
        <v>429</v>
      </c>
      <c r="C644" s="814" t="n">
        <f aca="false">C643+D644</f>
        <v>48135.3939285148</v>
      </c>
      <c r="D644" s="815" t="n">
        <f aca="false">E644*$E$205*M644</f>
        <v>146.94938091089</v>
      </c>
      <c r="E644" s="601" t="n">
        <f aca="false">E643+$C$204</f>
        <v>9.3194686016546</v>
      </c>
      <c r="F644" s="816" t="n">
        <f aca="false">F643+1</f>
        <v>429</v>
      </c>
      <c r="G644" s="775" t="n">
        <f aca="false">C644</f>
        <v>48135.3939285148</v>
      </c>
      <c r="H644" s="817" t="n">
        <f aca="false">1000*(E644-E643)</f>
        <v>9.99999999999979</v>
      </c>
      <c r="I644" s="5"/>
      <c r="J644" s="818" t="n">
        <f aca="false">1000*(E644-$E$215)/(B644-$B$215)</f>
        <v>13.668694239095</v>
      </c>
      <c r="K644" s="732" t="n">
        <f aca="false">AVERAGE($E$216:E644)</f>
        <v>7.16175298393903</v>
      </c>
      <c r="L644" s="819" t="n">
        <f aca="false">L643+1</f>
        <v>429</v>
      </c>
      <c r="M644" s="820" t="n">
        <f aca="false">IF(B644&lt;$E$104,$E$105,$E$106)</f>
        <v>3</v>
      </c>
      <c r="N644" s="821" t="n">
        <f aca="false">IF(B644&lt;$E$104,$E$105,$E$111)</f>
        <v>2.5</v>
      </c>
      <c r="O644" s="822" t="n">
        <f aca="false">E644*$E$205*N644</f>
        <v>122.457817425741</v>
      </c>
      <c r="P644" s="823" t="n">
        <f aca="false">P643+O644</f>
        <v>40164.5088741386</v>
      </c>
      <c r="Q644" s="606" t="n">
        <f aca="false">Q643+1</f>
        <v>429</v>
      </c>
      <c r="R644" s="824" t="n">
        <f aca="false">R643-1</f>
        <v>-429</v>
      </c>
      <c r="S644" s="5"/>
      <c r="T644" s="5"/>
      <c r="U644" s="5"/>
      <c r="V644" s="10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02"/>
      <c r="AU644" s="502"/>
      <c r="AV644" s="606"/>
      <c r="AW644" s="502"/>
      <c r="AX644" s="502"/>
      <c r="AY644" s="502"/>
      <c r="AZ644" s="502"/>
      <c r="BA644" s="502"/>
      <c r="BB644" s="502"/>
      <c r="BC644" s="502"/>
      <c r="BD644" s="502"/>
      <c r="BE644" s="502"/>
      <c r="BF644" s="502"/>
      <c r="BG644" s="502"/>
      <c r="BH644" s="502"/>
      <c r="BI644" s="502"/>
      <c r="BJ644" s="502"/>
      <c r="BK644" s="502"/>
      <c r="BL644" s="502"/>
      <c r="BM644" s="502"/>
      <c r="BN644" s="502"/>
      <c r="BO644" s="502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</row>
    <row r="645" s="504" customFormat="true" ht="12.75" hidden="true" customHeight="true" outlineLevel="0" collapsed="false">
      <c r="A645" s="5"/>
      <c r="B645" s="813" t="n">
        <f aca="false">B644+1</f>
        <v>430</v>
      </c>
      <c r="C645" s="814" t="n">
        <f aca="false">C644+D645</f>
        <v>48282.5009894257</v>
      </c>
      <c r="D645" s="815" t="n">
        <f aca="false">E645*$E$205*M645</f>
        <v>147.10706091089</v>
      </c>
      <c r="E645" s="601" t="n">
        <f aca="false">E644+$C$204</f>
        <v>9.3294686016546</v>
      </c>
      <c r="F645" s="816" t="n">
        <f aca="false">F644+1</f>
        <v>430</v>
      </c>
      <c r="G645" s="775" t="n">
        <f aca="false">C645</f>
        <v>48282.5009894257</v>
      </c>
      <c r="H645" s="817" t="n">
        <f aca="false">1000*(E645-E644)</f>
        <v>9.99999999999979</v>
      </c>
      <c r="I645" s="5"/>
      <c r="J645" s="818" t="n">
        <f aca="false">1000*(E645-$E$215)/(B645-$B$215)</f>
        <v>13.6601623920273</v>
      </c>
      <c r="K645" s="732" t="n">
        <f aca="false">AVERAGE($E$216:E645)</f>
        <v>7.16679418304999</v>
      </c>
      <c r="L645" s="819" t="n">
        <f aca="false">L644+1</f>
        <v>430</v>
      </c>
      <c r="M645" s="820" t="n">
        <f aca="false">IF(B645&lt;$E$104,$E$105,$E$106)</f>
        <v>3</v>
      </c>
      <c r="N645" s="821" t="n">
        <f aca="false">IF(B645&lt;$E$104,$E$105,$E$111)</f>
        <v>2.5</v>
      </c>
      <c r="O645" s="822" t="n">
        <f aca="false">E645*$E$205*N645</f>
        <v>122.589217425741</v>
      </c>
      <c r="P645" s="823" t="n">
        <f aca="false">P644+O645</f>
        <v>40287.0980915643</v>
      </c>
      <c r="Q645" s="606" t="n">
        <f aca="false">Q644+1</f>
        <v>430</v>
      </c>
      <c r="R645" s="824" t="n">
        <f aca="false">R644-1</f>
        <v>-430</v>
      </c>
      <c r="S645" s="5"/>
      <c r="T645" s="5"/>
      <c r="U645" s="5"/>
      <c r="V645" s="10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02"/>
      <c r="AU645" s="502"/>
      <c r="AV645" s="606"/>
      <c r="AW645" s="502"/>
      <c r="AX645" s="502"/>
      <c r="AY645" s="502"/>
      <c r="AZ645" s="502"/>
      <c r="BA645" s="502"/>
      <c r="BB645" s="502"/>
      <c r="BC645" s="502"/>
      <c r="BD645" s="502"/>
      <c r="BE645" s="502"/>
      <c r="BF645" s="502"/>
      <c r="BG645" s="502"/>
      <c r="BH645" s="502"/>
      <c r="BI645" s="502"/>
      <c r="BJ645" s="502"/>
      <c r="BK645" s="502"/>
      <c r="BL645" s="502"/>
      <c r="BM645" s="502"/>
      <c r="BN645" s="502"/>
      <c r="BO645" s="502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</row>
    <row r="646" s="504" customFormat="true" ht="12.75" hidden="true" customHeight="true" outlineLevel="0" collapsed="false">
      <c r="A646" s="5"/>
      <c r="B646" s="813" t="n">
        <f aca="false">B645+1</f>
        <v>431</v>
      </c>
      <c r="C646" s="814" t="n">
        <f aca="false">C645+D646</f>
        <v>48429.7657303366</v>
      </c>
      <c r="D646" s="815" t="n">
        <f aca="false">E646*$E$205*M646</f>
        <v>147.26474091089</v>
      </c>
      <c r="E646" s="601" t="n">
        <f aca="false">E645+$C$204</f>
        <v>9.3394686016546</v>
      </c>
      <c r="F646" s="816" t="n">
        <f aca="false">F645+1</f>
        <v>431</v>
      </c>
      <c r="G646" s="775" t="n">
        <f aca="false">C646</f>
        <v>48429.7657303366</v>
      </c>
      <c r="H646" s="817" t="n">
        <f aca="false">1000*(E646-E645)</f>
        <v>9.99999999999979</v>
      </c>
      <c r="I646" s="5"/>
      <c r="J646" s="818" t="n">
        <f aca="false">1000*(E646-$E$215)/(B646-$B$215)</f>
        <v>13.6516701358973</v>
      </c>
      <c r="K646" s="732" t="n">
        <f aca="false">AVERAGE($E$216:E646)</f>
        <v>7.17183519098179</v>
      </c>
      <c r="L646" s="819" t="n">
        <f aca="false">L645+1</f>
        <v>431</v>
      </c>
      <c r="M646" s="820" t="n">
        <f aca="false">IF(B646&lt;$E$104,$E$105,$E$106)</f>
        <v>3</v>
      </c>
      <c r="N646" s="821" t="n">
        <f aca="false">IF(B646&lt;$E$104,$E$105,$E$111)</f>
        <v>2.5</v>
      </c>
      <c r="O646" s="822" t="n">
        <f aca="false">E646*$E$205*N646</f>
        <v>122.720617425741</v>
      </c>
      <c r="P646" s="823" t="n">
        <f aca="false">P645+O646</f>
        <v>40409.8187089901</v>
      </c>
      <c r="Q646" s="606" t="n">
        <f aca="false">Q645+1</f>
        <v>431</v>
      </c>
      <c r="R646" s="824" t="n">
        <f aca="false">R645-1</f>
        <v>-431</v>
      </c>
      <c r="S646" s="5"/>
      <c r="T646" s="5"/>
      <c r="U646" s="5"/>
      <c r="V646" s="10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02"/>
      <c r="AU646" s="502"/>
      <c r="AV646" s="606"/>
      <c r="AW646" s="502"/>
      <c r="AX646" s="502"/>
      <c r="AY646" s="502"/>
      <c r="AZ646" s="502"/>
      <c r="BA646" s="502"/>
      <c r="BB646" s="502"/>
      <c r="BC646" s="502"/>
      <c r="BD646" s="502"/>
      <c r="BE646" s="502"/>
      <c r="BF646" s="502"/>
      <c r="BG646" s="502"/>
      <c r="BH646" s="502"/>
      <c r="BI646" s="502"/>
      <c r="BJ646" s="502"/>
      <c r="BK646" s="502"/>
      <c r="BL646" s="502"/>
      <c r="BM646" s="502"/>
      <c r="BN646" s="502"/>
      <c r="BO646" s="502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</row>
    <row r="647" s="504" customFormat="true" ht="12.75" hidden="true" customHeight="true" outlineLevel="0" collapsed="false">
      <c r="A647" s="5"/>
      <c r="B647" s="813" t="n">
        <f aca="false">B646+1</f>
        <v>432</v>
      </c>
      <c r="C647" s="814" t="n">
        <f aca="false">C646+D647</f>
        <v>48577.1881512475</v>
      </c>
      <c r="D647" s="815" t="n">
        <f aca="false">E647*$E$205*M647</f>
        <v>147.42242091089</v>
      </c>
      <c r="E647" s="601" t="n">
        <f aca="false">E646+$C$204</f>
        <v>9.3494686016546</v>
      </c>
      <c r="F647" s="816" t="n">
        <f aca="false">F646+1</f>
        <v>432</v>
      </c>
      <c r="G647" s="775" t="n">
        <f aca="false">C647</f>
        <v>48577.1881512475</v>
      </c>
      <c r="H647" s="817" t="n">
        <f aca="false">1000*(E647-E646)</f>
        <v>9.99999999999979</v>
      </c>
      <c r="I647" s="5"/>
      <c r="J647" s="818" t="n">
        <f aca="false">1000*(E647-$E$215)/(B647-$B$215)</f>
        <v>13.6432171957679</v>
      </c>
      <c r="K647" s="732" t="n">
        <f aca="false">AVERAGE($E$216:E647)</f>
        <v>7.17687600906205</v>
      </c>
      <c r="L647" s="819" t="n">
        <f aca="false">L646+1</f>
        <v>432</v>
      </c>
      <c r="M647" s="820" t="n">
        <f aca="false">IF(B647&lt;$E$104,$E$105,$E$106)</f>
        <v>3</v>
      </c>
      <c r="N647" s="821" t="n">
        <f aca="false">IF(B647&lt;$E$104,$E$105,$E$111)</f>
        <v>2.5</v>
      </c>
      <c r="O647" s="822" t="n">
        <f aca="false">E647*$E$205*N647</f>
        <v>122.852017425741</v>
      </c>
      <c r="P647" s="823" t="n">
        <f aca="false">P646+O647</f>
        <v>40532.6707264158</v>
      </c>
      <c r="Q647" s="606" t="n">
        <f aca="false">Q646+1</f>
        <v>432</v>
      </c>
      <c r="R647" s="824" t="n">
        <f aca="false">R646-1</f>
        <v>-432</v>
      </c>
      <c r="S647" s="5"/>
      <c r="T647" s="5"/>
      <c r="U647" s="5"/>
      <c r="V647" s="10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02"/>
      <c r="AU647" s="502"/>
      <c r="AV647" s="606"/>
      <c r="AW647" s="502"/>
      <c r="AX647" s="502"/>
      <c r="AY647" s="502"/>
      <c r="AZ647" s="502"/>
      <c r="BA647" s="502"/>
      <c r="BB647" s="502"/>
      <c r="BC647" s="502"/>
      <c r="BD647" s="502"/>
      <c r="BE647" s="502"/>
      <c r="BF647" s="502"/>
      <c r="BG647" s="502"/>
      <c r="BH647" s="502"/>
      <c r="BI647" s="502"/>
      <c r="BJ647" s="502"/>
      <c r="BK647" s="502"/>
      <c r="BL647" s="502"/>
      <c r="BM647" s="502"/>
      <c r="BN647" s="502"/>
      <c r="BO647" s="502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</row>
    <row r="648" s="504" customFormat="true" ht="12.75" hidden="true" customHeight="true" outlineLevel="0" collapsed="false">
      <c r="A648" s="5"/>
      <c r="B648" s="813" t="n">
        <f aca="false">B647+1</f>
        <v>433</v>
      </c>
      <c r="C648" s="814" t="n">
        <f aca="false">C647+D648</f>
        <v>48724.7682521584</v>
      </c>
      <c r="D648" s="815" t="n">
        <f aca="false">E648*$E$205*M648</f>
        <v>147.58010091089</v>
      </c>
      <c r="E648" s="601" t="n">
        <f aca="false">E647+$C$204</f>
        <v>9.3594686016546</v>
      </c>
      <c r="F648" s="816" t="n">
        <f aca="false">F647+1</f>
        <v>433</v>
      </c>
      <c r="G648" s="775" t="n">
        <f aca="false">C648</f>
        <v>48724.7682521584</v>
      </c>
      <c r="H648" s="817" t="n">
        <f aca="false">1000*(E648-E647)</f>
        <v>9.99999999999979</v>
      </c>
      <c r="I648" s="5"/>
      <c r="J648" s="818" t="n">
        <f aca="false">1000*(E648-$E$215)/(B648-$B$215)</f>
        <v>13.6348032992419</v>
      </c>
      <c r="K648" s="732" t="n">
        <f aca="false">AVERAGE($E$216:E648)</f>
        <v>7.18191663860615</v>
      </c>
      <c r="L648" s="819" t="n">
        <f aca="false">L647+1</f>
        <v>433</v>
      </c>
      <c r="M648" s="820" t="n">
        <f aca="false">IF(B648&lt;$E$104,$E$105,$E$106)</f>
        <v>3</v>
      </c>
      <c r="N648" s="821" t="n">
        <f aca="false">IF(B648&lt;$E$104,$E$105,$E$111)</f>
        <v>2.5</v>
      </c>
      <c r="O648" s="822" t="n">
        <f aca="false">E648*$E$205*N648</f>
        <v>122.983417425741</v>
      </c>
      <c r="P648" s="823" t="n">
        <f aca="false">P647+O648</f>
        <v>40655.6541438415</v>
      </c>
      <c r="Q648" s="606" t="n">
        <f aca="false">Q647+1</f>
        <v>433</v>
      </c>
      <c r="R648" s="824" t="n">
        <f aca="false">R647-1</f>
        <v>-433</v>
      </c>
      <c r="S648" s="5"/>
      <c r="T648" s="5"/>
      <c r="U648" s="5"/>
      <c r="V648" s="10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02"/>
      <c r="AU648" s="502"/>
      <c r="AV648" s="606"/>
      <c r="AW648" s="502"/>
      <c r="AX648" s="502"/>
      <c r="AY648" s="502"/>
      <c r="AZ648" s="502"/>
      <c r="BA648" s="502"/>
      <c r="BB648" s="502"/>
      <c r="BC648" s="502"/>
      <c r="BD648" s="502"/>
      <c r="BE648" s="502"/>
      <c r="BF648" s="502"/>
      <c r="BG648" s="502"/>
      <c r="BH648" s="502"/>
      <c r="BI648" s="502"/>
      <c r="BJ648" s="502"/>
      <c r="BK648" s="502"/>
      <c r="BL648" s="502"/>
      <c r="BM648" s="502"/>
      <c r="BN648" s="502"/>
      <c r="BO648" s="502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</row>
    <row r="649" s="504" customFormat="true" ht="12.75" hidden="true" customHeight="true" outlineLevel="0" collapsed="false">
      <c r="A649" s="5"/>
      <c r="B649" s="813" t="n">
        <f aca="false">B648+1</f>
        <v>434</v>
      </c>
      <c r="C649" s="814" t="n">
        <f aca="false">C648+D649</f>
        <v>48872.5060330693</v>
      </c>
      <c r="D649" s="815" t="n">
        <f aca="false">E649*$E$205*M649</f>
        <v>147.73778091089</v>
      </c>
      <c r="E649" s="601" t="n">
        <f aca="false">E648+$C$204</f>
        <v>9.3694686016546</v>
      </c>
      <c r="F649" s="816" t="n">
        <f aca="false">F648+1</f>
        <v>434</v>
      </c>
      <c r="G649" s="775" t="n">
        <f aca="false">C649</f>
        <v>48872.5060330693</v>
      </c>
      <c r="H649" s="817" t="n">
        <f aca="false">1000*(E649-E648)</f>
        <v>9.99999999999979</v>
      </c>
      <c r="I649" s="5"/>
      <c r="J649" s="818" t="n">
        <f aca="false">1000*(E649-$E$215)/(B649-$B$215)</f>
        <v>13.6264281764326</v>
      </c>
      <c r="K649" s="732" t="n">
        <f aca="false">AVERAGE($E$216:E649)</f>
        <v>7.18695708091732</v>
      </c>
      <c r="L649" s="819" t="n">
        <f aca="false">L648+1</f>
        <v>434</v>
      </c>
      <c r="M649" s="820" t="n">
        <f aca="false">IF(B649&lt;$E$104,$E$105,$E$106)</f>
        <v>3</v>
      </c>
      <c r="N649" s="821" t="n">
        <f aca="false">IF(B649&lt;$E$104,$E$105,$E$111)</f>
        <v>2.5</v>
      </c>
      <c r="O649" s="822" t="n">
        <f aca="false">E649*$E$205*N649</f>
        <v>123.114817425741</v>
      </c>
      <c r="P649" s="823" t="n">
        <f aca="false">P648+O649</f>
        <v>40778.7689612673</v>
      </c>
      <c r="Q649" s="606" t="n">
        <f aca="false">Q648+1</f>
        <v>434</v>
      </c>
      <c r="R649" s="824" t="n">
        <f aca="false">R648-1</f>
        <v>-434</v>
      </c>
      <c r="S649" s="5"/>
      <c r="T649" s="5"/>
      <c r="U649" s="5"/>
      <c r="V649" s="10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02"/>
      <c r="AU649" s="502"/>
      <c r="AV649" s="606"/>
      <c r="AW649" s="502"/>
      <c r="AX649" s="502"/>
      <c r="AY649" s="502"/>
      <c r="AZ649" s="502"/>
      <c r="BA649" s="502"/>
      <c r="BB649" s="502"/>
      <c r="BC649" s="502"/>
      <c r="BD649" s="502"/>
      <c r="BE649" s="502"/>
      <c r="BF649" s="502"/>
      <c r="BG649" s="502"/>
      <c r="BH649" s="502"/>
      <c r="BI649" s="502"/>
      <c r="BJ649" s="502"/>
      <c r="BK649" s="502"/>
      <c r="BL649" s="502"/>
      <c r="BM649" s="502"/>
      <c r="BN649" s="502"/>
      <c r="BO649" s="502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</row>
    <row r="650" s="504" customFormat="true" ht="12.75" hidden="true" customHeight="true" outlineLevel="0" collapsed="false">
      <c r="A650" s="5"/>
      <c r="B650" s="813" t="n">
        <f aca="false">B649+1</f>
        <v>435</v>
      </c>
      <c r="C650" s="814" t="n">
        <f aca="false">C649+D650</f>
        <v>49020.4014939802</v>
      </c>
      <c r="D650" s="815" t="n">
        <f aca="false">E650*$E$205*M650</f>
        <v>147.89546091089</v>
      </c>
      <c r="E650" s="601" t="n">
        <f aca="false">E649+$C$204</f>
        <v>9.3794686016546</v>
      </c>
      <c r="F650" s="816" t="n">
        <f aca="false">F649+1</f>
        <v>435</v>
      </c>
      <c r="G650" s="775" t="n">
        <f aca="false">C650</f>
        <v>49020.4014939802</v>
      </c>
      <c r="H650" s="817" t="n">
        <f aca="false">1000*(E650-E649)</f>
        <v>9.99999999999979</v>
      </c>
      <c r="I650" s="5"/>
      <c r="J650" s="818" t="n">
        <f aca="false">1000*(E650-$E$215)/(B650-$B$215)</f>
        <v>13.6180915599351</v>
      </c>
      <c r="K650" s="732" t="n">
        <f aca="false">AVERAGE($E$216:E650)</f>
        <v>7.19199733728683</v>
      </c>
      <c r="L650" s="819" t="n">
        <f aca="false">L649+1</f>
        <v>435</v>
      </c>
      <c r="M650" s="820" t="n">
        <f aca="false">IF(B650&lt;$E$104,$E$105,$E$106)</f>
        <v>3</v>
      </c>
      <c r="N650" s="821" t="n">
        <f aca="false">IF(B650&lt;$E$104,$E$105,$E$111)</f>
        <v>2.5</v>
      </c>
      <c r="O650" s="822" t="n">
        <f aca="false">E650*$E$205*N650</f>
        <v>123.246217425741</v>
      </c>
      <c r="P650" s="823" t="n">
        <f aca="false">P649+O650</f>
        <v>40902.015178693</v>
      </c>
      <c r="Q650" s="606" t="n">
        <f aca="false">Q649+1</f>
        <v>435</v>
      </c>
      <c r="R650" s="824" t="n">
        <f aca="false">R649-1</f>
        <v>-435</v>
      </c>
      <c r="S650" s="5"/>
      <c r="T650" s="5"/>
      <c r="U650" s="5"/>
      <c r="V650" s="10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02"/>
      <c r="AU650" s="502"/>
      <c r="AV650" s="606"/>
      <c r="AW650" s="502"/>
      <c r="AX650" s="502"/>
      <c r="AY650" s="502"/>
      <c r="AZ650" s="502"/>
      <c r="BA650" s="502"/>
      <c r="BB650" s="502"/>
      <c r="BC650" s="502"/>
      <c r="BD650" s="502"/>
      <c r="BE650" s="502"/>
      <c r="BF650" s="502"/>
      <c r="BG650" s="502"/>
      <c r="BH650" s="502"/>
      <c r="BI650" s="502"/>
      <c r="BJ650" s="502"/>
      <c r="BK650" s="502"/>
      <c r="BL650" s="502"/>
      <c r="BM650" s="502"/>
      <c r="BN650" s="502"/>
      <c r="BO650" s="502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</row>
    <row r="651" s="504" customFormat="true" ht="12.75" hidden="true" customHeight="true" outlineLevel="0" collapsed="false">
      <c r="A651" s="5"/>
      <c r="B651" s="813" t="n">
        <f aca="false">B650+1</f>
        <v>436</v>
      </c>
      <c r="C651" s="814" t="n">
        <f aca="false">C650+D651</f>
        <v>49168.4546348911</v>
      </c>
      <c r="D651" s="815" t="n">
        <f aca="false">E651*$E$205*M651</f>
        <v>148.05314091089</v>
      </c>
      <c r="E651" s="601" t="n">
        <f aca="false">E650+$C$204</f>
        <v>9.3894686016546</v>
      </c>
      <c r="F651" s="816" t="n">
        <f aca="false">F650+1</f>
        <v>436</v>
      </c>
      <c r="G651" s="775" t="n">
        <f aca="false">C651</f>
        <v>49168.4546348911</v>
      </c>
      <c r="H651" s="817" t="n">
        <f aca="false">1000*(E651-E650)</f>
        <v>9.99999999999979</v>
      </c>
      <c r="I651" s="5"/>
      <c r="J651" s="818" t="n">
        <f aca="false">1000*(E651-$E$215)/(B651-$B$215)</f>
        <v>13.6097931847976</v>
      </c>
      <c r="K651" s="732" t="n">
        <f aca="false">AVERAGE($E$216:E651)</f>
        <v>7.19703740899409</v>
      </c>
      <c r="L651" s="819" t="n">
        <f aca="false">L650+1</f>
        <v>436</v>
      </c>
      <c r="M651" s="820" t="n">
        <f aca="false">IF(B651&lt;$E$104,$E$105,$E$106)</f>
        <v>3</v>
      </c>
      <c r="N651" s="821" t="n">
        <f aca="false">IF(B651&lt;$E$104,$E$105,$E$111)</f>
        <v>2.5</v>
      </c>
      <c r="O651" s="822" t="n">
        <f aca="false">E651*$E$205*N651</f>
        <v>123.377617425741</v>
      </c>
      <c r="P651" s="823" t="n">
        <f aca="false">P650+O651</f>
        <v>41025.3927961188</v>
      </c>
      <c r="Q651" s="606" t="n">
        <f aca="false">Q650+1</f>
        <v>436</v>
      </c>
      <c r="R651" s="824" t="n">
        <f aca="false">R650-1</f>
        <v>-436</v>
      </c>
      <c r="S651" s="5"/>
      <c r="T651" s="5"/>
      <c r="U651" s="5"/>
      <c r="V651" s="10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02"/>
      <c r="AU651" s="502"/>
      <c r="AV651" s="606"/>
      <c r="AW651" s="502"/>
      <c r="AX651" s="502"/>
      <c r="AY651" s="502"/>
      <c r="AZ651" s="502"/>
      <c r="BA651" s="502"/>
      <c r="BB651" s="502"/>
      <c r="BC651" s="502"/>
      <c r="BD651" s="502"/>
      <c r="BE651" s="502"/>
      <c r="BF651" s="502"/>
      <c r="BG651" s="502"/>
      <c r="BH651" s="502"/>
      <c r="BI651" s="502"/>
      <c r="BJ651" s="502"/>
      <c r="BK651" s="502"/>
      <c r="BL651" s="502"/>
      <c r="BM651" s="502"/>
      <c r="BN651" s="502"/>
      <c r="BO651" s="502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</row>
    <row r="652" s="504" customFormat="true" ht="12.75" hidden="true" customHeight="true" outlineLevel="0" collapsed="false">
      <c r="A652" s="5"/>
      <c r="B652" s="813" t="n">
        <f aca="false">B651+1</f>
        <v>437</v>
      </c>
      <c r="C652" s="814" t="n">
        <f aca="false">C651+D652</f>
        <v>49316.665455802</v>
      </c>
      <c r="D652" s="815" t="n">
        <f aca="false">E652*$E$205*M652</f>
        <v>148.21082091089</v>
      </c>
      <c r="E652" s="601" t="n">
        <f aca="false">E651+$C$204</f>
        <v>9.3994686016546</v>
      </c>
      <c r="F652" s="816" t="n">
        <f aca="false">F651+1</f>
        <v>437</v>
      </c>
      <c r="G652" s="775" t="n">
        <f aca="false">C652</f>
        <v>49316.665455802</v>
      </c>
      <c r="H652" s="817" t="n">
        <f aca="false">1000*(E652-E651)</f>
        <v>9.99999999999979</v>
      </c>
      <c r="I652" s="5"/>
      <c r="J652" s="818" t="n">
        <f aca="false">1000*(E652-$E$215)/(B652-$B$215)</f>
        <v>13.6015327884937</v>
      </c>
      <c r="K652" s="732" t="n">
        <f aca="false">AVERAGE($E$216:E652)</f>
        <v>7.20207729730682</v>
      </c>
      <c r="L652" s="819" t="n">
        <f aca="false">L651+1</f>
        <v>437</v>
      </c>
      <c r="M652" s="820" t="n">
        <f aca="false">IF(B652&lt;$E$104,$E$105,$E$106)</f>
        <v>3</v>
      </c>
      <c r="N652" s="821" t="n">
        <f aca="false">IF(B652&lt;$E$104,$E$105,$E$111)</f>
        <v>2.5</v>
      </c>
      <c r="O652" s="822" t="n">
        <f aca="false">E652*$E$205*N652</f>
        <v>123.509017425741</v>
      </c>
      <c r="P652" s="823" t="n">
        <f aca="false">P651+O652</f>
        <v>41148.9018135445</v>
      </c>
      <c r="Q652" s="606" t="n">
        <f aca="false">Q651+1</f>
        <v>437</v>
      </c>
      <c r="R652" s="824" t="n">
        <f aca="false">R651-1</f>
        <v>-437</v>
      </c>
      <c r="S652" s="5"/>
      <c r="T652" s="5"/>
      <c r="U652" s="5"/>
      <c r="V652" s="10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02"/>
      <c r="AU652" s="502"/>
      <c r="AV652" s="606"/>
      <c r="AW652" s="502"/>
      <c r="AX652" s="502"/>
      <c r="AY652" s="502"/>
      <c r="AZ652" s="502"/>
      <c r="BA652" s="502"/>
      <c r="BB652" s="502"/>
      <c r="BC652" s="502"/>
      <c r="BD652" s="502"/>
      <c r="BE652" s="502"/>
      <c r="BF652" s="502"/>
      <c r="BG652" s="502"/>
      <c r="BH652" s="502"/>
      <c r="BI652" s="502"/>
      <c r="BJ652" s="502"/>
      <c r="BK652" s="502"/>
      <c r="BL652" s="502"/>
      <c r="BM652" s="502"/>
      <c r="BN652" s="502"/>
      <c r="BO652" s="502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</row>
    <row r="653" s="504" customFormat="true" ht="12.75" hidden="true" customHeight="true" outlineLevel="0" collapsed="false">
      <c r="A653" s="5"/>
      <c r="B653" s="813" t="n">
        <f aca="false">B652+1</f>
        <v>438</v>
      </c>
      <c r="C653" s="814" t="n">
        <f aca="false">C652+D653</f>
        <v>49465.0339567129</v>
      </c>
      <c r="D653" s="815" t="n">
        <f aca="false">E653*$E$205*M653</f>
        <v>148.36850091089</v>
      </c>
      <c r="E653" s="601" t="n">
        <f aca="false">E652+$C$204</f>
        <v>9.4094686016546</v>
      </c>
      <c r="F653" s="816" t="n">
        <f aca="false">F652+1</f>
        <v>438</v>
      </c>
      <c r="G653" s="775" t="n">
        <f aca="false">C653</f>
        <v>49465.0339567129</v>
      </c>
      <c r="H653" s="817" t="n">
        <f aca="false">1000*(E653-E652)</f>
        <v>9.99999999999979</v>
      </c>
      <c r="I653" s="5"/>
      <c r="J653" s="818" t="n">
        <f aca="false">1000*(E653-$E$215)/(B653-$B$215)</f>
        <v>13.5933101108944</v>
      </c>
      <c r="K653" s="732" t="n">
        <f aca="false">AVERAGE($E$216:E653)</f>
        <v>7.20711700348113</v>
      </c>
      <c r="L653" s="819" t="n">
        <f aca="false">L652+1</f>
        <v>438</v>
      </c>
      <c r="M653" s="820" t="n">
        <f aca="false">IF(B653&lt;$E$104,$E$105,$E$106)</f>
        <v>3</v>
      </c>
      <c r="N653" s="821" t="n">
        <f aca="false">IF(B653&lt;$E$104,$E$105,$E$111)</f>
        <v>2.5</v>
      </c>
      <c r="O653" s="822" t="n">
        <f aca="false">E653*$E$205*N653</f>
        <v>123.640417425741</v>
      </c>
      <c r="P653" s="823" t="n">
        <f aca="false">P652+O653</f>
        <v>41272.5422309702</v>
      </c>
      <c r="Q653" s="606" t="n">
        <f aca="false">Q652+1</f>
        <v>438</v>
      </c>
      <c r="R653" s="824" t="n">
        <f aca="false">R652-1</f>
        <v>-438</v>
      </c>
      <c r="S653" s="5"/>
      <c r="T653" s="5"/>
      <c r="U653" s="5"/>
      <c r="V653" s="10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02"/>
      <c r="AU653" s="502"/>
      <c r="AV653" s="606"/>
      <c r="AW653" s="502"/>
      <c r="AX653" s="502"/>
      <c r="AY653" s="502"/>
      <c r="AZ653" s="502"/>
      <c r="BA653" s="502"/>
      <c r="BB653" s="502"/>
      <c r="BC653" s="502"/>
      <c r="BD653" s="502"/>
      <c r="BE653" s="502"/>
      <c r="BF653" s="502"/>
      <c r="BG653" s="502"/>
      <c r="BH653" s="502"/>
      <c r="BI653" s="502"/>
      <c r="BJ653" s="502"/>
      <c r="BK653" s="502"/>
      <c r="BL653" s="502"/>
      <c r="BM653" s="502"/>
      <c r="BN653" s="502"/>
      <c r="BO653" s="502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</row>
    <row r="654" s="504" customFormat="true" ht="12.75" hidden="true" customHeight="true" outlineLevel="0" collapsed="false">
      <c r="A654" s="5"/>
      <c r="B654" s="813" t="n">
        <f aca="false">B653+1</f>
        <v>439</v>
      </c>
      <c r="C654" s="814" t="n">
        <f aca="false">C653+D654</f>
        <v>49613.5601376237</v>
      </c>
      <c r="D654" s="815" t="n">
        <f aca="false">E654*$E$205*M654</f>
        <v>148.52618091089</v>
      </c>
      <c r="E654" s="601" t="n">
        <f aca="false">E653+$C$204</f>
        <v>9.4194686016546</v>
      </c>
      <c r="F654" s="816" t="n">
        <f aca="false">F653+1</f>
        <v>439</v>
      </c>
      <c r="G654" s="775" t="n">
        <f aca="false">C654</f>
        <v>49613.5601376237</v>
      </c>
      <c r="H654" s="817" t="n">
        <f aca="false">1000*(E654-E653)</f>
        <v>9.99999999999979</v>
      </c>
      <c r="I654" s="5"/>
      <c r="J654" s="818" t="n">
        <f aca="false">1000*(E654-$E$215)/(B654-$B$215)</f>
        <v>13.5851248942409</v>
      </c>
      <c r="K654" s="732" t="n">
        <f aca="false">AVERAGE($E$216:E654)</f>
        <v>7.21215652876171</v>
      </c>
      <c r="L654" s="819" t="n">
        <f aca="false">L653+1</f>
        <v>439</v>
      </c>
      <c r="M654" s="820" t="n">
        <f aca="false">IF(B654&lt;$E$104,$E$105,$E$106)</f>
        <v>3</v>
      </c>
      <c r="N654" s="821" t="n">
        <f aca="false">IF(B654&lt;$E$104,$E$105,$E$111)</f>
        <v>2.5</v>
      </c>
      <c r="O654" s="822" t="n">
        <f aca="false">E654*$E$205*N654</f>
        <v>123.771817425741</v>
      </c>
      <c r="P654" s="823" t="n">
        <f aca="false">P653+O654</f>
        <v>41396.314048396</v>
      </c>
      <c r="Q654" s="606" t="n">
        <f aca="false">Q653+1</f>
        <v>439</v>
      </c>
      <c r="R654" s="824" t="n">
        <f aca="false">R653-1</f>
        <v>-439</v>
      </c>
      <c r="S654" s="5"/>
      <c r="T654" s="5"/>
      <c r="U654" s="5"/>
      <c r="V654" s="10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02"/>
      <c r="AU654" s="502"/>
      <c r="AV654" s="606"/>
      <c r="AW654" s="502"/>
      <c r="AX654" s="502"/>
      <c r="AY654" s="502"/>
      <c r="AZ654" s="502"/>
      <c r="BA654" s="502"/>
      <c r="BB654" s="502"/>
      <c r="BC654" s="502"/>
      <c r="BD654" s="502"/>
      <c r="BE654" s="502"/>
      <c r="BF654" s="502"/>
      <c r="BG654" s="502"/>
      <c r="BH654" s="502"/>
      <c r="BI654" s="502"/>
      <c r="BJ654" s="502"/>
      <c r="BK654" s="502"/>
      <c r="BL654" s="502"/>
      <c r="BM654" s="502"/>
      <c r="BN654" s="502"/>
      <c r="BO654" s="502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</row>
    <row r="655" s="504" customFormat="true" ht="12.75" hidden="true" customHeight="true" outlineLevel="0" collapsed="false">
      <c r="A655" s="5"/>
      <c r="B655" s="813" t="n">
        <f aca="false">B654+1</f>
        <v>440</v>
      </c>
      <c r="C655" s="814" t="n">
        <f aca="false">C654+D655</f>
        <v>49762.2439985346</v>
      </c>
      <c r="D655" s="815" t="n">
        <f aca="false">E655*$E$205*M655</f>
        <v>148.68386091089</v>
      </c>
      <c r="E655" s="601" t="n">
        <f aca="false">E654+$C$204</f>
        <v>9.4294686016546</v>
      </c>
      <c r="F655" s="816" t="n">
        <f aca="false">F654+1</f>
        <v>440</v>
      </c>
      <c r="G655" s="775" t="n">
        <f aca="false">C655</f>
        <v>49762.2439985346</v>
      </c>
      <c r="H655" s="817" t="n">
        <f aca="false">1000*(E655-E654)</f>
        <v>9.99999999999979</v>
      </c>
      <c r="I655" s="5"/>
      <c r="J655" s="818" t="n">
        <f aca="false">1000*(E655-$E$215)/(B655-$B$215)</f>
        <v>13.5769768831176</v>
      </c>
      <c r="K655" s="732" t="n">
        <f aca="false">AVERAGE($E$216:E655)</f>
        <v>7.21719587438192</v>
      </c>
      <c r="L655" s="819" t="n">
        <f aca="false">L654+1</f>
        <v>440</v>
      </c>
      <c r="M655" s="820" t="n">
        <f aca="false">IF(B655&lt;$E$104,$E$105,$E$106)</f>
        <v>3</v>
      </c>
      <c r="N655" s="821" t="n">
        <f aca="false">IF(B655&lt;$E$104,$E$105,$E$111)</f>
        <v>2.5</v>
      </c>
      <c r="O655" s="822" t="n">
        <f aca="false">E655*$E$205*N655</f>
        <v>123.903217425741</v>
      </c>
      <c r="P655" s="823" t="n">
        <f aca="false">P654+O655</f>
        <v>41520.2172658217</v>
      </c>
      <c r="Q655" s="606" t="n">
        <f aca="false">Q654+1</f>
        <v>440</v>
      </c>
      <c r="R655" s="824" t="n">
        <f aca="false">R654-1</f>
        <v>-440</v>
      </c>
      <c r="S655" s="5"/>
      <c r="T655" s="5"/>
      <c r="U655" s="5"/>
      <c r="V655" s="10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02"/>
      <c r="AU655" s="502"/>
      <c r="AV655" s="606"/>
      <c r="AW655" s="502"/>
      <c r="AX655" s="502"/>
      <c r="AY655" s="502"/>
      <c r="AZ655" s="502"/>
      <c r="BA655" s="502"/>
      <c r="BB655" s="502"/>
      <c r="BC655" s="502"/>
      <c r="BD655" s="502"/>
      <c r="BE655" s="502"/>
      <c r="BF655" s="502"/>
      <c r="BG655" s="502"/>
      <c r="BH655" s="502"/>
      <c r="BI655" s="502"/>
      <c r="BJ655" s="502"/>
      <c r="BK655" s="502"/>
      <c r="BL655" s="502"/>
      <c r="BM655" s="502"/>
      <c r="BN655" s="502"/>
      <c r="BO655" s="502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</row>
    <row r="656" s="504" customFormat="true" ht="12.75" hidden="true" customHeight="true" outlineLevel="0" collapsed="false">
      <c r="A656" s="5"/>
      <c r="B656" s="813" t="n">
        <f aca="false">B655+1</f>
        <v>441</v>
      </c>
      <c r="C656" s="814" t="n">
        <f aca="false">C655+D656</f>
        <v>49911.0855394455</v>
      </c>
      <c r="D656" s="815" t="n">
        <f aca="false">E656*$E$205*M656</f>
        <v>148.84154091089</v>
      </c>
      <c r="E656" s="601" t="n">
        <f aca="false">E655+$C$204</f>
        <v>9.4394686016546</v>
      </c>
      <c r="F656" s="816" t="n">
        <f aca="false">F655+1</f>
        <v>441</v>
      </c>
      <c r="G656" s="775" t="n">
        <f aca="false">C656</f>
        <v>49911.0855394455</v>
      </c>
      <c r="H656" s="817" t="n">
        <f aca="false">1000*(E656-E655)</f>
        <v>9.99999999999979</v>
      </c>
      <c r="I656" s="5"/>
      <c r="J656" s="818" t="n">
        <f aca="false">1000*(E656-$E$215)/(B656-$B$215)</f>
        <v>13.5688658244257</v>
      </c>
      <c r="K656" s="732" t="n">
        <f aca="false">AVERAGE($E$216:E656)</f>
        <v>7.22223504156394</v>
      </c>
      <c r="L656" s="819" t="n">
        <f aca="false">L655+1</f>
        <v>441</v>
      </c>
      <c r="M656" s="820" t="n">
        <f aca="false">IF(B656&lt;$E$104,$E$105,$E$106)</f>
        <v>3</v>
      </c>
      <c r="N656" s="821" t="n">
        <f aca="false">IF(B656&lt;$E$104,$E$105,$E$111)</f>
        <v>2.5</v>
      </c>
      <c r="O656" s="822" t="n">
        <f aca="false">E656*$E$205*N656</f>
        <v>124.034617425741</v>
      </c>
      <c r="P656" s="823" t="n">
        <f aca="false">P655+O656</f>
        <v>41644.2518832475</v>
      </c>
      <c r="Q656" s="606" t="n">
        <f aca="false">Q655+1</f>
        <v>441</v>
      </c>
      <c r="R656" s="824" t="n">
        <f aca="false">R655-1</f>
        <v>-441</v>
      </c>
      <c r="S656" s="5"/>
      <c r="T656" s="5"/>
      <c r="U656" s="5"/>
      <c r="V656" s="10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02"/>
      <c r="AU656" s="502"/>
      <c r="AV656" s="606"/>
      <c r="AW656" s="502"/>
      <c r="AX656" s="502"/>
      <c r="AY656" s="502"/>
      <c r="AZ656" s="502"/>
      <c r="BA656" s="502"/>
      <c r="BB656" s="502"/>
      <c r="BC656" s="502"/>
      <c r="BD656" s="502"/>
      <c r="BE656" s="502"/>
      <c r="BF656" s="502"/>
      <c r="BG656" s="502"/>
      <c r="BH656" s="502"/>
      <c r="BI656" s="502"/>
      <c r="BJ656" s="502"/>
      <c r="BK656" s="502"/>
      <c r="BL656" s="502"/>
      <c r="BM656" s="502"/>
      <c r="BN656" s="502"/>
      <c r="BO656" s="502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</row>
    <row r="657" s="504" customFormat="true" ht="12.75" hidden="true" customHeight="true" outlineLevel="0" collapsed="false">
      <c r="A657" s="5"/>
      <c r="B657" s="813" t="n">
        <f aca="false">B656+1</f>
        <v>442</v>
      </c>
      <c r="C657" s="814" t="n">
        <f aca="false">C656+D657</f>
        <v>50060.0847603564</v>
      </c>
      <c r="D657" s="815" t="n">
        <f aca="false">E657*$E$205*M657</f>
        <v>148.99922091089</v>
      </c>
      <c r="E657" s="601" t="n">
        <f aca="false">E656+$C$204</f>
        <v>9.4494686016546</v>
      </c>
      <c r="F657" s="816" t="n">
        <f aca="false">F656+1</f>
        <v>442</v>
      </c>
      <c r="G657" s="775" t="n">
        <f aca="false">C657</f>
        <v>50060.0847603564</v>
      </c>
      <c r="H657" s="817" t="n">
        <f aca="false">1000*(E657-E656)</f>
        <v>9.99999999999979</v>
      </c>
      <c r="I657" s="5"/>
      <c r="J657" s="818" t="n">
        <f aca="false">1000*(E657-$E$215)/(B657-$B$215)</f>
        <v>13.5607914673569</v>
      </c>
      <c r="K657" s="732" t="n">
        <f aca="false">AVERAGE($E$216:E657)</f>
        <v>7.2272740315189</v>
      </c>
      <c r="L657" s="819" t="n">
        <f aca="false">L656+1</f>
        <v>442</v>
      </c>
      <c r="M657" s="820" t="n">
        <f aca="false">IF(B657&lt;$E$104,$E$105,$E$106)</f>
        <v>3</v>
      </c>
      <c r="N657" s="821" t="n">
        <f aca="false">IF(B657&lt;$E$104,$E$105,$E$111)</f>
        <v>2.5</v>
      </c>
      <c r="O657" s="822" t="n">
        <f aca="false">E657*$E$205*N657</f>
        <v>124.166017425741</v>
      </c>
      <c r="P657" s="823" t="n">
        <f aca="false">P656+O657</f>
        <v>41768.4179006732</v>
      </c>
      <c r="Q657" s="606" t="n">
        <f aca="false">Q656+1</f>
        <v>442</v>
      </c>
      <c r="R657" s="824" t="n">
        <f aca="false">R656-1</f>
        <v>-442</v>
      </c>
      <c r="S657" s="5"/>
      <c r="T657" s="5"/>
      <c r="U657" s="5"/>
      <c r="V657" s="10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02"/>
      <c r="AU657" s="502"/>
      <c r="AV657" s="606"/>
      <c r="AW657" s="502"/>
      <c r="AX657" s="502"/>
      <c r="AY657" s="502"/>
      <c r="AZ657" s="502"/>
      <c r="BA657" s="502"/>
      <c r="BB657" s="502"/>
      <c r="BC657" s="502"/>
      <c r="BD657" s="502"/>
      <c r="BE657" s="502"/>
      <c r="BF657" s="502"/>
      <c r="BG657" s="502"/>
      <c r="BH657" s="502"/>
      <c r="BI657" s="502"/>
      <c r="BJ657" s="502"/>
      <c r="BK657" s="502"/>
      <c r="BL657" s="502"/>
      <c r="BM657" s="502"/>
      <c r="BN657" s="502"/>
      <c r="BO657" s="502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</row>
    <row r="658" s="504" customFormat="true" ht="12.75" hidden="true" customHeight="true" outlineLevel="0" collapsed="false">
      <c r="A658" s="5"/>
      <c r="B658" s="813" t="n">
        <f aca="false">B657+1</f>
        <v>443</v>
      </c>
      <c r="C658" s="814" t="n">
        <f aca="false">C657+D658</f>
        <v>50209.2416612673</v>
      </c>
      <c r="D658" s="815" t="n">
        <f aca="false">E658*$E$205*M658</f>
        <v>149.15690091089</v>
      </c>
      <c r="E658" s="601" t="n">
        <f aca="false">E657+$C$204</f>
        <v>9.4594686016546</v>
      </c>
      <c r="F658" s="816" t="n">
        <f aca="false">F657+1</f>
        <v>443</v>
      </c>
      <c r="G658" s="775" t="n">
        <f aca="false">C658</f>
        <v>50209.2416612673</v>
      </c>
      <c r="H658" s="817" t="n">
        <f aca="false">1000*(E658-E657)</f>
        <v>9.99999999999979</v>
      </c>
      <c r="I658" s="5"/>
      <c r="J658" s="818" t="n">
        <f aca="false">1000*(E658-$E$215)/(B658-$B$215)</f>
        <v>13.5527535633674</v>
      </c>
      <c r="K658" s="732" t="n">
        <f aca="false">AVERAGE($E$216:E658)</f>
        <v>7.23231284544697</v>
      </c>
      <c r="L658" s="819" t="n">
        <f aca="false">L657+1</f>
        <v>443</v>
      </c>
      <c r="M658" s="820" t="n">
        <f aca="false">IF(B658&lt;$E$104,$E$105,$E$106)</f>
        <v>3</v>
      </c>
      <c r="N658" s="821" t="n">
        <f aca="false">IF(B658&lt;$E$104,$E$105,$E$111)</f>
        <v>2.5</v>
      </c>
      <c r="O658" s="822" t="n">
        <f aca="false">E658*$E$205*N658</f>
        <v>124.297417425741</v>
      </c>
      <c r="P658" s="823" t="n">
        <f aca="false">P657+O658</f>
        <v>41892.7153180989</v>
      </c>
      <c r="Q658" s="606" t="n">
        <f aca="false">Q657+1</f>
        <v>443</v>
      </c>
      <c r="R658" s="824" t="n">
        <f aca="false">R657-1</f>
        <v>-443</v>
      </c>
      <c r="S658" s="5"/>
      <c r="T658" s="5"/>
      <c r="U658" s="5"/>
      <c r="V658" s="10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02"/>
      <c r="AU658" s="502"/>
      <c r="AV658" s="606"/>
      <c r="AW658" s="502"/>
      <c r="AX658" s="502"/>
      <c r="AY658" s="502"/>
      <c r="AZ658" s="502"/>
      <c r="BA658" s="502"/>
      <c r="BB658" s="502"/>
      <c r="BC658" s="502"/>
      <c r="BD658" s="502"/>
      <c r="BE658" s="502"/>
      <c r="BF658" s="502"/>
      <c r="BG658" s="502"/>
      <c r="BH658" s="502"/>
      <c r="BI658" s="502"/>
      <c r="BJ658" s="502"/>
      <c r="BK658" s="502"/>
      <c r="BL658" s="502"/>
      <c r="BM658" s="502"/>
      <c r="BN658" s="502"/>
      <c r="BO658" s="502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</row>
    <row r="659" s="504" customFormat="true" ht="12.75" hidden="true" customHeight="true" outlineLevel="0" collapsed="false">
      <c r="A659" s="5"/>
      <c r="B659" s="813" t="n">
        <f aca="false">B658+1</f>
        <v>444</v>
      </c>
      <c r="C659" s="814" t="n">
        <f aca="false">C658+D659</f>
        <v>50358.5562421782</v>
      </c>
      <c r="D659" s="815" t="n">
        <f aca="false">E659*$E$205*M659</f>
        <v>149.31458091089</v>
      </c>
      <c r="E659" s="601" t="n">
        <f aca="false">E658+$C$204</f>
        <v>9.4694686016546</v>
      </c>
      <c r="F659" s="816" t="n">
        <f aca="false">F658+1</f>
        <v>444</v>
      </c>
      <c r="G659" s="775" t="n">
        <f aca="false">C659</f>
        <v>50358.5562421782</v>
      </c>
      <c r="H659" s="817" t="n">
        <f aca="false">1000*(E659-E658)</f>
        <v>9.99999999999979</v>
      </c>
      <c r="I659" s="5"/>
      <c r="J659" s="818" t="n">
        <f aca="false">1000*(E659-$E$215)/(B659-$B$215)</f>
        <v>13.5447518661526</v>
      </c>
      <c r="K659" s="732" t="n">
        <f aca="false">AVERAGE($E$216:E659)</f>
        <v>7.23735148453753</v>
      </c>
      <c r="L659" s="819" t="n">
        <f aca="false">L658+1</f>
        <v>444</v>
      </c>
      <c r="M659" s="820" t="n">
        <f aca="false">IF(B659&lt;$E$104,$E$105,$E$106)</f>
        <v>3</v>
      </c>
      <c r="N659" s="821" t="n">
        <f aca="false">IF(B659&lt;$E$104,$E$105,$E$111)</f>
        <v>2.5</v>
      </c>
      <c r="O659" s="822" t="n">
        <f aca="false">E659*$E$205*N659</f>
        <v>124.428817425741</v>
      </c>
      <c r="P659" s="823" t="n">
        <f aca="false">P658+O659</f>
        <v>42017.1441355247</v>
      </c>
      <c r="Q659" s="606" t="n">
        <f aca="false">Q658+1</f>
        <v>444</v>
      </c>
      <c r="R659" s="824" t="n">
        <f aca="false">R658-1</f>
        <v>-444</v>
      </c>
      <c r="S659" s="5"/>
      <c r="T659" s="5"/>
      <c r="U659" s="5"/>
      <c r="V659" s="10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02"/>
      <c r="AU659" s="502"/>
      <c r="AV659" s="606"/>
      <c r="AW659" s="502"/>
      <c r="AX659" s="502"/>
      <c r="AY659" s="502"/>
      <c r="AZ659" s="502"/>
      <c r="BA659" s="502"/>
      <c r="BB659" s="502"/>
      <c r="BC659" s="502"/>
      <c r="BD659" s="502"/>
      <c r="BE659" s="502"/>
      <c r="BF659" s="502"/>
      <c r="BG659" s="502"/>
      <c r="BH659" s="502"/>
      <c r="BI659" s="502"/>
      <c r="BJ659" s="502"/>
      <c r="BK659" s="502"/>
      <c r="BL659" s="502"/>
      <c r="BM659" s="502"/>
      <c r="BN659" s="502"/>
      <c r="BO659" s="502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</row>
    <row r="660" s="504" customFormat="true" ht="12.75" hidden="true" customHeight="true" outlineLevel="0" collapsed="false">
      <c r="A660" s="5"/>
      <c r="B660" s="813" t="n">
        <f aca="false">B659+1</f>
        <v>445</v>
      </c>
      <c r="C660" s="814" t="n">
        <f aca="false">C659+D660</f>
        <v>50508.0285030891</v>
      </c>
      <c r="D660" s="815" t="n">
        <f aca="false">E660*$E$205*M660</f>
        <v>149.47226091089</v>
      </c>
      <c r="E660" s="601" t="n">
        <f aca="false">E659+$C$204</f>
        <v>9.4794686016546</v>
      </c>
      <c r="F660" s="816" t="n">
        <f aca="false">F659+1</f>
        <v>445</v>
      </c>
      <c r="G660" s="775" t="n">
        <f aca="false">C660</f>
        <v>50508.0285030891</v>
      </c>
      <c r="H660" s="817" t="n">
        <f aca="false">1000*(E660-E659)</f>
        <v>9.99999999999979</v>
      </c>
      <c r="I660" s="5"/>
      <c r="J660" s="818" t="n">
        <f aca="false">1000*(E660-$E$215)/(B660-$B$215)</f>
        <v>13.5367861316219</v>
      </c>
      <c r="K660" s="732" t="n">
        <f aca="false">AVERAGE($E$216:E660)</f>
        <v>7.24238994996925</v>
      </c>
      <c r="L660" s="819" t="n">
        <f aca="false">L659+1</f>
        <v>445</v>
      </c>
      <c r="M660" s="820" t="n">
        <f aca="false">IF(B660&lt;$E$104,$E$105,$E$106)</f>
        <v>3</v>
      </c>
      <c r="N660" s="821" t="n">
        <f aca="false">IF(B660&lt;$E$104,$E$105,$E$111)</f>
        <v>2.5</v>
      </c>
      <c r="O660" s="822" t="n">
        <f aca="false">E660*$E$205*N660</f>
        <v>124.560217425741</v>
      </c>
      <c r="P660" s="823" t="n">
        <f aca="false">P659+O660</f>
        <v>42141.7043529504</v>
      </c>
      <c r="Q660" s="606" t="n">
        <f aca="false">Q659+1</f>
        <v>445</v>
      </c>
      <c r="R660" s="824" t="n">
        <f aca="false">R659-1</f>
        <v>-445</v>
      </c>
      <c r="S660" s="5"/>
      <c r="T660" s="5"/>
      <c r="U660" s="5"/>
      <c r="V660" s="10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02"/>
      <c r="AU660" s="502"/>
      <c r="AV660" s="606"/>
      <c r="AW660" s="502"/>
      <c r="AX660" s="502"/>
      <c r="AY660" s="502"/>
      <c r="AZ660" s="502"/>
      <c r="BA660" s="502"/>
      <c r="BB660" s="502"/>
      <c r="BC660" s="502"/>
      <c r="BD660" s="502"/>
      <c r="BE660" s="502"/>
      <c r="BF660" s="502"/>
      <c r="BG660" s="502"/>
      <c r="BH660" s="502"/>
      <c r="BI660" s="502"/>
      <c r="BJ660" s="502"/>
      <c r="BK660" s="502"/>
      <c r="BL660" s="502"/>
      <c r="BM660" s="502"/>
      <c r="BN660" s="502"/>
      <c r="BO660" s="502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</row>
    <row r="661" s="504" customFormat="true" ht="12.75" hidden="true" customHeight="true" outlineLevel="0" collapsed="false">
      <c r="A661" s="5"/>
      <c r="B661" s="813" t="n">
        <f aca="false">B660+1</f>
        <v>446</v>
      </c>
      <c r="C661" s="814" t="n">
        <f aca="false">C660+D661</f>
        <v>50657.658444</v>
      </c>
      <c r="D661" s="815" t="n">
        <f aca="false">E661*$E$205*M661</f>
        <v>149.62994091089</v>
      </c>
      <c r="E661" s="601" t="n">
        <f aca="false">E660+$C$204</f>
        <v>9.4894686016546</v>
      </c>
      <c r="F661" s="816" t="n">
        <f aca="false">F660+1</f>
        <v>446</v>
      </c>
      <c r="G661" s="775" t="n">
        <f aca="false">C661</f>
        <v>50657.658444</v>
      </c>
      <c r="H661" s="817" t="n">
        <f aca="false">1000*(E661-E660)</f>
        <v>9.99999999999979</v>
      </c>
      <c r="I661" s="5"/>
      <c r="J661" s="818" t="n">
        <f aca="false">1000*(E661-$E$215)/(B661-$B$215)</f>
        <v>13.5288561178739</v>
      </c>
      <c r="K661" s="732" t="n">
        <f aca="false">AVERAGE($E$216:E661)</f>
        <v>7.24742824291025</v>
      </c>
      <c r="L661" s="819" t="n">
        <f aca="false">L660+1</f>
        <v>446</v>
      </c>
      <c r="M661" s="820" t="n">
        <f aca="false">IF(B661&lt;$E$104,$E$105,$E$106)</f>
        <v>3</v>
      </c>
      <c r="N661" s="821" t="n">
        <f aca="false">IF(B661&lt;$E$104,$E$105,$E$111)</f>
        <v>2.5</v>
      </c>
      <c r="O661" s="822" t="n">
        <f aca="false">E661*$E$205*N661</f>
        <v>124.691617425741</v>
      </c>
      <c r="P661" s="823" t="n">
        <f aca="false">P660+O661</f>
        <v>42266.3959703762</v>
      </c>
      <c r="Q661" s="606" t="n">
        <f aca="false">Q660+1</f>
        <v>446</v>
      </c>
      <c r="R661" s="824" t="n">
        <f aca="false">R660-1</f>
        <v>-446</v>
      </c>
      <c r="S661" s="5"/>
      <c r="T661" s="5"/>
      <c r="U661" s="5"/>
      <c r="V661" s="10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02"/>
      <c r="AU661" s="502"/>
      <c r="AV661" s="606"/>
      <c r="AW661" s="502"/>
      <c r="AX661" s="502"/>
      <c r="AY661" s="502"/>
      <c r="AZ661" s="502"/>
      <c r="BA661" s="502"/>
      <c r="BB661" s="502"/>
      <c r="BC661" s="502"/>
      <c r="BD661" s="502"/>
      <c r="BE661" s="502"/>
      <c r="BF661" s="502"/>
      <c r="BG661" s="502"/>
      <c r="BH661" s="502"/>
      <c r="BI661" s="502"/>
      <c r="BJ661" s="502"/>
      <c r="BK661" s="502"/>
      <c r="BL661" s="502"/>
      <c r="BM661" s="502"/>
      <c r="BN661" s="502"/>
      <c r="BO661" s="502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</row>
    <row r="662" s="504" customFormat="true" ht="12.75" hidden="true" customHeight="true" outlineLevel="0" collapsed="false">
      <c r="A662" s="5"/>
      <c r="B662" s="813" t="n">
        <f aca="false">B661+1</f>
        <v>447</v>
      </c>
      <c r="C662" s="814" t="n">
        <f aca="false">C661+D662</f>
        <v>50807.4460649109</v>
      </c>
      <c r="D662" s="815" t="n">
        <f aca="false">E662*$E$205*M662</f>
        <v>149.78762091089</v>
      </c>
      <c r="E662" s="601" t="n">
        <f aca="false">E661+$C$204</f>
        <v>9.4994686016546</v>
      </c>
      <c r="F662" s="816" t="n">
        <f aca="false">F661+1</f>
        <v>447</v>
      </c>
      <c r="G662" s="775" t="n">
        <f aca="false">C662</f>
        <v>50807.4460649109</v>
      </c>
      <c r="H662" s="817" t="n">
        <f aca="false">1000*(E662-E661)</f>
        <v>9.99999999999979</v>
      </c>
      <c r="I662" s="5"/>
      <c r="J662" s="818" t="n">
        <f aca="false">1000*(E662-$E$215)/(B662-$B$215)</f>
        <v>13.5209615851717</v>
      </c>
      <c r="K662" s="732" t="n">
        <f aca="false">AVERAGE($E$216:E662)</f>
        <v>7.25246636451818</v>
      </c>
      <c r="L662" s="819" t="n">
        <f aca="false">L661+1</f>
        <v>447</v>
      </c>
      <c r="M662" s="820" t="n">
        <f aca="false">IF(B662&lt;$E$104,$E$105,$E$106)</f>
        <v>3</v>
      </c>
      <c r="N662" s="821" t="n">
        <f aca="false">IF(B662&lt;$E$104,$E$105,$E$111)</f>
        <v>2.5</v>
      </c>
      <c r="O662" s="822" t="n">
        <f aca="false">E662*$E$205*N662</f>
        <v>124.823017425741</v>
      </c>
      <c r="P662" s="823" t="n">
        <f aca="false">P661+O662</f>
        <v>42391.2189878019</v>
      </c>
      <c r="Q662" s="606" t="n">
        <f aca="false">Q661+1</f>
        <v>447</v>
      </c>
      <c r="R662" s="824" t="n">
        <f aca="false">R661-1</f>
        <v>-447</v>
      </c>
      <c r="S662" s="5"/>
      <c r="T662" s="5"/>
      <c r="U662" s="5"/>
      <c r="V662" s="10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02"/>
      <c r="AU662" s="502"/>
      <c r="AV662" s="606"/>
      <c r="AW662" s="502"/>
      <c r="AX662" s="502"/>
      <c r="AY662" s="502"/>
      <c r="AZ662" s="502"/>
      <c r="BA662" s="502"/>
      <c r="BB662" s="502"/>
      <c r="BC662" s="502"/>
      <c r="BD662" s="502"/>
      <c r="BE662" s="502"/>
      <c r="BF662" s="502"/>
      <c r="BG662" s="502"/>
      <c r="BH662" s="502"/>
      <c r="BI662" s="502"/>
      <c r="BJ662" s="502"/>
      <c r="BK662" s="502"/>
      <c r="BL662" s="502"/>
      <c r="BM662" s="502"/>
      <c r="BN662" s="502"/>
      <c r="BO662" s="502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</row>
    <row r="663" s="504" customFormat="true" ht="12.75" hidden="true" customHeight="true" outlineLevel="0" collapsed="false">
      <c r="A663" s="5"/>
      <c r="B663" s="813" t="n">
        <f aca="false">B662+1</f>
        <v>448</v>
      </c>
      <c r="C663" s="814" t="n">
        <f aca="false">C662+D663</f>
        <v>50957.3913658217</v>
      </c>
      <c r="D663" s="815" t="n">
        <f aca="false">E663*$E$205*M663</f>
        <v>149.94530091089</v>
      </c>
      <c r="E663" s="601" t="n">
        <f aca="false">E662+$C$204</f>
        <v>9.50946860165459</v>
      </c>
      <c r="F663" s="816" t="n">
        <f aca="false">F662+1</f>
        <v>448</v>
      </c>
      <c r="G663" s="775" t="n">
        <f aca="false">C663</f>
        <v>50957.3913658217</v>
      </c>
      <c r="H663" s="817" t="n">
        <f aca="false">1000*(E663-E662)</f>
        <v>9.99999999999979</v>
      </c>
      <c r="I663" s="5"/>
      <c r="J663" s="818" t="n">
        <f aca="false">1000*(E663-$E$215)/(B663-$B$215)</f>
        <v>13.5131022959191</v>
      </c>
      <c r="K663" s="732" t="n">
        <f aca="false">AVERAGE($E$216:E663)</f>
        <v>7.25750431594036</v>
      </c>
      <c r="L663" s="819" t="n">
        <f aca="false">L662+1</f>
        <v>448</v>
      </c>
      <c r="M663" s="820" t="n">
        <f aca="false">IF(B663&lt;$E$104,$E$105,$E$106)</f>
        <v>3</v>
      </c>
      <c r="N663" s="821" t="n">
        <f aca="false">IF(B663&lt;$E$104,$E$105,$E$111)</f>
        <v>2.5</v>
      </c>
      <c r="O663" s="822" t="n">
        <f aca="false">E663*$E$205*N663</f>
        <v>124.954417425741</v>
      </c>
      <c r="P663" s="823" t="n">
        <f aca="false">P662+O663</f>
        <v>42516.1734052277</v>
      </c>
      <c r="Q663" s="606" t="n">
        <f aca="false">Q662+1</f>
        <v>448</v>
      </c>
      <c r="R663" s="824" t="n">
        <f aca="false">R662-1</f>
        <v>-448</v>
      </c>
      <c r="S663" s="5"/>
      <c r="T663" s="5"/>
      <c r="U663" s="5"/>
      <c r="V663" s="10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02"/>
      <c r="AU663" s="502"/>
      <c r="AV663" s="606"/>
      <c r="AW663" s="502"/>
      <c r="AX663" s="502"/>
      <c r="AY663" s="502"/>
      <c r="AZ663" s="502"/>
      <c r="BA663" s="502"/>
      <c r="BB663" s="502"/>
      <c r="BC663" s="502"/>
      <c r="BD663" s="502"/>
      <c r="BE663" s="502"/>
      <c r="BF663" s="502"/>
      <c r="BG663" s="502"/>
      <c r="BH663" s="502"/>
      <c r="BI663" s="502"/>
      <c r="BJ663" s="502"/>
      <c r="BK663" s="502"/>
      <c r="BL663" s="502"/>
      <c r="BM663" s="502"/>
      <c r="BN663" s="502"/>
      <c r="BO663" s="502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</row>
    <row r="664" s="504" customFormat="true" ht="12.75" hidden="true" customHeight="true" outlineLevel="0" collapsed="false">
      <c r="A664" s="5"/>
      <c r="B664" s="813" t="n">
        <f aca="false">B663+1</f>
        <v>449</v>
      </c>
      <c r="C664" s="814" t="n">
        <f aca="false">C663+D664</f>
        <v>51107.4943467326</v>
      </c>
      <c r="D664" s="815" t="n">
        <f aca="false">E664*$E$205*M664</f>
        <v>150.10298091089</v>
      </c>
      <c r="E664" s="601" t="n">
        <f aca="false">E663+$C$204</f>
        <v>9.51946860165459</v>
      </c>
      <c r="F664" s="816" t="n">
        <f aca="false">F663+1</f>
        <v>449</v>
      </c>
      <c r="G664" s="775" t="n">
        <f aca="false">C664</f>
        <v>51107.4943467326</v>
      </c>
      <c r="H664" s="817" t="n">
        <f aca="false">1000*(E664-E663)</f>
        <v>9.99999999999979</v>
      </c>
      <c r="I664" s="5"/>
      <c r="J664" s="818" t="n">
        <f aca="false">1000*(E664-$E$215)/(B664-$B$215)</f>
        <v>13.5052780146364</v>
      </c>
      <c r="K664" s="732" t="n">
        <f aca="false">AVERAGE($E$216:E664)</f>
        <v>7.26254209831388</v>
      </c>
      <c r="L664" s="819" t="n">
        <f aca="false">L663+1</f>
        <v>449</v>
      </c>
      <c r="M664" s="820" t="n">
        <f aca="false">IF(B664&lt;$E$104,$E$105,$E$106)</f>
        <v>3</v>
      </c>
      <c r="N664" s="821" t="n">
        <f aca="false">IF(B664&lt;$E$104,$E$105,$E$111)</f>
        <v>2.5</v>
      </c>
      <c r="O664" s="822" t="n">
        <f aca="false">E664*$E$205*N664</f>
        <v>125.085817425741</v>
      </c>
      <c r="P664" s="823" t="n">
        <f aca="false">P663+O664</f>
        <v>42641.2592226534</v>
      </c>
      <c r="Q664" s="606" t="n">
        <f aca="false">Q663+1</f>
        <v>449</v>
      </c>
      <c r="R664" s="824" t="n">
        <f aca="false">R663-1</f>
        <v>-449</v>
      </c>
      <c r="S664" s="5"/>
      <c r="T664" s="5"/>
      <c r="U664" s="5"/>
      <c r="V664" s="10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02"/>
      <c r="AU664" s="502"/>
      <c r="AV664" s="606"/>
      <c r="AW664" s="502"/>
      <c r="AX664" s="502"/>
      <c r="AY664" s="502"/>
      <c r="AZ664" s="502"/>
      <c r="BA664" s="502"/>
      <c r="BB664" s="502"/>
      <c r="BC664" s="502"/>
      <c r="BD664" s="502"/>
      <c r="BE664" s="502"/>
      <c r="BF664" s="502"/>
      <c r="BG664" s="502"/>
      <c r="BH664" s="502"/>
      <c r="BI664" s="502"/>
      <c r="BJ664" s="502"/>
      <c r="BK664" s="502"/>
      <c r="BL664" s="502"/>
      <c r="BM664" s="502"/>
      <c r="BN664" s="502"/>
      <c r="BO664" s="502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</row>
    <row r="665" s="504" customFormat="true" ht="12.75" hidden="true" customHeight="true" outlineLevel="0" collapsed="false">
      <c r="A665" s="5"/>
      <c r="B665" s="813" t="n">
        <f aca="false">B664+1</f>
        <v>450</v>
      </c>
      <c r="C665" s="814" t="n">
        <f aca="false">C664+D665</f>
        <v>51257.7550076435</v>
      </c>
      <c r="D665" s="815" t="n">
        <f aca="false">E665*$E$205*M665</f>
        <v>150.26066091089</v>
      </c>
      <c r="E665" s="601" t="n">
        <f aca="false">E664+$C$204</f>
        <v>9.52946860165459</v>
      </c>
      <c r="F665" s="816" t="n">
        <f aca="false">F664+1</f>
        <v>450</v>
      </c>
      <c r="G665" s="775" t="n">
        <f aca="false">C665</f>
        <v>51257.7550076435</v>
      </c>
      <c r="H665" s="817" t="n">
        <f aca="false">1000*(E665-E664)</f>
        <v>9.99999999999979</v>
      </c>
      <c r="I665" s="5"/>
      <c r="J665" s="818" t="n">
        <f aca="false">1000*(E665-$E$215)/(B665-$B$215)</f>
        <v>13.4974885079372</v>
      </c>
      <c r="K665" s="732" t="n">
        <f aca="false">AVERAGE($E$216:E665)</f>
        <v>7.26757971276575</v>
      </c>
      <c r="L665" s="819" t="n">
        <f aca="false">L664+1</f>
        <v>450</v>
      </c>
      <c r="M665" s="820" t="n">
        <f aca="false">IF(B665&lt;$E$104,$E$105,$E$106)</f>
        <v>3</v>
      </c>
      <c r="N665" s="821" t="n">
        <f aca="false">IF(B665&lt;$E$104,$E$105,$E$111)</f>
        <v>2.5</v>
      </c>
      <c r="O665" s="822" t="n">
        <f aca="false">E665*$E$205*N665</f>
        <v>125.217217425741</v>
      </c>
      <c r="P665" s="823" t="n">
        <f aca="false">P664+O665</f>
        <v>42766.4764400791</v>
      </c>
      <c r="Q665" s="606" t="n">
        <f aca="false">Q664+1</f>
        <v>450</v>
      </c>
      <c r="R665" s="824" t="n">
        <f aca="false">R664-1</f>
        <v>-450</v>
      </c>
      <c r="S665" s="5"/>
      <c r="T665" s="5"/>
      <c r="U665" s="5"/>
      <c r="V665" s="10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02"/>
      <c r="AU665" s="502"/>
      <c r="AV665" s="606"/>
      <c r="AW665" s="502"/>
      <c r="AX665" s="502"/>
      <c r="AY665" s="502"/>
      <c r="AZ665" s="502"/>
      <c r="BA665" s="502"/>
      <c r="BB665" s="502"/>
      <c r="BC665" s="502"/>
      <c r="BD665" s="502"/>
      <c r="BE665" s="502"/>
      <c r="BF665" s="502"/>
      <c r="BG665" s="502"/>
      <c r="BH665" s="502"/>
      <c r="BI665" s="502"/>
      <c r="BJ665" s="502"/>
      <c r="BK665" s="502"/>
      <c r="BL665" s="502"/>
      <c r="BM665" s="502"/>
      <c r="BN665" s="502"/>
      <c r="BO665" s="502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</row>
    <row r="666" s="504" customFormat="true" ht="12.75" hidden="true" customHeight="true" outlineLevel="0" collapsed="false">
      <c r="A666" s="5"/>
      <c r="B666" s="813" t="n">
        <f aca="false">B665+1</f>
        <v>451</v>
      </c>
      <c r="C666" s="814" t="n">
        <f aca="false">C665+D666</f>
        <v>51408.1733485544</v>
      </c>
      <c r="D666" s="815" t="n">
        <f aca="false">E666*$E$205*M666</f>
        <v>150.41834091089</v>
      </c>
      <c r="E666" s="601" t="n">
        <f aca="false">E665+$C$204</f>
        <v>9.53946860165459</v>
      </c>
      <c r="F666" s="816" t="n">
        <f aca="false">F665+1</f>
        <v>451</v>
      </c>
      <c r="G666" s="775" t="n">
        <f aca="false">C666</f>
        <v>51408.1733485544</v>
      </c>
      <c r="H666" s="817" t="n">
        <f aca="false">1000*(E666-E665)</f>
        <v>9.99999999999979</v>
      </c>
      <c r="I666" s="5"/>
      <c r="J666" s="818" t="n">
        <f aca="false">1000*(E666-$E$215)/(B666-$B$215)</f>
        <v>13.489733544505</v>
      </c>
      <c r="K666" s="732" t="n">
        <f aca="false">AVERAGE($E$216:E666)</f>
        <v>7.27261716041296</v>
      </c>
      <c r="L666" s="819" t="n">
        <f aca="false">L665+1</f>
        <v>451</v>
      </c>
      <c r="M666" s="820" t="n">
        <f aca="false">IF(B666&lt;$E$104,$E$105,$E$106)</f>
        <v>3</v>
      </c>
      <c r="N666" s="821" t="n">
        <f aca="false">IF(B666&lt;$E$104,$E$105,$E$111)</f>
        <v>2.5</v>
      </c>
      <c r="O666" s="822" t="n">
        <f aca="false">E666*$E$205*N666</f>
        <v>125.348617425741</v>
      </c>
      <c r="P666" s="823" t="n">
        <f aca="false">P665+O666</f>
        <v>42891.8250575049</v>
      </c>
      <c r="Q666" s="606" t="n">
        <f aca="false">Q665+1</f>
        <v>451</v>
      </c>
      <c r="R666" s="824" t="n">
        <f aca="false">R665-1</f>
        <v>-451</v>
      </c>
      <c r="S666" s="5"/>
      <c r="T666" s="5"/>
      <c r="U666" s="5"/>
      <c r="V666" s="10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02"/>
      <c r="AU666" s="502"/>
      <c r="AV666" s="606"/>
      <c r="AW666" s="502"/>
      <c r="AX666" s="502"/>
      <c r="AY666" s="502"/>
      <c r="AZ666" s="502"/>
      <c r="BA666" s="502"/>
      <c r="BB666" s="502"/>
      <c r="BC666" s="502"/>
      <c r="BD666" s="502"/>
      <c r="BE666" s="502"/>
      <c r="BF666" s="502"/>
      <c r="BG666" s="502"/>
      <c r="BH666" s="502"/>
      <c r="BI666" s="502"/>
      <c r="BJ666" s="502"/>
      <c r="BK666" s="502"/>
      <c r="BL666" s="502"/>
      <c r="BM666" s="502"/>
      <c r="BN666" s="502"/>
      <c r="BO666" s="502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</row>
    <row r="667" s="504" customFormat="true" ht="12.75" hidden="true" customHeight="true" outlineLevel="0" collapsed="false">
      <c r="A667" s="5"/>
      <c r="B667" s="813" t="n">
        <f aca="false">B666+1</f>
        <v>452</v>
      </c>
      <c r="C667" s="814" t="n">
        <f aca="false">C666+D667</f>
        <v>51558.7493694653</v>
      </c>
      <c r="D667" s="815" t="n">
        <f aca="false">E667*$E$205*M667</f>
        <v>150.57602091089</v>
      </c>
      <c r="E667" s="601" t="n">
        <f aca="false">E666+$C$204</f>
        <v>9.54946860165459</v>
      </c>
      <c r="F667" s="816" t="n">
        <f aca="false">F666+1</f>
        <v>452</v>
      </c>
      <c r="G667" s="775" t="n">
        <f aca="false">C667</f>
        <v>51558.7493694653</v>
      </c>
      <c r="H667" s="817" t="n">
        <f aca="false">1000*(E667-E666)</f>
        <v>9.99999999999979</v>
      </c>
      <c r="I667" s="5"/>
      <c r="J667" s="818" t="n">
        <f aca="false">1000*(E667-$E$215)/(B667-$B$215)</f>
        <v>13.4820128950702</v>
      </c>
      <c r="K667" s="732" t="n">
        <f aca="false">AVERAGE($E$216:E667)</f>
        <v>7.27765444236261</v>
      </c>
      <c r="L667" s="819" t="n">
        <f aca="false">L666+1</f>
        <v>452</v>
      </c>
      <c r="M667" s="820" t="n">
        <f aca="false">IF(B667&lt;$E$104,$E$105,$E$106)</f>
        <v>3</v>
      </c>
      <c r="N667" s="821" t="n">
        <f aca="false">IF(B667&lt;$E$104,$E$105,$E$111)</f>
        <v>2.5</v>
      </c>
      <c r="O667" s="822" t="n">
        <f aca="false">E667*$E$205*N667</f>
        <v>125.480017425741</v>
      </c>
      <c r="P667" s="823" t="n">
        <f aca="false">P666+O667</f>
        <v>43017.3050749306</v>
      </c>
      <c r="Q667" s="606" t="n">
        <f aca="false">Q666+1</f>
        <v>452</v>
      </c>
      <c r="R667" s="824" t="n">
        <f aca="false">R666-1</f>
        <v>-452</v>
      </c>
      <c r="S667" s="5"/>
      <c r="T667" s="5"/>
      <c r="U667" s="5"/>
      <c r="V667" s="10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02"/>
      <c r="AU667" s="502"/>
      <c r="AV667" s="606"/>
      <c r="AW667" s="502"/>
      <c r="AX667" s="502"/>
      <c r="AY667" s="502"/>
      <c r="AZ667" s="502"/>
      <c r="BA667" s="502"/>
      <c r="BB667" s="502"/>
      <c r="BC667" s="502"/>
      <c r="BD667" s="502"/>
      <c r="BE667" s="502"/>
      <c r="BF667" s="502"/>
      <c r="BG667" s="502"/>
      <c r="BH667" s="502"/>
      <c r="BI667" s="502"/>
      <c r="BJ667" s="502"/>
      <c r="BK667" s="502"/>
      <c r="BL667" s="502"/>
      <c r="BM667" s="502"/>
      <c r="BN667" s="502"/>
      <c r="BO667" s="502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</row>
    <row r="668" s="504" customFormat="true" ht="12.75" hidden="true" customHeight="true" outlineLevel="0" collapsed="false">
      <c r="A668" s="5"/>
      <c r="B668" s="813" t="n">
        <f aca="false">B667+1</f>
        <v>453</v>
      </c>
      <c r="C668" s="814" t="n">
        <f aca="false">C667+D668</f>
        <v>51709.4830703762</v>
      </c>
      <c r="D668" s="815" t="n">
        <f aca="false">E668*$E$205*M668</f>
        <v>150.73370091089</v>
      </c>
      <c r="E668" s="601" t="n">
        <f aca="false">E667+$C$204</f>
        <v>9.55946860165459</v>
      </c>
      <c r="F668" s="816" t="n">
        <f aca="false">F667+1</f>
        <v>453</v>
      </c>
      <c r="G668" s="775" t="n">
        <f aca="false">C668</f>
        <v>51709.4830703762</v>
      </c>
      <c r="H668" s="817" t="n">
        <f aca="false">1000*(E668-E667)</f>
        <v>9.99999999999979</v>
      </c>
      <c r="I668" s="5"/>
      <c r="J668" s="818" t="n">
        <f aca="false">1000*(E668-$E$215)/(B668-$B$215)</f>
        <v>13.474326332388</v>
      </c>
      <c r="K668" s="732" t="n">
        <f aca="false">AVERAGE($E$216:E668)</f>
        <v>7.28269155971204</v>
      </c>
      <c r="L668" s="819" t="n">
        <f aca="false">L667+1</f>
        <v>453</v>
      </c>
      <c r="M668" s="820" t="n">
        <f aca="false">IF(B668&lt;$E$104,$E$105,$E$106)</f>
        <v>3</v>
      </c>
      <c r="N668" s="821" t="n">
        <f aca="false">IF(B668&lt;$E$104,$E$105,$E$111)</f>
        <v>2.5</v>
      </c>
      <c r="O668" s="822" t="n">
        <f aca="false">E668*$E$205*N668</f>
        <v>125.611417425741</v>
      </c>
      <c r="P668" s="823" t="n">
        <f aca="false">P667+O668</f>
        <v>43142.9164923564</v>
      </c>
      <c r="Q668" s="606" t="n">
        <f aca="false">Q667+1</f>
        <v>453</v>
      </c>
      <c r="R668" s="824" t="n">
        <f aca="false">R667-1</f>
        <v>-453</v>
      </c>
      <c r="S668" s="5"/>
      <c r="T668" s="5"/>
      <c r="U668" s="5"/>
      <c r="V668" s="10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02"/>
      <c r="AU668" s="502"/>
      <c r="AV668" s="606"/>
      <c r="AW668" s="502"/>
      <c r="AX668" s="502"/>
      <c r="AY668" s="502"/>
      <c r="AZ668" s="502"/>
      <c r="BA668" s="502"/>
      <c r="BB668" s="502"/>
      <c r="BC668" s="502"/>
      <c r="BD668" s="502"/>
      <c r="BE668" s="502"/>
      <c r="BF668" s="502"/>
      <c r="BG668" s="502"/>
      <c r="BH668" s="502"/>
      <c r="BI668" s="502"/>
      <c r="BJ668" s="502"/>
      <c r="BK668" s="502"/>
      <c r="BL668" s="502"/>
      <c r="BM668" s="502"/>
      <c r="BN668" s="502"/>
      <c r="BO668" s="502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</row>
    <row r="669" s="504" customFormat="true" ht="12.75" hidden="true" customHeight="true" outlineLevel="0" collapsed="false">
      <c r="A669" s="5"/>
      <c r="B669" s="813" t="n">
        <f aca="false">B668+1</f>
        <v>454</v>
      </c>
      <c r="C669" s="814" t="n">
        <f aca="false">C668+D669</f>
        <v>51860.3744512871</v>
      </c>
      <c r="D669" s="815" t="n">
        <f aca="false">E669*$E$205*M669</f>
        <v>150.89138091089</v>
      </c>
      <c r="E669" s="601" t="n">
        <f aca="false">E668+$C$204</f>
        <v>9.56946860165459</v>
      </c>
      <c r="F669" s="816" t="n">
        <f aca="false">F668+1</f>
        <v>454</v>
      </c>
      <c r="G669" s="775" t="n">
        <f aca="false">C669</f>
        <v>51860.3744512871</v>
      </c>
      <c r="H669" s="817" t="n">
        <f aca="false">1000*(E669-E668)</f>
        <v>9.99999999999979</v>
      </c>
      <c r="I669" s="5"/>
      <c r="J669" s="818" t="n">
        <f aca="false">1000*(E669-$E$215)/(B669-$B$215)</f>
        <v>13.4666736312153</v>
      </c>
      <c r="K669" s="732" t="n">
        <f aca="false">AVERAGE($E$216:E669)</f>
        <v>7.28772851354891</v>
      </c>
      <c r="L669" s="819" t="n">
        <f aca="false">L668+1</f>
        <v>454</v>
      </c>
      <c r="M669" s="820" t="n">
        <f aca="false">IF(B669&lt;$E$104,$E$105,$E$106)</f>
        <v>3</v>
      </c>
      <c r="N669" s="821" t="n">
        <f aca="false">IF(B669&lt;$E$104,$E$105,$E$111)</f>
        <v>2.5</v>
      </c>
      <c r="O669" s="822" t="n">
        <f aca="false">E669*$E$205*N669</f>
        <v>125.742817425741</v>
      </c>
      <c r="P669" s="823" t="n">
        <f aca="false">P668+O669</f>
        <v>43268.6593097821</v>
      </c>
      <c r="Q669" s="606" t="n">
        <f aca="false">Q668+1</f>
        <v>454</v>
      </c>
      <c r="R669" s="824" t="n">
        <f aca="false">R668-1</f>
        <v>-454</v>
      </c>
      <c r="S669" s="5"/>
      <c r="T669" s="5"/>
      <c r="U669" s="5"/>
      <c r="V669" s="10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02"/>
      <c r="AU669" s="502"/>
      <c r="AV669" s="606"/>
      <c r="AW669" s="502"/>
      <c r="AX669" s="502"/>
      <c r="AY669" s="502"/>
      <c r="AZ669" s="502"/>
      <c r="BA669" s="502"/>
      <c r="BB669" s="502"/>
      <c r="BC669" s="502"/>
      <c r="BD669" s="502"/>
      <c r="BE669" s="502"/>
      <c r="BF669" s="502"/>
      <c r="BG669" s="502"/>
      <c r="BH669" s="502"/>
      <c r="BI669" s="502"/>
      <c r="BJ669" s="502"/>
      <c r="BK669" s="502"/>
      <c r="BL669" s="502"/>
      <c r="BM669" s="502"/>
      <c r="BN669" s="502"/>
      <c r="BO669" s="502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</row>
    <row r="670" s="504" customFormat="true" ht="12.75" hidden="true" customHeight="true" outlineLevel="0" collapsed="false">
      <c r="A670" s="5"/>
      <c r="B670" s="813" t="n">
        <f aca="false">B669+1</f>
        <v>455</v>
      </c>
      <c r="C670" s="814" t="n">
        <f aca="false">C669+D670</f>
        <v>52011.423512198</v>
      </c>
      <c r="D670" s="815" t="n">
        <f aca="false">E670*$E$205*M670</f>
        <v>151.04906091089</v>
      </c>
      <c r="E670" s="601" t="n">
        <f aca="false">E669+$C$204</f>
        <v>9.57946860165459</v>
      </c>
      <c r="F670" s="816" t="n">
        <f aca="false">F669+1</f>
        <v>455</v>
      </c>
      <c r="G670" s="775" t="n">
        <f aca="false">C670</f>
        <v>52011.423512198</v>
      </c>
      <c r="H670" s="817" t="n">
        <f aca="false">1000*(E670-E669)</f>
        <v>9.99999999999979</v>
      </c>
      <c r="I670" s="5"/>
      <c r="J670" s="818" t="n">
        <f aca="false">1000*(E670-$E$215)/(B670-$B$215)</f>
        <v>13.4590545682896</v>
      </c>
      <c r="K670" s="732" t="n">
        <f aca="false">AVERAGE($E$216:E670)</f>
        <v>7.29276530495134</v>
      </c>
      <c r="L670" s="819" t="n">
        <f aca="false">L669+1</f>
        <v>455</v>
      </c>
      <c r="M670" s="820" t="n">
        <f aca="false">IF(B670&lt;$E$104,$E$105,$E$106)</f>
        <v>3</v>
      </c>
      <c r="N670" s="821" t="n">
        <f aca="false">IF(B670&lt;$E$104,$E$105,$E$111)</f>
        <v>2.5</v>
      </c>
      <c r="O670" s="822" t="n">
        <f aca="false">E670*$E$205*N670</f>
        <v>125.874217425741</v>
      </c>
      <c r="P670" s="823" t="n">
        <f aca="false">P669+O670</f>
        <v>43394.5335272079</v>
      </c>
      <c r="Q670" s="606" t="n">
        <f aca="false">Q669+1</f>
        <v>455</v>
      </c>
      <c r="R670" s="824" t="n">
        <f aca="false">R669-1</f>
        <v>-455</v>
      </c>
      <c r="S670" s="5"/>
      <c r="T670" s="5"/>
      <c r="U670" s="5"/>
      <c r="V670" s="10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02"/>
      <c r="AU670" s="502"/>
      <c r="AV670" s="606"/>
      <c r="AW670" s="502"/>
      <c r="AX670" s="502"/>
      <c r="AY670" s="502"/>
      <c r="AZ670" s="502"/>
      <c r="BA670" s="502"/>
      <c r="BB670" s="502"/>
      <c r="BC670" s="502"/>
      <c r="BD670" s="502"/>
      <c r="BE670" s="502"/>
      <c r="BF670" s="502"/>
      <c r="BG670" s="502"/>
      <c r="BH670" s="502"/>
      <c r="BI670" s="502"/>
      <c r="BJ670" s="502"/>
      <c r="BK670" s="502"/>
      <c r="BL670" s="502"/>
      <c r="BM670" s="502"/>
      <c r="BN670" s="502"/>
      <c r="BO670" s="502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</row>
    <row r="671" s="504" customFormat="true" ht="12.75" hidden="true" customHeight="true" outlineLevel="0" collapsed="false">
      <c r="A671" s="5"/>
      <c r="B671" s="813" t="n">
        <f aca="false">B670+1</f>
        <v>456</v>
      </c>
      <c r="C671" s="814" t="n">
        <f aca="false">C670+D671</f>
        <v>52162.6302531089</v>
      </c>
      <c r="D671" s="815" t="n">
        <f aca="false">E671*$E$205*M671</f>
        <v>151.20674091089</v>
      </c>
      <c r="E671" s="601" t="n">
        <f aca="false">E670+$C$204</f>
        <v>9.58946860165459</v>
      </c>
      <c r="F671" s="816" t="n">
        <f aca="false">F670+1</f>
        <v>456</v>
      </c>
      <c r="G671" s="775" t="n">
        <f aca="false">C671</f>
        <v>52162.6302531089</v>
      </c>
      <c r="H671" s="817" t="n">
        <f aca="false">1000*(E671-E670)</f>
        <v>9.99999999999979</v>
      </c>
      <c r="I671" s="5"/>
      <c r="J671" s="818" t="n">
        <f aca="false">1000*(E671-$E$215)/(B671-$B$215)</f>
        <v>13.4514689223065</v>
      </c>
      <c r="K671" s="732" t="n">
        <f aca="false">AVERAGE($E$216:E671)</f>
        <v>7.29780193498798</v>
      </c>
      <c r="L671" s="819" t="n">
        <f aca="false">L670+1</f>
        <v>456</v>
      </c>
      <c r="M671" s="820" t="n">
        <f aca="false">IF(B671&lt;$E$104,$E$105,$E$106)</f>
        <v>3</v>
      </c>
      <c r="N671" s="821" t="n">
        <f aca="false">IF(B671&lt;$E$104,$E$105,$E$111)</f>
        <v>2.5</v>
      </c>
      <c r="O671" s="822" t="n">
        <f aca="false">E671*$E$205*N671</f>
        <v>126.005617425741</v>
      </c>
      <c r="P671" s="823" t="n">
        <f aca="false">P670+O671</f>
        <v>43520.5391446336</v>
      </c>
      <c r="Q671" s="606" t="n">
        <f aca="false">Q670+1</f>
        <v>456</v>
      </c>
      <c r="R671" s="824" t="n">
        <f aca="false">R670-1</f>
        <v>-456</v>
      </c>
      <c r="S671" s="5"/>
      <c r="T671" s="5"/>
      <c r="U671" s="5"/>
      <c r="V671" s="10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02"/>
      <c r="AU671" s="502"/>
      <c r="AV671" s="606"/>
      <c r="AW671" s="502"/>
      <c r="AX671" s="502"/>
      <c r="AY671" s="502"/>
      <c r="AZ671" s="502"/>
      <c r="BA671" s="502"/>
      <c r="BB671" s="502"/>
      <c r="BC671" s="502"/>
      <c r="BD671" s="502"/>
      <c r="BE671" s="502"/>
      <c r="BF671" s="502"/>
      <c r="BG671" s="502"/>
      <c r="BH671" s="502"/>
      <c r="BI671" s="502"/>
      <c r="BJ671" s="502"/>
      <c r="BK671" s="502"/>
      <c r="BL671" s="502"/>
      <c r="BM671" s="502"/>
      <c r="BN671" s="502"/>
      <c r="BO671" s="502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</row>
    <row r="672" s="504" customFormat="true" ht="12.75" hidden="true" customHeight="true" outlineLevel="0" collapsed="false">
      <c r="A672" s="5"/>
      <c r="B672" s="813" t="n">
        <f aca="false">B671+1</f>
        <v>457</v>
      </c>
      <c r="C672" s="814" t="n">
        <f aca="false">C671+D672</f>
        <v>52313.9946740198</v>
      </c>
      <c r="D672" s="815" t="n">
        <f aca="false">E672*$E$205*M672</f>
        <v>151.36442091089</v>
      </c>
      <c r="E672" s="601" t="n">
        <f aca="false">E671+$C$204</f>
        <v>9.59946860165459</v>
      </c>
      <c r="F672" s="816" t="n">
        <f aca="false">F671+1</f>
        <v>457</v>
      </c>
      <c r="G672" s="775" t="n">
        <f aca="false">C672</f>
        <v>52313.9946740198</v>
      </c>
      <c r="H672" s="817" t="n">
        <f aca="false">1000*(E672-E671)</f>
        <v>9.99999999999979</v>
      </c>
      <c r="I672" s="5"/>
      <c r="J672" s="818" t="n">
        <f aca="false">1000*(E672-$E$215)/(B672-$B$215)</f>
        <v>13.4439164738988</v>
      </c>
      <c r="K672" s="732" t="n">
        <f aca="false">AVERAGE($E$216:E672)</f>
        <v>7.3028384047181</v>
      </c>
      <c r="L672" s="819" t="n">
        <f aca="false">L671+1</f>
        <v>457</v>
      </c>
      <c r="M672" s="820" t="n">
        <f aca="false">IF(B672&lt;$E$104,$E$105,$E$106)</f>
        <v>3</v>
      </c>
      <c r="N672" s="821" t="n">
        <f aca="false">IF(B672&lt;$E$104,$E$105,$E$111)</f>
        <v>2.5</v>
      </c>
      <c r="O672" s="822" t="n">
        <f aca="false">E672*$E$205*N672</f>
        <v>126.137017425741</v>
      </c>
      <c r="P672" s="823" t="n">
        <f aca="false">P671+O672</f>
        <v>43646.6761620593</v>
      </c>
      <c r="Q672" s="606" t="n">
        <f aca="false">Q671+1</f>
        <v>457</v>
      </c>
      <c r="R672" s="824" t="n">
        <f aca="false">R671-1</f>
        <v>-457</v>
      </c>
      <c r="S672" s="5"/>
      <c r="T672" s="5"/>
      <c r="U672" s="5"/>
      <c r="V672" s="10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02"/>
      <c r="AU672" s="502"/>
      <c r="AV672" s="606"/>
      <c r="AW672" s="502"/>
      <c r="AX672" s="502"/>
      <c r="AY672" s="502"/>
      <c r="AZ672" s="502"/>
      <c r="BA672" s="502"/>
      <c r="BB672" s="502"/>
      <c r="BC672" s="502"/>
      <c r="BD672" s="502"/>
      <c r="BE672" s="502"/>
      <c r="BF672" s="502"/>
      <c r="BG672" s="502"/>
      <c r="BH672" s="502"/>
      <c r="BI672" s="502"/>
      <c r="BJ672" s="502"/>
      <c r="BK672" s="502"/>
      <c r="BL672" s="502"/>
      <c r="BM672" s="502"/>
      <c r="BN672" s="502"/>
      <c r="BO672" s="502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</row>
    <row r="673" s="504" customFormat="true" ht="12.75" hidden="true" customHeight="true" outlineLevel="0" collapsed="false">
      <c r="A673" s="5"/>
      <c r="B673" s="813" t="n">
        <f aca="false">B672+1</f>
        <v>458</v>
      </c>
      <c r="C673" s="814" t="n">
        <f aca="false">C672+D673</f>
        <v>52465.5167749306</v>
      </c>
      <c r="D673" s="815" t="n">
        <f aca="false">E673*$E$205*M673</f>
        <v>151.52210091089</v>
      </c>
      <c r="E673" s="601" t="n">
        <f aca="false">E672+$C$204</f>
        <v>9.60946860165459</v>
      </c>
      <c r="F673" s="816" t="n">
        <f aca="false">F672+1</f>
        <v>458</v>
      </c>
      <c r="G673" s="775" t="n">
        <f aca="false">C673</f>
        <v>52465.5167749306</v>
      </c>
      <c r="H673" s="817" t="n">
        <f aca="false">1000*(E673-E672)</f>
        <v>9.99999999999979</v>
      </c>
      <c r="I673" s="5"/>
      <c r="J673" s="818" t="n">
        <f aca="false">1000*(E673-$E$215)/(B673-$B$215)</f>
        <v>13.4363970056152</v>
      </c>
      <c r="K673" s="732" t="n">
        <f aca="false">AVERAGE($E$216:E673)</f>
        <v>7.30787471519176</v>
      </c>
      <c r="L673" s="819" t="n">
        <f aca="false">L672+1</f>
        <v>458</v>
      </c>
      <c r="M673" s="820" t="n">
        <f aca="false">IF(B673&lt;$E$104,$E$105,$E$106)</f>
        <v>3</v>
      </c>
      <c r="N673" s="821" t="n">
        <f aca="false">IF(B673&lt;$E$104,$E$105,$E$111)</f>
        <v>2.5</v>
      </c>
      <c r="O673" s="822" t="n">
        <f aca="false">E673*$E$205*N673</f>
        <v>126.268417425741</v>
      </c>
      <c r="P673" s="823" t="n">
        <f aca="false">P672+O673</f>
        <v>43772.9445794851</v>
      </c>
      <c r="Q673" s="606" t="n">
        <f aca="false">Q672+1</f>
        <v>458</v>
      </c>
      <c r="R673" s="824" t="n">
        <f aca="false">R672-1</f>
        <v>-458</v>
      </c>
      <c r="S673" s="5"/>
      <c r="T673" s="5"/>
      <c r="U673" s="5"/>
      <c r="V673" s="10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02"/>
      <c r="AU673" s="502"/>
      <c r="AV673" s="606"/>
      <c r="AW673" s="502"/>
      <c r="AX673" s="502"/>
      <c r="AY673" s="502"/>
      <c r="AZ673" s="502"/>
      <c r="BA673" s="502"/>
      <c r="BB673" s="502"/>
      <c r="BC673" s="502"/>
      <c r="BD673" s="502"/>
      <c r="BE673" s="502"/>
      <c r="BF673" s="502"/>
      <c r="BG673" s="502"/>
      <c r="BH673" s="502"/>
      <c r="BI673" s="502"/>
      <c r="BJ673" s="502"/>
      <c r="BK673" s="502"/>
      <c r="BL673" s="502"/>
      <c r="BM673" s="502"/>
      <c r="BN673" s="502"/>
      <c r="BO673" s="502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</row>
    <row r="674" s="504" customFormat="true" ht="12.75" hidden="true" customHeight="true" outlineLevel="0" collapsed="false">
      <c r="A674" s="5"/>
      <c r="B674" s="813" t="n">
        <f aca="false">B673+1</f>
        <v>459</v>
      </c>
      <c r="C674" s="814" t="n">
        <f aca="false">C673+D674</f>
        <v>52617.1965558415</v>
      </c>
      <c r="D674" s="815" t="n">
        <f aca="false">E674*$E$205*M674</f>
        <v>151.67978091089</v>
      </c>
      <c r="E674" s="601" t="n">
        <f aca="false">E673+$C$204</f>
        <v>9.61946860165459</v>
      </c>
      <c r="F674" s="816" t="n">
        <f aca="false">F673+1</f>
        <v>459</v>
      </c>
      <c r="G674" s="775" t="n">
        <f aca="false">C674</f>
        <v>52617.1965558415</v>
      </c>
      <c r="H674" s="817" t="n">
        <f aca="false">1000*(E674-E673)</f>
        <v>9.99999999999979</v>
      </c>
      <c r="I674" s="5"/>
      <c r="J674" s="818" t="n">
        <f aca="false">1000*(E674-$E$215)/(B674-$B$215)</f>
        <v>13.4289103018992</v>
      </c>
      <c r="K674" s="732" t="n">
        <f aca="false">AVERAGE($E$216:E674)</f>
        <v>7.31291086744985</v>
      </c>
      <c r="L674" s="819" t="n">
        <f aca="false">L673+1</f>
        <v>459</v>
      </c>
      <c r="M674" s="820" t="n">
        <f aca="false">IF(B674&lt;$E$104,$E$105,$E$106)</f>
        <v>3</v>
      </c>
      <c r="N674" s="821" t="n">
        <f aca="false">IF(B674&lt;$E$104,$E$105,$E$111)</f>
        <v>2.5</v>
      </c>
      <c r="O674" s="822" t="n">
        <f aca="false">E674*$E$205*N674</f>
        <v>126.399817425741</v>
      </c>
      <c r="P674" s="823" t="n">
        <f aca="false">P673+O674</f>
        <v>43899.3443969108</v>
      </c>
      <c r="Q674" s="606" t="n">
        <f aca="false">Q673+1</f>
        <v>459</v>
      </c>
      <c r="R674" s="824" t="n">
        <f aca="false">R673-1</f>
        <v>-459</v>
      </c>
      <c r="S674" s="5"/>
      <c r="T674" s="5"/>
      <c r="U674" s="5"/>
      <c r="V674" s="10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02"/>
      <c r="AU674" s="502"/>
      <c r="AV674" s="606"/>
      <c r="AW674" s="502"/>
      <c r="AX674" s="502"/>
      <c r="AY674" s="502"/>
      <c r="AZ674" s="502"/>
      <c r="BA674" s="502"/>
      <c r="BB674" s="502"/>
      <c r="BC674" s="502"/>
      <c r="BD674" s="502"/>
      <c r="BE674" s="502"/>
      <c r="BF674" s="502"/>
      <c r="BG674" s="502"/>
      <c r="BH674" s="502"/>
      <c r="BI674" s="502"/>
      <c r="BJ674" s="502"/>
      <c r="BK674" s="502"/>
      <c r="BL674" s="502"/>
      <c r="BM674" s="502"/>
      <c r="BN674" s="502"/>
      <c r="BO674" s="502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</row>
    <row r="675" s="504" customFormat="true" ht="12.75" hidden="true" customHeight="true" outlineLevel="0" collapsed="false">
      <c r="A675" s="5"/>
      <c r="B675" s="813" t="n">
        <f aca="false">B674+1</f>
        <v>460</v>
      </c>
      <c r="C675" s="814" t="n">
        <f aca="false">C674+D675</f>
        <v>52769.0340167524</v>
      </c>
      <c r="D675" s="815" t="n">
        <f aca="false">E675*$E$205*M675</f>
        <v>151.83746091089</v>
      </c>
      <c r="E675" s="601" t="n">
        <f aca="false">E674+$C$204</f>
        <v>9.62946860165459</v>
      </c>
      <c r="F675" s="816" t="n">
        <f aca="false">F674+1</f>
        <v>460</v>
      </c>
      <c r="G675" s="775" t="n">
        <f aca="false">C675</f>
        <v>52769.0340167524</v>
      </c>
      <c r="H675" s="817" t="n">
        <f aca="false">1000*(E675-E674)</f>
        <v>9.99999999999979</v>
      </c>
      <c r="I675" s="5"/>
      <c r="J675" s="818" t="n">
        <f aca="false">1000*(E675-$E$215)/(B675-$B$215)</f>
        <v>13.421456149069</v>
      </c>
      <c r="K675" s="732" t="n">
        <f aca="false">AVERAGE($E$216:E675)</f>
        <v>7.31794686252421</v>
      </c>
      <c r="L675" s="819" t="n">
        <f aca="false">L674+1</f>
        <v>460</v>
      </c>
      <c r="M675" s="820" t="n">
        <f aca="false">IF(B675&lt;$E$104,$E$105,$E$106)</f>
        <v>3</v>
      </c>
      <c r="N675" s="821" t="n">
        <f aca="false">IF(B675&lt;$E$104,$E$105,$E$111)</f>
        <v>2.5</v>
      </c>
      <c r="O675" s="822" t="n">
        <f aca="false">E675*$E$205*N675</f>
        <v>126.531217425741</v>
      </c>
      <c r="P675" s="823" t="n">
        <f aca="false">P674+O675</f>
        <v>44025.8756143366</v>
      </c>
      <c r="Q675" s="606" t="n">
        <f aca="false">Q674+1</f>
        <v>460</v>
      </c>
      <c r="R675" s="824" t="n">
        <f aca="false">R674-1</f>
        <v>-460</v>
      </c>
      <c r="S675" s="5"/>
      <c r="T675" s="5"/>
      <c r="U675" s="5"/>
      <c r="V675" s="10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02"/>
      <c r="AU675" s="502"/>
      <c r="AV675" s="606"/>
      <c r="AW675" s="502"/>
      <c r="AX675" s="502"/>
      <c r="AY675" s="502"/>
      <c r="AZ675" s="502"/>
      <c r="BA675" s="502"/>
      <c r="BB675" s="502"/>
      <c r="BC675" s="502"/>
      <c r="BD675" s="502"/>
      <c r="BE675" s="502"/>
      <c r="BF675" s="502"/>
      <c r="BG675" s="502"/>
      <c r="BH675" s="502"/>
      <c r="BI675" s="502"/>
      <c r="BJ675" s="502"/>
      <c r="BK675" s="502"/>
      <c r="BL675" s="502"/>
      <c r="BM675" s="502"/>
      <c r="BN675" s="502"/>
      <c r="BO675" s="502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</row>
    <row r="676" s="504" customFormat="true" ht="12.75" hidden="true" customHeight="true" outlineLevel="0" collapsed="false">
      <c r="A676" s="5"/>
      <c r="B676" s="813" t="n">
        <f aca="false">B675+1</f>
        <v>461</v>
      </c>
      <c r="C676" s="814" t="n">
        <f aca="false">C675+D676</f>
        <v>52921.0291576633</v>
      </c>
      <c r="D676" s="815" t="n">
        <f aca="false">E676*$E$205*M676</f>
        <v>151.99514091089</v>
      </c>
      <c r="E676" s="601" t="n">
        <f aca="false">E675+$C$204</f>
        <v>9.63946860165459</v>
      </c>
      <c r="F676" s="816" t="n">
        <f aca="false">F675+1</f>
        <v>461</v>
      </c>
      <c r="G676" s="775" t="n">
        <f aca="false">C676</f>
        <v>52921.0291576633</v>
      </c>
      <c r="H676" s="817" t="n">
        <f aca="false">1000*(E676-E675)</f>
        <v>9.99999999999979</v>
      </c>
      <c r="I676" s="5"/>
      <c r="J676" s="818" t="n">
        <f aca="false">1000*(E676-$E$215)/(B676-$B$215)</f>
        <v>13.4140343352966</v>
      </c>
      <c r="K676" s="732" t="n">
        <f aca="false">AVERAGE($E$216:E676)</f>
        <v>7.32298270143772</v>
      </c>
      <c r="L676" s="819" t="n">
        <f aca="false">L675+1</f>
        <v>461</v>
      </c>
      <c r="M676" s="820" t="n">
        <f aca="false">IF(B676&lt;$E$104,$E$105,$E$106)</f>
        <v>3</v>
      </c>
      <c r="N676" s="821" t="n">
        <f aca="false">IF(B676&lt;$E$104,$E$105,$E$111)</f>
        <v>2.5</v>
      </c>
      <c r="O676" s="822" t="n">
        <f aca="false">E676*$E$205*N676</f>
        <v>126.662617425741</v>
      </c>
      <c r="P676" s="823" t="n">
        <f aca="false">P675+O676</f>
        <v>44152.5382317623</v>
      </c>
      <c r="Q676" s="606" t="n">
        <f aca="false">Q675+1</f>
        <v>461</v>
      </c>
      <c r="R676" s="824" t="n">
        <f aca="false">R675-1</f>
        <v>-461</v>
      </c>
      <c r="S676" s="5"/>
      <c r="T676" s="5"/>
      <c r="U676" s="5"/>
      <c r="V676" s="10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02"/>
      <c r="AU676" s="502"/>
      <c r="AV676" s="606"/>
      <c r="AW676" s="502"/>
      <c r="AX676" s="502"/>
      <c r="AY676" s="502"/>
      <c r="AZ676" s="502"/>
      <c r="BA676" s="502"/>
      <c r="BB676" s="502"/>
      <c r="BC676" s="502"/>
      <c r="BD676" s="502"/>
      <c r="BE676" s="502"/>
      <c r="BF676" s="502"/>
      <c r="BG676" s="502"/>
      <c r="BH676" s="502"/>
      <c r="BI676" s="502"/>
      <c r="BJ676" s="502"/>
      <c r="BK676" s="502"/>
      <c r="BL676" s="502"/>
      <c r="BM676" s="502"/>
      <c r="BN676" s="502"/>
      <c r="BO676" s="502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</row>
    <row r="677" s="504" customFormat="true" ht="12.75" hidden="true" customHeight="true" outlineLevel="0" collapsed="false">
      <c r="A677" s="5"/>
      <c r="B677" s="813" t="n">
        <f aca="false">B676+1</f>
        <v>462</v>
      </c>
      <c r="C677" s="814" t="n">
        <f aca="false">C676+D677</f>
        <v>53073.1819785742</v>
      </c>
      <c r="D677" s="815" t="n">
        <f aca="false">E677*$E$205*M677</f>
        <v>152.15282091089</v>
      </c>
      <c r="E677" s="601" t="n">
        <f aca="false">E676+$C$204</f>
        <v>9.64946860165459</v>
      </c>
      <c r="F677" s="816" t="n">
        <f aca="false">F676+1</f>
        <v>462</v>
      </c>
      <c r="G677" s="775" t="n">
        <f aca="false">C677</f>
        <v>53073.1819785742</v>
      </c>
      <c r="H677" s="817" t="n">
        <f aca="false">1000*(E677-E676)</f>
        <v>9.99999999999979</v>
      </c>
      <c r="I677" s="5"/>
      <c r="J677" s="818" t="n">
        <f aca="false">1000*(E677-$E$215)/(B677-$B$215)</f>
        <v>13.4066446505882</v>
      </c>
      <c r="K677" s="732" t="n">
        <f aca="false">AVERAGE($E$216:E677)</f>
        <v>7.32801838520442</v>
      </c>
      <c r="L677" s="819" t="n">
        <f aca="false">L676+1</f>
        <v>462</v>
      </c>
      <c r="M677" s="820" t="n">
        <f aca="false">IF(B677&lt;$E$104,$E$105,$E$106)</f>
        <v>3</v>
      </c>
      <c r="N677" s="821" t="n">
        <f aca="false">IF(B677&lt;$E$104,$E$105,$E$111)</f>
        <v>2.5</v>
      </c>
      <c r="O677" s="822" t="n">
        <f aca="false">E677*$E$205*N677</f>
        <v>126.794017425741</v>
      </c>
      <c r="P677" s="823" t="n">
        <f aca="false">P676+O677</f>
        <v>44279.332249188</v>
      </c>
      <c r="Q677" s="606" t="n">
        <f aca="false">Q676+1</f>
        <v>462</v>
      </c>
      <c r="R677" s="824" t="n">
        <f aca="false">R676-1</f>
        <v>-462</v>
      </c>
      <c r="S677" s="5"/>
      <c r="T677" s="5"/>
      <c r="U677" s="5"/>
      <c r="V677" s="10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02"/>
      <c r="AU677" s="502"/>
      <c r="AV677" s="606"/>
      <c r="AW677" s="502"/>
      <c r="AX677" s="502"/>
      <c r="AY677" s="502"/>
      <c r="AZ677" s="502"/>
      <c r="BA677" s="502"/>
      <c r="BB677" s="502"/>
      <c r="BC677" s="502"/>
      <c r="BD677" s="502"/>
      <c r="BE677" s="502"/>
      <c r="BF677" s="502"/>
      <c r="BG677" s="502"/>
      <c r="BH677" s="502"/>
      <c r="BI677" s="502"/>
      <c r="BJ677" s="502"/>
      <c r="BK677" s="502"/>
      <c r="BL677" s="502"/>
      <c r="BM677" s="502"/>
      <c r="BN677" s="502"/>
      <c r="BO677" s="502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</row>
    <row r="678" s="504" customFormat="true" ht="12.75" hidden="true" customHeight="true" outlineLevel="0" collapsed="false">
      <c r="A678" s="5"/>
      <c r="B678" s="813" t="n">
        <f aca="false">B677+1</f>
        <v>463</v>
      </c>
      <c r="C678" s="814" t="n">
        <f aca="false">C677+D678</f>
        <v>53225.4924794851</v>
      </c>
      <c r="D678" s="815" t="n">
        <f aca="false">E678*$E$205*M678</f>
        <v>152.31050091089</v>
      </c>
      <c r="E678" s="601" t="n">
        <f aca="false">E677+$C$204</f>
        <v>9.65946860165459</v>
      </c>
      <c r="F678" s="816" t="n">
        <f aca="false">F677+1</f>
        <v>463</v>
      </c>
      <c r="G678" s="775" t="n">
        <f aca="false">C678</f>
        <v>53225.4924794851</v>
      </c>
      <c r="H678" s="817" t="n">
        <f aca="false">1000*(E678-E677)</f>
        <v>9.99999999999979</v>
      </c>
      <c r="I678" s="5"/>
      <c r="J678" s="818" t="n">
        <f aca="false">1000*(E678-$E$215)/(B678-$B$215)</f>
        <v>13.399286886764</v>
      </c>
      <c r="K678" s="732" t="n">
        <f aca="false">AVERAGE($E$216:E678)</f>
        <v>7.33305391482959</v>
      </c>
      <c r="L678" s="819" t="n">
        <f aca="false">L677+1</f>
        <v>463</v>
      </c>
      <c r="M678" s="820" t="n">
        <f aca="false">IF(B678&lt;$E$104,$E$105,$E$106)</f>
        <v>3</v>
      </c>
      <c r="N678" s="821" t="n">
        <f aca="false">IF(B678&lt;$E$104,$E$105,$E$111)</f>
        <v>2.5</v>
      </c>
      <c r="O678" s="822" t="n">
        <f aca="false">E678*$E$205*N678</f>
        <v>126.925417425741</v>
      </c>
      <c r="P678" s="823" t="n">
        <f aca="false">P677+O678</f>
        <v>44406.2576666138</v>
      </c>
      <c r="Q678" s="606" t="n">
        <f aca="false">Q677+1</f>
        <v>463</v>
      </c>
      <c r="R678" s="824" t="n">
        <f aca="false">R677-1</f>
        <v>-463</v>
      </c>
      <c r="S678" s="5"/>
      <c r="T678" s="5"/>
      <c r="U678" s="5"/>
      <c r="V678" s="10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02"/>
      <c r="AU678" s="502"/>
      <c r="AV678" s="606"/>
      <c r="AW678" s="502"/>
      <c r="AX678" s="502"/>
      <c r="AY678" s="502"/>
      <c r="AZ678" s="502"/>
      <c r="BA678" s="502"/>
      <c r="BB678" s="502"/>
      <c r="BC678" s="502"/>
      <c r="BD678" s="502"/>
      <c r="BE678" s="502"/>
      <c r="BF678" s="502"/>
      <c r="BG678" s="502"/>
      <c r="BH678" s="502"/>
      <c r="BI678" s="502"/>
      <c r="BJ678" s="502"/>
      <c r="BK678" s="502"/>
      <c r="BL678" s="502"/>
      <c r="BM678" s="502"/>
      <c r="BN678" s="502"/>
      <c r="BO678" s="502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</row>
    <row r="679" s="504" customFormat="true" ht="12.75" hidden="true" customHeight="true" outlineLevel="0" collapsed="false">
      <c r="A679" s="5"/>
      <c r="B679" s="813" t="n">
        <f aca="false">B678+1</f>
        <v>464</v>
      </c>
      <c r="C679" s="814" t="n">
        <f aca="false">C678+D679</f>
        <v>53377.960660396</v>
      </c>
      <c r="D679" s="815" t="n">
        <f aca="false">E679*$E$205*M679</f>
        <v>152.46818091089</v>
      </c>
      <c r="E679" s="601" t="n">
        <f aca="false">E678+$C$204</f>
        <v>9.66946860165459</v>
      </c>
      <c r="F679" s="816" t="n">
        <f aca="false">F678+1</f>
        <v>464</v>
      </c>
      <c r="G679" s="775" t="n">
        <f aca="false">C679</f>
        <v>53377.960660396</v>
      </c>
      <c r="H679" s="817" t="n">
        <f aca="false">1000*(E679-E678)</f>
        <v>9.99999999999979</v>
      </c>
      <c r="I679" s="5"/>
      <c r="J679" s="818" t="n">
        <f aca="false">1000*(E679-$E$215)/(B679-$B$215)</f>
        <v>13.3919608374391</v>
      </c>
      <c r="K679" s="732" t="n">
        <f aca="false">AVERAGE($E$216:E679)</f>
        <v>7.33808929130981</v>
      </c>
      <c r="L679" s="819" t="n">
        <f aca="false">L678+1</f>
        <v>464</v>
      </c>
      <c r="M679" s="820" t="n">
        <f aca="false">IF(B679&lt;$E$104,$E$105,$E$106)</f>
        <v>3</v>
      </c>
      <c r="N679" s="821" t="n">
        <f aca="false">IF(B679&lt;$E$104,$E$105,$E$111)</f>
        <v>2.5</v>
      </c>
      <c r="O679" s="822" t="n">
        <f aca="false">E679*$E$205*N679</f>
        <v>127.056817425741</v>
      </c>
      <c r="P679" s="823" t="n">
        <f aca="false">P678+O679</f>
        <v>44533.3144840395</v>
      </c>
      <c r="Q679" s="606" t="n">
        <f aca="false">Q678+1</f>
        <v>464</v>
      </c>
      <c r="R679" s="824" t="n">
        <f aca="false">R678-1</f>
        <v>-464</v>
      </c>
      <c r="S679" s="5"/>
      <c r="T679" s="5"/>
      <c r="U679" s="5"/>
      <c r="V679" s="10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02"/>
      <c r="AU679" s="502"/>
      <c r="AV679" s="606"/>
      <c r="AW679" s="502"/>
      <c r="AX679" s="502"/>
      <c r="AY679" s="502"/>
      <c r="AZ679" s="502"/>
      <c r="BA679" s="502"/>
      <c r="BB679" s="502"/>
      <c r="BC679" s="502"/>
      <c r="BD679" s="502"/>
      <c r="BE679" s="502"/>
      <c r="BF679" s="502"/>
      <c r="BG679" s="502"/>
      <c r="BH679" s="502"/>
      <c r="BI679" s="502"/>
      <c r="BJ679" s="502"/>
      <c r="BK679" s="502"/>
      <c r="BL679" s="502"/>
      <c r="BM679" s="502"/>
      <c r="BN679" s="502"/>
      <c r="BO679" s="502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</row>
    <row r="680" s="504" customFormat="true" ht="12.75" hidden="true" customHeight="true" outlineLevel="0" collapsed="false">
      <c r="A680" s="5"/>
      <c r="B680" s="813" t="n">
        <f aca="false">B679+1</f>
        <v>465</v>
      </c>
      <c r="C680" s="814" t="n">
        <f aca="false">C679+D680</f>
        <v>53530.5865213069</v>
      </c>
      <c r="D680" s="815" t="n">
        <f aca="false">E680*$E$205*M680</f>
        <v>152.62586091089</v>
      </c>
      <c r="E680" s="601" t="n">
        <f aca="false">E679+$C$204</f>
        <v>9.67946860165459</v>
      </c>
      <c r="F680" s="816" t="n">
        <f aca="false">F679+1</f>
        <v>465</v>
      </c>
      <c r="G680" s="775" t="n">
        <f aca="false">C680</f>
        <v>53530.5865213069</v>
      </c>
      <c r="H680" s="817" t="n">
        <f aca="false">1000*(E680-E679)</f>
        <v>9.99999999999979</v>
      </c>
      <c r="I680" s="5"/>
      <c r="J680" s="818" t="n">
        <f aca="false">1000*(E680-$E$215)/(B680-$B$215)</f>
        <v>13.3846662980038</v>
      </c>
      <c r="K680" s="732" t="n">
        <f aca="false">AVERAGE($E$216:E680)</f>
        <v>7.34312451563314</v>
      </c>
      <c r="L680" s="819" t="n">
        <f aca="false">L679+1</f>
        <v>465</v>
      </c>
      <c r="M680" s="820" t="n">
        <f aca="false">IF(B680&lt;$E$104,$E$105,$E$106)</f>
        <v>3</v>
      </c>
      <c r="N680" s="821" t="n">
        <f aca="false">IF(B680&lt;$E$104,$E$105,$E$111)</f>
        <v>2.5</v>
      </c>
      <c r="O680" s="822" t="n">
        <f aca="false">E680*$E$205*N680</f>
        <v>127.188217425741</v>
      </c>
      <c r="P680" s="823" t="n">
        <f aca="false">P679+O680</f>
        <v>44660.5027014653</v>
      </c>
      <c r="Q680" s="606" t="n">
        <f aca="false">Q679+1</f>
        <v>465</v>
      </c>
      <c r="R680" s="824" t="n">
        <f aca="false">R679-1</f>
        <v>-465</v>
      </c>
      <c r="S680" s="5"/>
      <c r="T680" s="5"/>
      <c r="U680" s="5"/>
      <c r="V680" s="10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02"/>
      <c r="AU680" s="502"/>
      <c r="AV680" s="606"/>
      <c r="AW680" s="502"/>
      <c r="AX680" s="502"/>
      <c r="AY680" s="502"/>
      <c r="AZ680" s="502"/>
      <c r="BA680" s="502"/>
      <c r="BB680" s="502"/>
      <c r="BC680" s="502"/>
      <c r="BD680" s="502"/>
      <c r="BE680" s="502"/>
      <c r="BF680" s="502"/>
      <c r="BG680" s="502"/>
      <c r="BH680" s="502"/>
      <c r="BI680" s="502"/>
      <c r="BJ680" s="502"/>
      <c r="BK680" s="502"/>
      <c r="BL680" s="502"/>
      <c r="BM680" s="502"/>
      <c r="BN680" s="502"/>
      <c r="BO680" s="502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</row>
    <row r="681" s="504" customFormat="true" ht="12.75" hidden="true" customHeight="true" outlineLevel="0" collapsed="false">
      <c r="A681" s="5"/>
      <c r="B681" s="813" t="n">
        <f aca="false">B680+1</f>
        <v>466</v>
      </c>
      <c r="C681" s="814" t="n">
        <f aca="false">C680+D681</f>
        <v>53683.3700622178</v>
      </c>
      <c r="D681" s="815" t="n">
        <f aca="false">E681*$E$205*M681</f>
        <v>152.78354091089</v>
      </c>
      <c r="E681" s="601" t="n">
        <f aca="false">E680+$C$204</f>
        <v>9.68946860165459</v>
      </c>
      <c r="F681" s="816" t="n">
        <f aca="false">F680+1</f>
        <v>466</v>
      </c>
      <c r="G681" s="775" t="n">
        <f aca="false">C681</f>
        <v>53683.3700622178</v>
      </c>
      <c r="H681" s="817" t="n">
        <f aca="false">1000*(E681-E680)</f>
        <v>9.99999999999979</v>
      </c>
      <c r="I681" s="5"/>
      <c r="J681" s="818" t="n">
        <f aca="false">1000*(E681-$E$215)/(B681-$B$215)</f>
        <v>13.3774030656046</v>
      </c>
      <c r="K681" s="732" t="n">
        <f aca="false">AVERAGE($E$216:E681)</f>
        <v>7.3481595887791</v>
      </c>
      <c r="L681" s="819" t="n">
        <f aca="false">L680+1</f>
        <v>466</v>
      </c>
      <c r="M681" s="820" t="n">
        <f aca="false">IF(B681&lt;$E$104,$E$105,$E$106)</f>
        <v>3</v>
      </c>
      <c r="N681" s="821" t="n">
        <f aca="false">IF(B681&lt;$E$104,$E$105,$E$111)</f>
        <v>2.5</v>
      </c>
      <c r="O681" s="822" t="n">
        <f aca="false">E681*$E$205*N681</f>
        <v>127.319617425741</v>
      </c>
      <c r="P681" s="823" t="n">
        <f aca="false">P680+O681</f>
        <v>44787.822318891</v>
      </c>
      <c r="Q681" s="606" t="n">
        <f aca="false">Q680+1</f>
        <v>466</v>
      </c>
      <c r="R681" s="824" t="n">
        <f aca="false">R680-1</f>
        <v>-466</v>
      </c>
      <c r="S681" s="5"/>
      <c r="T681" s="5"/>
      <c r="U681" s="5"/>
      <c r="V681" s="10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02"/>
      <c r="AU681" s="502"/>
      <c r="AV681" s="606"/>
      <c r="AW681" s="502"/>
      <c r="AX681" s="502"/>
      <c r="AY681" s="502"/>
      <c r="AZ681" s="502"/>
      <c r="BA681" s="502"/>
      <c r="BB681" s="502"/>
      <c r="BC681" s="502"/>
      <c r="BD681" s="502"/>
      <c r="BE681" s="502"/>
      <c r="BF681" s="502"/>
      <c r="BG681" s="502"/>
      <c r="BH681" s="502"/>
      <c r="BI681" s="502"/>
      <c r="BJ681" s="502"/>
      <c r="BK681" s="502"/>
      <c r="BL681" s="502"/>
      <c r="BM681" s="502"/>
      <c r="BN681" s="502"/>
      <c r="BO681" s="502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</row>
    <row r="682" s="504" customFormat="true" ht="12.75" hidden="true" customHeight="true" outlineLevel="0" collapsed="false">
      <c r="A682" s="5"/>
      <c r="B682" s="813" t="n">
        <f aca="false">B681+1</f>
        <v>467</v>
      </c>
      <c r="C682" s="814" t="n">
        <f aca="false">C681+D682</f>
        <v>53836.3112831286</v>
      </c>
      <c r="D682" s="815" t="n">
        <f aca="false">E682*$E$205*M682</f>
        <v>152.94122091089</v>
      </c>
      <c r="E682" s="601" t="n">
        <f aca="false">E681+$C$204</f>
        <v>9.69946860165459</v>
      </c>
      <c r="F682" s="816" t="n">
        <f aca="false">F681+1</f>
        <v>467</v>
      </c>
      <c r="G682" s="775" t="n">
        <f aca="false">C682</f>
        <v>53836.3112831286</v>
      </c>
      <c r="H682" s="817" t="n">
        <f aca="false">1000*(E682-E681)</f>
        <v>9.99999999999979</v>
      </c>
      <c r="I682" s="5"/>
      <c r="J682" s="818" t="n">
        <f aca="false">1000*(E682-$E$215)/(B682-$B$215)</f>
        <v>13.3701709391258</v>
      </c>
      <c r="K682" s="732" t="n">
        <f aca="false">AVERAGE($E$216:E682)</f>
        <v>7.35319451171888</v>
      </c>
      <c r="L682" s="819" t="n">
        <f aca="false">L681+1</f>
        <v>467</v>
      </c>
      <c r="M682" s="820" t="n">
        <f aca="false">IF(B682&lt;$E$104,$E$105,$E$106)</f>
        <v>3</v>
      </c>
      <c r="N682" s="821" t="n">
        <f aca="false">IF(B682&lt;$E$104,$E$105,$E$111)</f>
        <v>2.5</v>
      </c>
      <c r="O682" s="822" t="n">
        <f aca="false">E682*$E$205*N682</f>
        <v>127.451017425741</v>
      </c>
      <c r="P682" s="823" t="n">
        <f aca="false">P681+O682</f>
        <v>44915.2733363167</v>
      </c>
      <c r="Q682" s="606" t="n">
        <f aca="false">Q681+1</f>
        <v>467</v>
      </c>
      <c r="R682" s="824" t="n">
        <f aca="false">R681-1</f>
        <v>-467</v>
      </c>
      <c r="S682" s="5"/>
      <c r="T682" s="5"/>
      <c r="U682" s="5"/>
      <c r="V682" s="10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02"/>
      <c r="AU682" s="502"/>
      <c r="AV682" s="606"/>
      <c r="AW682" s="502"/>
      <c r="AX682" s="502"/>
      <c r="AY682" s="502"/>
      <c r="AZ682" s="502"/>
      <c r="BA682" s="502"/>
      <c r="BB682" s="502"/>
      <c r="BC682" s="502"/>
      <c r="BD682" s="502"/>
      <c r="BE682" s="502"/>
      <c r="BF682" s="502"/>
      <c r="BG682" s="502"/>
      <c r="BH682" s="502"/>
      <c r="BI682" s="502"/>
      <c r="BJ682" s="502"/>
      <c r="BK682" s="502"/>
      <c r="BL682" s="502"/>
      <c r="BM682" s="502"/>
      <c r="BN682" s="502"/>
      <c r="BO682" s="502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</row>
    <row r="683" s="504" customFormat="true" ht="12.75" hidden="true" customHeight="true" outlineLevel="0" collapsed="false">
      <c r="A683" s="5"/>
      <c r="B683" s="813" t="n">
        <f aca="false">B682+1</f>
        <v>468</v>
      </c>
      <c r="C683" s="814" t="n">
        <f aca="false">C682+D683</f>
        <v>53989.4101840395</v>
      </c>
      <c r="D683" s="815" t="n">
        <f aca="false">E683*$E$205*M683</f>
        <v>153.09890091089</v>
      </c>
      <c r="E683" s="601" t="n">
        <f aca="false">E682+$C$204</f>
        <v>9.70946860165459</v>
      </c>
      <c r="F683" s="816" t="n">
        <f aca="false">F682+1</f>
        <v>468</v>
      </c>
      <c r="G683" s="775" t="n">
        <f aca="false">C683</f>
        <v>53989.4101840395</v>
      </c>
      <c r="H683" s="817" t="n">
        <f aca="false">1000*(E683-E682)</f>
        <v>9.99999999999979</v>
      </c>
      <c r="I683" s="5"/>
      <c r="J683" s="818" t="n">
        <f aca="false">1000*(E683-$E$215)/(B683-$B$215)</f>
        <v>13.3629697191704</v>
      </c>
      <c r="K683" s="732" t="n">
        <f aca="false">AVERAGE($E$216:E683)</f>
        <v>7.35822928541532</v>
      </c>
      <c r="L683" s="819" t="n">
        <f aca="false">L682+1</f>
        <v>468</v>
      </c>
      <c r="M683" s="820" t="n">
        <f aca="false">IF(B683&lt;$E$104,$E$105,$E$106)</f>
        <v>3</v>
      </c>
      <c r="N683" s="821" t="n">
        <f aca="false">IF(B683&lt;$E$104,$E$105,$E$111)</f>
        <v>2.5</v>
      </c>
      <c r="O683" s="822" t="n">
        <f aca="false">E683*$E$205*N683</f>
        <v>127.582417425741</v>
      </c>
      <c r="P683" s="823" t="n">
        <f aca="false">P682+O683</f>
        <v>45042.8557537425</v>
      </c>
      <c r="Q683" s="606" t="n">
        <f aca="false">Q682+1</f>
        <v>468</v>
      </c>
      <c r="R683" s="824" t="n">
        <f aca="false">R682-1</f>
        <v>-468</v>
      </c>
      <c r="S683" s="5"/>
      <c r="T683" s="5"/>
      <c r="U683" s="5"/>
      <c r="V683" s="10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02"/>
      <c r="AU683" s="502"/>
      <c r="AV683" s="606"/>
      <c r="AW683" s="502"/>
      <c r="AX683" s="502"/>
      <c r="AY683" s="502"/>
      <c r="AZ683" s="502"/>
      <c r="BA683" s="502"/>
      <c r="BB683" s="502"/>
      <c r="BC683" s="502"/>
      <c r="BD683" s="502"/>
      <c r="BE683" s="502"/>
      <c r="BF683" s="502"/>
      <c r="BG683" s="502"/>
      <c r="BH683" s="502"/>
      <c r="BI683" s="502"/>
      <c r="BJ683" s="502"/>
      <c r="BK683" s="502"/>
      <c r="BL683" s="502"/>
      <c r="BM683" s="502"/>
      <c r="BN683" s="502"/>
      <c r="BO683" s="502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</row>
    <row r="684" s="504" customFormat="true" ht="12.75" hidden="true" customHeight="true" outlineLevel="0" collapsed="false">
      <c r="A684" s="5"/>
      <c r="B684" s="813" t="n">
        <f aca="false">B683+1</f>
        <v>469</v>
      </c>
      <c r="C684" s="814" t="n">
        <f aca="false">C683+D684</f>
        <v>54142.6667649504</v>
      </c>
      <c r="D684" s="815" t="n">
        <f aca="false">E684*$E$205*M684</f>
        <v>153.25658091089</v>
      </c>
      <c r="E684" s="601" t="n">
        <f aca="false">E683+$C$204</f>
        <v>9.71946860165459</v>
      </c>
      <c r="F684" s="816" t="n">
        <f aca="false">F683+1</f>
        <v>469</v>
      </c>
      <c r="G684" s="775" t="n">
        <f aca="false">C684</f>
        <v>54142.6667649504</v>
      </c>
      <c r="H684" s="817" t="n">
        <f aca="false">1000*(E684-E683)</f>
        <v>9.99999999999979</v>
      </c>
      <c r="I684" s="5"/>
      <c r="J684" s="818" t="n">
        <f aca="false">1000*(E684-$E$215)/(B684-$B$215)</f>
        <v>13.3557992080421</v>
      </c>
      <c r="K684" s="732" t="n">
        <f aca="false">AVERAGE($E$216:E684)</f>
        <v>7.36326391082308</v>
      </c>
      <c r="L684" s="819" t="n">
        <f aca="false">L683+1</f>
        <v>469</v>
      </c>
      <c r="M684" s="820" t="n">
        <f aca="false">IF(B684&lt;$E$104,$E$105,$E$106)</f>
        <v>3</v>
      </c>
      <c r="N684" s="821" t="n">
        <f aca="false">IF(B684&lt;$E$104,$E$105,$E$111)</f>
        <v>2.5</v>
      </c>
      <c r="O684" s="822" t="n">
        <f aca="false">E684*$E$205*N684</f>
        <v>127.713817425741</v>
      </c>
      <c r="P684" s="823" t="n">
        <f aca="false">P683+O684</f>
        <v>45170.5695711682</v>
      </c>
      <c r="Q684" s="606" t="n">
        <f aca="false">Q683+1</f>
        <v>469</v>
      </c>
      <c r="R684" s="824" t="n">
        <f aca="false">R683-1</f>
        <v>-469</v>
      </c>
      <c r="S684" s="5"/>
      <c r="T684" s="5"/>
      <c r="U684" s="5"/>
      <c r="V684" s="10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02"/>
      <c r="AU684" s="502"/>
      <c r="AV684" s="606"/>
      <c r="AW684" s="502"/>
      <c r="AX684" s="502"/>
      <c r="AY684" s="502"/>
      <c r="AZ684" s="502"/>
      <c r="BA684" s="502"/>
      <c r="BB684" s="502"/>
      <c r="BC684" s="502"/>
      <c r="BD684" s="502"/>
      <c r="BE684" s="502"/>
      <c r="BF684" s="502"/>
      <c r="BG684" s="502"/>
      <c r="BH684" s="502"/>
      <c r="BI684" s="502"/>
      <c r="BJ684" s="502"/>
      <c r="BK684" s="502"/>
      <c r="BL684" s="502"/>
      <c r="BM684" s="502"/>
      <c r="BN684" s="502"/>
      <c r="BO684" s="502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</row>
    <row r="685" s="504" customFormat="true" ht="12.75" hidden="true" customHeight="true" outlineLevel="0" collapsed="false">
      <c r="A685" s="5"/>
      <c r="B685" s="813" t="n">
        <f aca="false">B684+1</f>
        <v>470</v>
      </c>
      <c r="C685" s="814" t="n">
        <f aca="false">C684+D685</f>
        <v>54296.0810258613</v>
      </c>
      <c r="D685" s="815" t="n">
        <f aca="false">E685*$E$205*M685</f>
        <v>153.41426091089</v>
      </c>
      <c r="E685" s="601" t="n">
        <f aca="false">E684+$C$204</f>
        <v>9.72946860165459</v>
      </c>
      <c r="F685" s="816" t="n">
        <f aca="false">F684+1</f>
        <v>470</v>
      </c>
      <c r="G685" s="775" t="n">
        <f aca="false">C685</f>
        <v>54296.0810258613</v>
      </c>
      <c r="H685" s="817" t="n">
        <f aca="false">1000*(E685-E684)</f>
        <v>9.99999999999979</v>
      </c>
      <c r="I685" s="5"/>
      <c r="J685" s="818" t="n">
        <f aca="false">1000*(E685-$E$215)/(B685-$B$215)</f>
        <v>13.3486592097271</v>
      </c>
      <c r="K685" s="732" t="n">
        <f aca="false">AVERAGE($E$216:E685)</f>
        <v>7.36829838888868</v>
      </c>
      <c r="L685" s="819" t="n">
        <f aca="false">L684+1</f>
        <v>470</v>
      </c>
      <c r="M685" s="820" t="n">
        <f aca="false">IF(B685&lt;$E$104,$E$105,$E$106)</f>
        <v>3</v>
      </c>
      <c r="N685" s="821" t="n">
        <f aca="false">IF(B685&lt;$E$104,$E$105,$E$111)</f>
        <v>2.5</v>
      </c>
      <c r="O685" s="822" t="n">
        <f aca="false">E685*$E$205*N685</f>
        <v>127.845217425741</v>
      </c>
      <c r="P685" s="823" t="n">
        <f aca="false">P684+O685</f>
        <v>45298.414788594</v>
      </c>
      <c r="Q685" s="606" t="n">
        <f aca="false">Q684+1</f>
        <v>470</v>
      </c>
      <c r="R685" s="824" t="n">
        <f aca="false">R684-1</f>
        <v>-470</v>
      </c>
      <c r="S685" s="5"/>
      <c r="T685" s="5"/>
      <c r="U685" s="5"/>
      <c r="V685" s="10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02"/>
      <c r="AU685" s="502"/>
      <c r="AV685" s="606"/>
      <c r="AW685" s="502"/>
      <c r="AX685" s="502"/>
      <c r="AY685" s="502"/>
      <c r="AZ685" s="502"/>
      <c r="BA685" s="502"/>
      <c r="BB685" s="502"/>
      <c r="BC685" s="502"/>
      <c r="BD685" s="502"/>
      <c r="BE685" s="502"/>
      <c r="BF685" s="502"/>
      <c r="BG685" s="502"/>
      <c r="BH685" s="502"/>
      <c r="BI685" s="502"/>
      <c r="BJ685" s="502"/>
      <c r="BK685" s="502"/>
      <c r="BL685" s="502"/>
      <c r="BM685" s="502"/>
      <c r="BN685" s="502"/>
      <c r="BO685" s="502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</row>
    <row r="686" s="504" customFormat="true" ht="12.75" hidden="true" customHeight="true" outlineLevel="0" collapsed="false">
      <c r="A686" s="5"/>
      <c r="B686" s="813" t="n">
        <f aca="false">B685+1</f>
        <v>471</v>
      </c>
      <c r="C686" s="814" t="n">
        <f aca="false">C685+D686</f>
        <v>54449.6529667722</v>
      </c>
      <c r="D686" s="815" t="n">
        <f aca="false">E686*$E$205*M686</f>
        <v>153.57194091089</v>
      </c>
      <c r="E686" s="601" t="n">
        <f aca="false">E685+$C$204</f>
        <v>9.73946860165459</v>
      </c>
      <c r="F686" s="816" t="n">
        <f aca="false">F685+1</f>
        <v>471</v>
      </c>
      <c r="G686" s="775" t="n">
        <f aca="false">C686</f>
        <v>54449.6529667722</v>
      </c>
      <c r="H686" s="817" t="n">
        <f aca="false">1000*(E686-E685)</f>
        <v>9.99999999999979</v>
      </c>
      <c r="I686" s="5"/>
      <c r="J686" s="818" t="n">
        <f aca="false">1000*(E686-$E$215)/(B686-$B$215)</f>
        <v>13.3415495298763</v>
      </c>
      <c r="K686" s="732" t="n">
        <f aca="false">AVERAGE($E$216:E686)</f>
        <v>7.3733327205506</v>
      </c>
      <c r="L686" s="819" t="n">
        <f aca="false">L685+1</f>
        <v>471</v>
      </c>
      <c r="M686" s="820" t="n">
        <f aca="false">IF(B686&lt;$E$104,$E$105,$E$106)</f>
        <v>3</v>
      </c>
      <c r="N686" s="821" t="n">
        <f aca="false">IF(B686&lt;$E$104,$E$105,$E$111)</f>
        <v>2.5</v>
      </c>
      <c r="O686" s="822" t="n">
        <f aca="false">E686*$E$205*N686</f>
        <v>127.976617425741</v>
      </c>
      <c r="P686" s="823" t="n">
        <f aca="false">P685+O686</f>
        <v>45426.3914060197</v>
      </c>
      <c r="Q686" s="606" t="n">
        <f aca="false">Q685+1</f>
        <v>471</v>
      </c>
      <c r="R686" s="824" t="n">
        <f aca="false">R685-1</f>
        <v>-471</v>
      </c>
      <c r="S686" s="5"/>
      <c r="T686" s="5"/>
      <c r="U686" s="5"/>
      <c r="V686" s="10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02"/>
      <c r="AU686" s="502"/>
      <c r="AV686" s="606"/>
      <c r="AW686" s="502"/>
      <c r="AX686" s="502"/>
      <c r="AY686" s="502"/>
      <c r="AZ686" s="502"/>
      <c r="BA686" s="502"/>
      <c r="BB686" s="502"/>
      <c r="BC686" s="502"/>
      <c r="BD686" s="502"/>
      <c r="BE686" s="502"/>
      <c r="BF686" s="502"/>
      <c r="BG686" s="502"/>
      <c r="BH686" s="502"/>
      <c r="BI686" s="502"/>
      <c r="BJ686" s="502"/>
      <c r="BK686" s="502"/>
      <c r="BL686" s="502"/>
      <c r="BM686" s="502"/>
      <c r="BN686" s="502"/>
      <c r="BO686" s="502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</row>
    <row r="687" s="504" customFormat="true" ht="12.75" hidden="true" customHeight="true" outlineLevel="0" collapsed="false">
      <c r="A687" s="5"/>
      <c r="B687" s="813" t="n">
        <f aca="false">B686+1</f>
        <v>472</v>
      </c>
      <c r="C687" s="814" t="n">
        <f aca="false">C686+D687</f>
        <v>54603.3825876831</v>
      </c>
      <c r="D687" s="815" t="n">
        <f aca="false">E687*$E$205*M687</f>
        <v>153.72962091089</v>
      </c>
      <c r="E687" s="601" t="n">
        <f aca="false">E686+$C$204</f>
        <v>9.74946860165459</v>
      </c>
      <c r="F687" s="816" t="n">
        <f aca="false">F686+1</f>
        <v>472</v>
      </c>
      <c r="G687" s="775" t="n">
        <f aca="false">C687</f>
        <v>54603.3825876831</v>
      </c>
      <c r="H687" s="817" t="n">
        <f aca="false">1000*(E687-E686)</f>
        <v>9.99999999999979</v>
      </c>
      <c r="I687" s="5"/>
      <c r="J687" s="818" t="n">
        <f aca="false">1000*(E687-$E$215)/(B687-$B$215)</f>
        <v>13.3344699757876</v>
      </c>
      <c r="K687" s="732" t="n">
        <f aca="false">AVERAGE($E$216:E687)</f>
        <v>7.37836690673938</v>
      </c>
      <c r="L687" s="819" t="n">
        <f aca="false">L686+1</f>
        <v>472</v>
      </c>
      <c r="M687" s="820" t="n">
        <f aca="false">IF(B687&lt;$E$104,$E$105,$E$106)</f>
        <v>3</v>
      </c>
      <c r="N687" s="821" t="n">
        <f aca="false">IF(B687&lt;$E$104,$E$105,$E$111)</f>
        <v>2.5</v>
      </c>
      <c r="O687" s="822" t="n">
        <f aca="false">E687*$E$205*N687</f>
        <v>128.108017425741</v>
      </c>
      <c r="P687" s="823" t="n">
        <f aca="false">P686+O687</f>
        <v>45554.4994234455</v>
      </c>
      <c r="Q687" s="606" t="n">
        <f aca="false">Q686+1</f>
        <v>472</v>
      </c>
      <c r="R687" s="824" t="n">
        <f aca="false">R686-1</f>
        <v>-472</v>
      </c>
      <c r="S687" s="5"/>
      <c r="T687" s="5"/>
      <c r="U687" s="5"/>
      <c r="V687" s="10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02"/>
      <c r="AU687" s="502"/>
      <c r="AV687" s="606"/>
      <c r="AW687" s="502"/>
      <c r="AX687" s="502"/>
      <c r="AY687" s="502"/>
      <c r="AZ687" s="502"/>
      <c r="BA687" s="502"/>
      <c r="BB687" s="502"/>
      <c r="BC687" s="502"/>
      <c r="BD687" s="502"/>
      <c r="BE687" s="502"/>
      <c r="BF687" s="502"/>
      <c r="BG687" s="502"/>
      <c r="BH687" s="502"/>
      <c r="BI687" s="502"/>
      <c r="BJ687" s="502"/>
      <c r="BK687" s="502"/>
      <c r="BL687" s="502"/>
      <c r="BM687" s="502"/>
      <c r="BN687" s="502"/>
      <c r="BO687" s="502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</row>
    <row r="688" s="504" customFormat="true" ht="12.75" hidden="true" customHeight="true" outlineLevel="0" collapsed="false">
      <c r="A688" s="5"/>
      <c r="B688" s="813" t="n">
        <f aca="false">B687+1</f>
        <v>473</v>
      </c>
      <c r="C688" s="814" t="n">
        <f aca="false">C687+D688</f>
        <v>54757.269888594</v>
      </c>
      <c r="D688" s="815" t="n">
        <f aca="false">E688*$E$205*M688</f>
        <v>153.88730091089</v>
      </c>
      <c r="E688" s="601" t="n">
        <f aca="false">E687+$C$204</f>
        <v>9.75946860165459</v>
      </c>
      <c r="F688" s="816" t="n">
        <f aca="false">F687+1</f>
        <v>473</v>
      </c>
      <c r="G688" s="775" t="n">
        <f aca="false">C688</f>
        <v>54757.269888594</v>
      </c>
      <c r="H688" s="817" t="n">
        <f aca="false">1000*(E688-E687)</f>
        <v>9.99999999999979</v>
      </c>
      <c r="I688" s="5"/>
      <c r="J688" s="818" t="n">
        <f aca="false">1000*(E688-$E$215)/(B688-$B$215)</f>
        <v>13.3274203563885</v>
      </c>
      <c r="K688" s="732" t="n">
        <f aca="false">AVERAGE($E$216:E688)</f>
        <v>7.38340094837768</v>
      </c>
      <c r="L688" s="819" t="n">
        <f aca="false">L687+1</f>
        <v>473</v>
      </c>
      <c r="M688" s="820" t="n">
        <f aca="false">IF(B688&lt;$E$104,$E$105,$E$106)</f>
        <v>3</v>
      </c>
      <c r="N688" s="821" t="n">
        <f aca="false">IF(B688&lt;$E$104,$E$105,$E$111)</f>
        <v>2.5</v>
      </c>
      <c r="O688" s="822" t="n">
        <f aca="false">E688*$E$205*N688</f>
        <v>128.239417425741</v>
      </c>
      <c r="P688" s="823" t="n">
        <f aca="false">P687+O688</f>
        <v>45682.7388408712</v>
      </c>
      <c r="Q688" s="606" t="n">
        <f aca="false">Q687+1</f>
        <v>473</v>
      </c>
      <c r="R688" s="824" t="n">
        <f aca="false">R687-1</f>
        <v>-473</v>
      </c>
      <c r="S688" s="5"/>
      <c r="T688" s="5"/>
      <c r="U688" s="5"/>
      <c r="V688" s="10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02"/>
      <c r="AU688" s="502"/>
      <c r="AV688" s="606"/>
      <c r="AW688" s="502"/>
      <c r="AX688" s="502"/>
      <c r="AY688" s="502"/>
      <c r="AZ688" s="502"/>
      <c r="BA688" s="502"/>
      <c r="BB688" s="502"/>
      <c r="BC688" s="502"/>
      <c r="BD688" s="502"/>
      <c r="BE688" s="502"/>
      <c r="BF688" s="502"/>
      <c r="BG688" s="502"/>
      <c r="BH688" s="502"/>
      <c r="BI688" s="502"/>
      <c r="BJ688" s="502"/>
      <c r="BK688" s="502"/>
      <c r="BL688" s="502"/>
      <c r="BM688" s="502"/>
      <c r="BN688" s="502"/>
      <c r="BO688" s="502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</row>
    <row r="689" s="504" customFormat="true" ht="12.75" hidden="true" customHeight="true" outlineLevel="0" collapsed="false">
      <c r="A689" s="5"/>
      <c r="B689" s="813" t="n">
        <f aca="false">B688+1</f>
        <v>474</v>
      </c>
      <c r="C689" s="814" t="n">
        <f aca="false">C688+D689</f>
        <v>54911.3148695049</v>
      </c>
      <c r="D689" s="815" t="n">
        <f aca="false">E689*$E$205*M689</f>
        <v>154.04498091089</v>
      </c>
      <c r="E689" s="601" t="n">
        <f aca="false">E688+$C$204</f>
        <v>9.76946860165459</v>
      </c>
      <c r="F689" s="816" t="n">
        <f aca="false">F688+1</f>
        <v>474</v>
      </c>
      <c r="G689" s="775" t="n">
        <f aca="false">C689</f>
        <v>54911.3148695049</v>
      </c>
      <c r="H689" s="817" t="n">
        <f aca="false">1000*(E689-E688)</f>
        <v>9.99999999999979</v>
      </c>
      <c r="I689" s="5"/>
      <c r="J689" s="818" t="n">
        <f aca="false">1000*(E689-$E$215)/(B689-$B$215)</f>
        <v>13.3204004822189</v>
      </c>
      <c r="K689" s="732" t="n">
        <f aca="false">AVERAGE($E$216:E689)</f>
        <v>7.38843484638038</v>
      </c>
      <c r="L689" s="819" t="n">
        <f aca="false">L688+1</f>
        <v>474</v>
      </c>
      <c r="M689" s="820" t="n">
        <f aca="false">IF(B689&lt;$E$104,$E$105,$E$106)</f>
        <v>3</v>
      </c>
      <c r="N689" s="821" t="n">
        <f aca="false">IF(B689&lt;$E$104,$E$105,$E$111)</f>
        <v>2.5</v>
      </c>
      <c r="O689" s="822" t="n">
        <f aca="false">E689*$E$205*N689</f>
        <v>128.370817425741</v>
      </c>
      <c r="P689" s="823" t="n">
        <f aca="false">P688+O689</f>
        <v>45811.1096582969</v>
      </c>
      <c r="Q689" s="606" t="n">
        <f aca="false">Q688+1</f>
        <v>474</v>
      </c>
      <c r="R689" s="824" t="n">
        <f aca="false">R688-1</f>
        <v>-474</v>
      </c>
      <c r="S689" s="5"/>
      <c r="T689" s="5"/>
      <c r="U689" s="5"/>
      <c r="V689" s="10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02"/>
      <c r="AU689" s="502"/>
      <c r="AV689" s="606"/>
      <c r="AW689" s="502"/>
      <c r="AX689" s="502"/>
      <c r="AY689" s="502"/>
      <c r="AZ689" s="502"/>
      <c r="BA689" s="502"/>
      <c r="BB689" s="502"/>
      <c r="BC689" s="502"/>
      <c r="BD689" s="502"/>
      <c r="BE689" s="502"/>
      <c r="BF689" s="502"/>
      <c r="BG689" s="502"/>
      <c r="BH689" s="502"/>
      <c r="BI689" s="502"/>
      <c r="BJ689" s="502"/>
      <c r="BK689" s="502"/>
      <c r="BL689" s="502"/>
      <c r="BM689" s="502"/>
      <c r="BN689" s="502"/>
      <c r="BO689" s="502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</row>
    <row r="690" s="504" customFormat="true" ht="12.75" hidden="true" customHeight="true" outlineLevel="0" collapsed="false">
      <c r="A690" s="5"/>
      <c r="B690" s="813" t="n">
        <f aca="false">B689+1</f>
        <v>475</v>
      </c>
      <c r="C690" s="814" t="n">
        <f aca="false">C689+D690</f>
        <v>55065.5175304158</v>
      </c>
      <c r="D690" s="815" t="n">
        <f aca="false">E690*$E$205*M690</f>
        <v>154.20266091089</v>
      </c>
      <c r="E690" s="601" t="n">
        <f aca="false">E689+$C$204</f>
        <v>9.77946860165459</v>
      </c>
      <c r="F690" s="816" t="n">
        <f aca="false">F689+1</f>
        <v>475</v>
      </c>
      <c r="G690" s="775" t="n">
        <f aca="false">C690</f>
        <v>55065.5175304158</v>
      </c>
      <c r="H690" s="817" t="n">
        <f aca="false">1000*(E690-E689)</f>
        <v>9.99999999999979</v>
      </c>
      <c r="I690" s="5"/>
      <c r="J690" s="818" t="n">
        <f aca="false">1000*(E690-$E$215)/(B690-$B$215)</f>
        <v>13.3134101654142</v>
      </c>
      <c r="K690" s="732" t="n">
        <f aca="false">AVERAGE($E$216:E690)</f>
        <v>7.39346860165464</v>
      </c>
      <c r="L690" s="819" t="n">
        <f aca="false">L689+1</f>
        <v>475</v>
      </c>
      <c r="M690" s="820" t="n">
        <f aca="false">IF(B690&lt;$E$104,$E$105,$E$106)</f>
        <v>3</v>
      </c>
      <c r="N690" s="821" t="n">
        <f aca="false">IF(B690&lt;$E$104,$E$105,$E$111)</f>
        <v>2.5</v>
      </c>
      <c r="O690" s="822" t="n">
        <f aca="false">E690*$E$205*N690</f>
        <v>128.502217425741</v>
      </c>
      <c r="P690" s="823" t="n">
        <f aca="false">P689+O690</f>
        <v>45939.6118757227</v>
      </c>
      <c r="Q690" s="606" t="n">
        <f aca="false">Q689+1</f>
        <v>475</v>
      </c>
      <c r="R690" s="824" t="n">
        <f aca="false">R689-1</f>
        <v>-475</v>
      </c>
      <c r="S690" s="5"/>
      <c r="T690" s="5"/>
      <c r="U690" s="5"/>
      <c r="V690" s="10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02"/>
      <c r="AU690" s="502"/>
      <c r="AV690" s="606"/>
      <c r="AW690" s="502"/>
      <c r="AX690" s="502"/>
      <c r="AY690" s="502"/>
      <c r="AZ690" s="502"/>
      <c r="BA690" s="502"/>
      <c r="BB690" s="502"/>
      <c r="BC690" s="502"/>
      <c r="BD690" s="502"/>
      <c r="BE690" s="502"/>
      <c r="BF690" s="502"/>
      <c r="BG690" s="502"/>
      <c r="BH690" s="502"/>
      <c r="BI690" s="502"/>
      <c r="BJ690" s="502"/>
      <c r="BK690" s="502"/>
      <c r="BL690" s="502"/>
      <c r="BM690" s="502"/>
      <c r="BN690" s="502"/>
      <c r="BO690" s="502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</row>
    <row r="691" s="504" customFormat="true" ht="12.75" hidden="true" customHeight="true" outlineLevel="0" collapsed="false">
      <c r="A691" s="5"/>
      <c r="B691" s="813" t="n">
        <f aca="false">B690+1</f>
        <v>476</v>
      </c>
      <c r="C691" s="814" t="n">
        <f aca="false">C690+D691</f>
        <v>55219.8778713267</v>
      </c>
      <c r="D691" s="815" t="n">
        <f aca="false">E691*$E$205*M691</f>
        <v>154.36034091089</v>
      </c>
      <c r="E691" s="601" t="n">
        <f aca="false">E690+$C$204</f>
        <v>9.78946860165459</v>
      </c>
      <c r="F691" s="816" t="n">
        <f aca="false">F690+1</f>
        <v>476</v>
      </c>
      <c r="G691" s="775" t="n">
        <f aca="false">C691</f>
        <v>55219.8778713267</v>
      </c>
      <c r="H691" s="817" t="n">
        <f aca="false">1000*(E691-E690)</f>
        <v>9.99999999999979</v>
      </c>
      <c r="I691" s="5"/>
      <c r="J691" s="818" t="n">
        <f aca="false">1000*(E691-$E$215)/(B691-$B$215)</f>
        <v>13.3064492196885</v>
      </c>
      <c r="K691" s="732" t="n">
        <f aca="false">AVERAGE($E$216:E691)</f>
        <v>7.39850221510002</v>
      </c>
      <c r="L691" s="819" t="n">
        <f aca="false">L690+1</f>
        <v>476</v>
      </c>
      <c r="M691" s="820" t="n">
        <f aca="false">IF(B691&lt;$E$104,$E$105,$E$106)</f>
        <v>3</v>
      </c>
      <c r="N691" s="821" t="n">
        <f aca="false">IF(B691&lt;$E$104,$E$105,$E$111)</f>
        <v>2.5</v>
      </c>
      <c r="O691" s="822" t="n">
        <f aca="false">E691*$E$205*N691</f>
        <v>128.633617425741</v>
      </c>
      <c r="P691" s="823" t="n">
        <f aca="false">P690+O691</f>
        <v>46068.2454931484</v>
      </c>
      <c r="Q691" s="606" t="n">
        <f aca="false">Q690+1</f>
        <v>476</v>
      </c>
      <c r="R691" s="824" t="n">
        <f aca="false">R690-1</f>
        <v>-476</v>
      </c>
      <c r="S691" s="5"/>
      <c r="T691" s="5"/>
      <c r="U691" s="5"/>
      <c r="V691" s="10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02"/>
      <c r="AU691" s="502"/>
      <c r="AV691" s="606"/>
      <c r="AW691" s="502"/>
      <c r="AX691" s="502"/>
      <c r="AY691" s="502"/>
      <c r="AZ691" s="502"/>
      <c r="BA691" s="502"/>
      <c r="BB691" s="502"/>
      <c r="BC691" s="502"/>
      <c r="BD691" s="502"/>
      <c r="BE691" s="502"/>
      <c r="BF691" s="502"/>
      <c r="BG691" s="502"/>
      <c r="BH691" s="502"/>
      <c r="BI691" s="502"/>
      <c r="BJ691" s="502"/>
      <c r="BK691" s="502"/>
      <c r="BL691" s="502"/>
      <c r="BM691" s="502"/>
      <c r="BN691" s="502"/>
      <c r="BO691" s="502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</row>
    <row r="692" s="504" customFormat="true" ht="12.75" hidden="true" customHeight="true" outlineLevel="0" collapsed="false">
      <c r="A692" s="5"/>
      <c r="B692" s="813" t="n">
        <f aca="false">B691+1</f>
        <v>477</v>
      </c>
      <c r="C692" s="814" t="n">
        <f aca="false">C691+D692</f>
        <v>55374.3958922375</v>
      </c>
      <c r="D692" s="815" t="n">
        <f aca="false">E692*$E$205*M692</f>
        <v>154.51802091089</v>
      </c>
      <c r="E692" s="601" t="n">
        <f aca="false">E691+$C$204</f>
        <v>9.79946860165459</v>
      </c>
      <c r="F692" s="816" t="n">
        <f aca="false">F691+1</f>
        <v>477</v>
      </c>
      <c r="G692" s="775" t="n">
        <f aca="false">C692</f>
        <v>55374.3958922375</v>
      </c>
      <c r="H692" s="817" t="n">
        <f aca="false">1000*(E692-E691)</f>
        <v>9.99999999999979</v>
      </c>
      <c r="I692" s="5"/>
      <c r="J692" s="818" t="n">
        <f aca="false">1000*(E692-$E$215)/(B692-$B$215)</f>
        <v>13.2995174603181</v>
      </c>
      <c r="K692" s="732" t="n">
        <f aca="false">AVERAGE($E$216:E692)</f>
        <v>7.40353568760852</v>
      </c>
      <c r="L692" s="819" t="n">
        <f aca="false">L691+1</f>
        <v>477</v>
      </c>
      <c r="M692" s="820" t="n">
        <f aca="false">IF(B692&lt;$E$104,$E$105,$E$106)</f>
        <v>3</v>
      </c>
      <c r="N692" s="821" t="n">
        <f aca="false">IF(B692&lt;$E$104,$E$105,$E$111)</f>
        <v>2.5</v>
      </c>
      <c r="O692" s="822" t="n">
        <f aca="false">E692*$E$205*N692</f>
        <v>128.765017425741</v>
      </c>
      <c r="P692" s="823" t="n">
        <f aca="false">P691+O692</f>
        <v>46197.0105105742</v>
      </c>
      <c r="Q692" s="606" t="n">
        <f aca="false">Q691+1</f>
        <v>477</v>
      </c>
      <c r="R692" s="824" t="n">
        <f aca="false">R691-1</f>
        <v>-477</v>
      </c>
      <c r="S692" s="5"/>
      <c r="T692" s="5"/>
      <c r="U692" s="5"/>
      <c r="V692" s="10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02"/>
      <c r="AU692" s="502"/>
      <c r="AV692" s="606"/>
      <c r="AW692" s="502"/>
      <c r="AX692" s="502"/>
      <c r="AY692" s="502"/>
      <c r="AZ692" s="502"/>
      <c r="BA692" s="502"/>
      <c r="BB692" s="502"/>
      <c r="BC692" s="502"/>
      <c r="BD692" s="502"/>
      <c r="BE692" s="502"/>
      <c r="BF692" s="502"/>
      <c r="BG692" s="502"/>
      <c r="BH692" s="502"/>
      <c r="BI692" s="502"/>
      <c r="BJ692" s="502"/>
      <c r="BK692" s="502"/>
      <c r="BL692" s="502"/>
      <c r="BM692" s="502"/>
      <c r="BN692" s="502"/>
      <c r="BO692" s="502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</row>
    <row r="693" s="504" customFormat="true" ht="12.75" hidden="true" customHeight="true" outlineLevel="0" collapsed="false">
      <c r="A693" s="5"/>
      <c r="B693" s="813" t="n">
        <f aca="false">B692+1</f>
        <v>478</v>
      </c>
      <c r="C693" s="814" t="n">
        <f aca="false">C692+D693</f>
        <v>55529.0715931484</v>
      </c>
      <c r="D693" s="815" t="n">
        <f aca="false">E693*$E$205*M693</f>
        <v>154.67570091089</v>
      </c>
      <c r="E693" s="601" t="n">
        <f aca="false">E692+$C$204</f>
        <v>9.80946860165459</v>
      </c>
      <c r="F693" s="816" t="n">
        <f aca="false">F692+1</f>
        <v>478</v>
      </c>
      <c r="G693" s="775" t="n">
        <f aca="false">C693</f>
        <v>55529.0715931484</v>
      </c>
      <c r="H693" s="817" t="n">
        <f aca="false">1000*(E693-E692)</f>
        <v>9.99999999999979</v>
      </c>
      <c r="I693" s="5"/>
      <c r="J693" s="818" t="n">
        <f aca="false">1000*(E693-$E$215)/(B693-$B$215)</f>
        <v>13.292614704125</v>
      </c>
      <c r="K693" s="732" t="n">
        <f aca="false">AVERAGE($E$216:E693)</f>
        <v>7.40856902006468</v>
      </c>
      <c r="L693" s="819" t="n">
        <f aca="false">L692+1</f>
        <v>478</v>
      </c>
      <c r="M693" s="820" t="n">
        <f aca="false">IF(B693&lt;$E$104,$E$105,$E$106)</f>
        <v>3</v>
      </c>
      <c r="N693" s="821" t="n">
        <f aca="false">IF(B693&lt;$E$104,$E$105,$E$111)</f>
        <v>2.5</v>
      </c>
      <c r="O693" s="822" t="n">
        <f aca="false">E693*$E$205*N693</f>
        <v>128.896417425741</v>
      </c>
      <c r="P693" s="823" t="n">
        <f aca="false">P692+O693</f>
        <v>46325.9069279999</v>
      </c>
      <c r="Q693" s="606" t="n">
        <f aca="false">Q692+1</f>
        <v>478</v>
      </c>
      <c r="R693" s="824" t="n">
        <f aca="false">R692-1</f>
        <v>-478</v>
      </c>
      <c r="S693" s="5"/>
      <c r="T693" s="5"/>
      <c r="U693" s="5"/>
      <c r="V693" s="10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02"/>
      <c r="AU693" s="502"/>
      <c r="AV693" s="606"/>
      <c r="AW693" s="502"/>
      <c r="AX693" s="502"/>
      <c r="AY693" s="502"/>
      <c r="AZ693" s="502"/>
      <c r="BA693" s="502"/>
      <c r="BB693" s="502"/>
      <c r="BC693" s="502"/>
      <c r="BD693" s="502"/>
      <c r="BE693" s="502"/>
      <c r="BF693" s="502"/>
      <c r="BG693" s="502"/>
      <c r="BH693" s="502"/>
      <c r="BI693" s="502"/>
      <c r="BJ693" s="502"/>
      <c r="BK693" s="502"/>
      <c r="BL693" s="502"/>
      <c r="BM693" s="502"/>
      <c r="BN693" s="502"/>
      <c r="BO693" s="502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</row>
    <row r="694" s="504" customFormat="true" ht="12.75" hidden="true" customHeight="true" outlineLevel="0" collapsed="false">
      <c r="A694" s="5"/>
      <c r="B694" s="813" t="n">
        <f aca="false">B693+1</f>
        <v>479</v>
      </c>
      <c r="C694" s="814" t="n">
        <f aca="false">C693+D694</f>
        <v>55683.9049740593</v>
      </c>
      <c r="D694" s="815" t="n">
        <f aca="false">E694*$E$205*M694</f>
        <v>154.83338091089</v>
      </c>
      <c r="E694" s="601" t="n">
        <f aca="false">E693+$C$204</f>
        <v>9.81946860165459</v>
      </c>
      <c r="F694" s="816" t="n">
        <f aca="false">F693+1</f>
        <v>479</v>
      </c>
      <c r="G694" s="775" t="n">
        <f aca="false">C694</f>
        <v>55683.9049740593</v>
      </c>
      <c r="H694" s="817" t="n">
        <f aca="false">1000*(E694-E693)</f>
        <v>9.99999999999979</v>
      </c>
      <c r="I694" s="5"/>
      <c r="J694" s="818" t="n">
        <f aca="false">1000*(E694-$E$215)/(B694-$B$215)</f>
        <v>13.2857407694608</v>
      </c>
      <c r="K694" s="732" t="n">
        <f aca="false">AVERAGE($E$216:E694)</f>
        <v>7.41360221334566</v>
      </c>
      <c r="L694" s="819" t="n">
        <f aca="false">L693+1</f>
        <v>479</v>
      </c>
      <c r="M694" s="820" t="n">
        <f aca="false">IF(B694&lt;$E$104,$E$105,$E$106)</f>
        <v>3</v>
      </c>
      <c r="N694" s="821" t="n">
        <f aca="false">IF(B694&lt;$E$104,$E$105,$E$111)</f>
        <v>2.5</v>
      </c>
      <c r="O694" s="822" t="n">
        <f aca="false">E694*$E$205*N694</f>
        <v>129.027817425741</v>
      </c>
      <c r="P694" s="823" t="n">
        <f aca="false">P693+O694</f>
        <v>46454.9347454256</v>
      </c>
      <c r="Q694" s="606" t="n">
        <f aca="false">Q693+1</f>
        <v>479</v>
      </c>
      <c r="R694" s="824" t="n">
        <f aca="false">R693-1</f>
        <v>-479</v>
      </c>
      <c r="S694" s="5"/>
      <c r="T694" s="5"/>
      <c r="U694" s="5"/>
      <c r="V694" s="10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02"/>
      <c r="AU694" s="502"/>
      <c r="AV694" s="606"/>
      <c r="AW694" s="502"/>
      <c r="AX694" s="502"/>
      <c r="AY694" s="502"/>
      <c r="AZ694" s="502"/>
      <c r="BA694" s="502"/>
      <c r="BB694" s="502"/>
      <c r="BC694" s="502"/>
      <c r="BD694" s="502"/>
      <c r="BE694" s="502"/>
      <c r="BF694" s="502"/>
      <c r="BG694" s="502"/>
      <c r="BH694" s="502"/>
      <c r="BI694" s="502"/>
      <c r="BJ694" s="502"/>
      <c r="BK694" s="502"/>
      <c r="BL694" s="502"/>
      <c r="BM694" s="502"/>
      <c r="BN694" s="502"/>
      <c r="BO694" s="502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</row>
    <row r="695" s="504" customFormat="true" ht="12.75" hidden="true" customHeight="true" outlineLevel="0" collapsed="false">
      <c r="A695" s="5"/>
      <c r="B695" s="813" t="n">
        <f aca="false">B694+1</f>
        <v>480</v>
      </c>
      <c r="C695" s="814" t="n">
        <f aca="false">C694+D695</f>
        <v>55838.8960349702</v>
      </c>
      <c r="D695" s="815" t="n">
        <f aca="false">E695*$E$205*M695</f>
        <v>154.99106091089</v>
      </c>
      <c r="E695" s="601" t="n">
        <f aca="false">E694+$C$204</f>
        <v>9.82946860165459</v>
      </c>
      <c r="F695" s="816" t="n">
        <f aca="false">F694+1</f>
        <v>480</v>
      </c>
      <c r="G695" s="775" t="n">
        <f aca="false">C695</f>
        <v>55838.8960349702</v>
      </c>
      <c r="H695" s="817" t="n">
        <f aca="false">1000*(E695-E694)</f>
        <v>9.99999999999979</v>
      </c>
      <c r="I695" s="5"/>
      <c r="J695" s="818" t="n">
        <f aca="false">1000*(E695-$E$215)/(B695-$B$215)</f>
        <v>13.2788954761911</v>
      </c>
      <c r="K695" s="732" t="n">
        <f aca="false">AVERAGE($E$216:E695)</f>
        <v>7.41863526832131</v>
      </c>
      <c r="L695" s="819" t="n">
        <f aca="false">L694+1</f>
        <v>480</v>
      </c>
      <c r="M695" s="820" t="n">
        <f aca="false">IF(B695&lt;$E$104,$E$105,$E$106)</f>
        <v>3</v>
      </c>
      <c r="N695" s="821" t="n">
        <f aca="false">IF(B695&lt;$E$104,$E$105,$E$111)</f>
        <v>2.5</v>
      </c>
      <c r="O695" s="822" t="n">
        <f aca="false">E695*$E$205*N695</f>
        <v>129.159217425741</v>
      </c>
      <c r="P695" s="823" t="n">
        <f aca="false">P694+O695</f>
        <v>46584.0939628514</v>
      </c>
      <c r="Q695" s="606" t="n">
        <f aca="false">Q694+1</f>
        <v>480</v>
      </c>
      <c r="R695" s="824" t="n">
        <f aca="false">R694-1</f>
        <v>-480</v>
      </c>
      <c r="S695" s="5"/>
      <c r="T695" s="5"/>
      <c r="U695" s="5"/>
      <c r="V695" s="10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02"/>
      <c r="AU695" s="502"/>
      <c r="AV695" s="606"/>
      <c r="AW695" s="502"/>
      <c r="AX695" s="502"/>
      <c r="AY695" s="502"/>
      <c r="AZ695" s="502"/>
      <c r="BA695" s="502"/>
      <c r="BB695" s="502"/>
      <c r="BC695" s="502"/>
      <c r="BD695" s="502"/>
      <c r="BE695" s="502"/>
      <c r="BF695" s="502"/>
      <c r="BG695" s="502"/>
      <c r="BH695" s="502"/>
      <c r="BI695" s="502"/>
      <c r="BJ695" s="502"/>
      <c r="BK695" s="502"/>
      <c r="BL695" s="502"/>
      <c r="BM695" s="502"/>
      <c r="BN695" s="502"/>
      <c r="BO695" s="502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</row>
    <row r="696" s="504" customFormat="true" ht="12.75" hidden="true" customHeight="true" outlineLevel="0" collapsed="false">
      <c r="A696" s="5"/>
      <c r="B696" s="813" t="n">
        <f aca="false">B695+1</f>
        <v>481</v>
      </c>
      <c r="C696" s="814" t="n">
        <f aca="false">C695+D696</f>
        <v>55994.0447758811</v>
      </c>
      <c r="D696" s="815" t="n">
        <f aca="false">E696*$E$205*M696</f>
        <v>155.14874091089</v>
      </c>
      <c r="E696" s="601" t="n">
        <f aca="false">E695+$C$204</f>
        <v>9.83946860165459</v>
      </c>
      <c r="F696" s="816" t="n">
        <f aca="false">F695+1</f>
        <v>481</v>
      </c>
      <c r="G696" s="775" t="n">
        <f aca="false">C696</f>
        <v>55994.0447758811</v>
      </c>
      <c r="H696" s="817" t="n">
        <f aca="false">1000*(E696-E695)</f>
        <v>9.99999999999979</v>
      </c>
      <c r="I696" s="5"/>
      <c r="J696" s="818" t="n">
        <f aca="false">1000*(E696-$E$215)/(B696-$B$215)</f>
        <v>13.2720786456793</v>
      </c>
      <c r="K696" s="732" t="n">
        <f aca="false">AVERAGE($E$216:E696)</f>
        <v>7.42366818585422</v>
      </c>
      <c r="L696" s="819" t="n">
        <f aca="false">L695+1</f>
        <v>481</v>
      </c>
      <c r="M696" s="820" t="n">
        <f aca="false">IF(B696&lt;$E$104,$E$105,$E$106)</f>
        <v>3</v>
      </c>
      <c r="N696" s="821" t="n">
        <f aca="false">IF(B696&lt;$E$104,$E$105,$E$111)</f>
        <v>2.5</v>
      </c>
      <c r="O696" s="822" t="n">
        <f aca="false">E696*$E$205*N696</f>
        <v>129.290617425741</v>
      </c>
      <c r="P696" s="823" t="n">
        <f aca="false">P695+O696</f>
        <v>46713.3845802771</v>
      </c>
      <c r="Q696" s="606" t="n">
        <f aca="false">Q695+1</f>
        <v>481</v>
      </c>
      <c r="R696" s="824" t="n">
        <f aca="false">R695-1</f>
        <v>-481</v>
      </c>
      <c r="S696" s="5"/>
      <c r="T696" s="5"/>
      <c r="U696" s="5"/>
      <c r="V696" s="10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02"/>
      <c r="AU696" s="502"/>
      <c r="AV696" s="606"/>
      <c r="AW696" s="502"/>
      <c r="AX696" s="502"/>
      <c r="AY696" s="502"/>
      <c r="AZ696" s="502"/>
      <c r="BA696" s="502"/>
      <c r="BB696" s="502"/>
      <c r="BC696" s="502"/>
      <c r="BD696" s="502"/>
      <c r="BE696" s="502"/>
      <c r="BF696" s="502"/>
      <c r="BG696" s="502"/>
      <c r="BH696" s="502"/>
      <c r="BI696" s="502"/>
      <c r="BJ696" s="502"/>
      <c r="BK696" s="502"/>
      <c r="BL696" s="502"/>
      <c r="BM696" s="502"/>
      <c r="BN696" s="502"/>
      <c r="BO696" s="502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</row>
    <row r="697" s="504" customFormat="true" ht="12.75" hidden="true" customHeight="true" outlineLevel="0" collapsed="false">
      <c r="A697" s="5"/>
      <c r="B697" s="813" t="n">
        <f aca="false">B696+1</f>
        <v>482</v>
      </c>
      <c r="C697" s="814" t="n">
        <f aca="false">C696+D697</f>
        <v>56149.351196792</v>
      </c>
      <c r="D697" s="815" t="n">
        <f aca="false">E697*$E$205*M697</f>
        <v>155.30642091089</v>
      </c>
      <c r="E697" s="601" t="n">
        <f aca="false">E696+$C$204</f>
        <v>9.84946860165459</v>
      </c>
      <c r="F697" s="816" t="n">
        <f aca="false">F696+1</f>
        <v>482</v>
      </c>
      <c r="G697" s="775" t="n">
        <f aca="false">C697</f>
        <v>56149.351196792</v>
      </c>
      <c r="H697" s="817" t="n">
        <f aca="false">1000*(E697-E696)</f>
        <v>9.99999999999979</v>
      </c>
      <c r="I697" s="5"/>
      <c r="J697" s="818" t="n">
        <f aca="false">1000*(E697-$E$215)/(B697-$B$215)</f>
        <v>13.2652901007713</v>
      </c>
      <c r="K697" s="732" t="n">
        <f aca="false">AVERAGE($E$216:E697)</f>
        <v>7.42870096679987</v>
      </c>
      <c r="L697" s="819" t="n">
        <f aca="false">L696+1</f>
        <v>482</v>
      </c>
      <c r="M697" s="820" t="n">
        <f aca="false">IF(B697&lt;$E$104,$E$105,$E$106)</f>
        <v>3</v>
      </c>
      <c r="N697" s="821" t="n">
        <f aca="false">IF(B697&lt;$E$104,$E$105,$E$111)</f>
        <v>2.5</v>
      </c>
      <c r="O697" s="822" t="n">
        <f aca="false">E697*$E$205*N697</f>
        <v>129.422017425741</v>
      </c>
      <c r="P697" s="823" t="n">
        <f aca="false">P696+O697</f>
        <v>46842.8065977029</v>
      </c>
      <c r="Q697" s="606" t="n">
        <f aca="false">Q696+1</f>
        <v>482</v>
      </c>
      <c r="R697" s="824" t="n">
        <f aca="false">R696-1</f>
        <v>-482</v>
      </c>
      <c r="S697" s="5"/>
      <c r="T697" s="5"/>
      <c r="U697" s="5"/>
      <c r="V697" s="10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02"/>
      <c r="AU697" s="502"/>
      <c r="AV697" s="606"/>
      <c r="AW697" s="502"/>
      <c r="AX697" s="502"/>
      <c r="AY697" s="502"/>
      <c r="AZ697" s="502"/>
      <c r="BA697" s="502"/>
      <c r="BB697" s="502"/>
      <c r="BC697" s="502"/>
      <c r="BD697" s="502"/>
      <c r="BE697" s="502"/>
      <c r="BF697" s="502"/>
      <c r="BG697" s="502"/>
      <c r="BH697" s="502"/>
      <c r="BI697" s="502"/>
      <c r="BJ697" s="502"/>
      <c r="BK697" s="502"/>
      <c r="BL697" s="502"/>
      <c r="BM697" s="502"/>
      <c r="BN697" s="502"/>
      <c r="BO697" s="502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</row>
    <row r="698" s="504" customFormat="true" ht="12.75" hidden="true" customHeight="true" outlineLevel="0" collapsed="false">
      <c r="A698" s="5"/>
      <c r="B698" s="813" t="n">
        <f aca="false">B697+1</f>
        <v>483</v>
      </c>
      <c r="C698" s="814" t="n">
        <f aca="false">C697+D698</f>
        <v>56304.8152977029</v>
      </c>
      <c r="D698" s="815" t="n">
        <f aca="false">E698*$E$205*M698</f>
        <v>155.46410091089</v>
      </c>
      <c r="E698" s="601" t="n">
        <f aca="false">E697+$C$204</f>
        <v>9.85946860165459</v>
      </c>
      <c r="F698" s="816" t="n">
        <f aca="false">F697+1</f>
        <v>483</v>
      </c>
      <c r="G698" s="775" t="n">
        <f aca="false">C698</f>
        <v>56304.8152977029</v>
      </c>
      <c r="H698" s="817" t="n">
        <f aca="false">1000*(E698-E697)</f>
        <v>9.99999999999979</v>
      </c>
      <c r="I698" s="5"/>
      <c r="J698" s="818" t="n">
        <f aca="false">1000*(E698-$E$215)/(B698-$B$215)</f>
        <v>13.25852966578</v>
      </c>
      <c r="K698" s="732" t="n">
        <f aca="false">AVERAGE($E$216:E698)</f>
        <v>7.43373361200661</v>
      </c>
      <c r="L698" s="819" t="n">
        <f aca="false">L697+1</f>
        <v>483</v>
      </c>
      <c r="M698" s="820" t="n">
        <f aca="false">IF(B698&lt;$E$104,$E$105,$E$106)</f>
        <v>3</v>
      </c>
      <c r="N698" s="821" t="n">
        <f aca="false">IF(B698&lt;$E$104,$E$105,$E$111)</f>
        <v>2.5</v>
      </c>
      <c r="O698" s="822" t="n">
        <f aca="false">E698*$E$205*N698</f>
        <v>129.553417425741</v>
      </c>
      <c r="P698" s="823" t="n">
        <f aca="false">P697+O698</f>
        <v>46972.3600151286</v>
      </c>
      <c r="Q698" s="606" t="n">
        <f aca="false">Q697+1</f>
        <v>483</v>
      </c>
      <c r="R698" s="824" t="n">
        <f aca="false">R697-1</f>
        <v>-483</v>
      </c>
      <c r="S698" s="5"/>
      <c r="T698" s="5"/>
      <c r="U698" s="5"/>
      <c r="V698" s="10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02"/>
      <c r="AU698" s="502"/>
      <c r="AV698" s="606"/>
      <c r="AW698" s="502"/>
      <c r="AX698" s="502"/>
      <c r="AY698" s="502"/>
      <c r="AZ698" s="502"/>
      <c r="BA698" s="502"/>
      <c r="BB698" s="502"/>
      <c r="BC698" s="502"/>
      <c r="BD698" s="502"/>
      <c r="BE698" s="502"/>
      <c r="BF698" s="502"/>
      <c r="BG698" s="502"/>
      <c r="BH698" s="502"/>
      <c r="BI698" s="502"/>
      <c r="BJ698" s="502"/>
      <c r="BK698" s="502"/>
      <c r="BL698" s="502"/>
      <c r="BM698" s="502"/>
      <c r="BN698" s="502"/>
      <c r="BO698" s="502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</row>
    <row r="699" s="504" customFormat="true" ht="12.75" hidden="true" customHeight="true" outlineLevel="0" collapsed="false">
      <c r="A699" s="5"/>
      <c r="B699" s="813" t="n">
        <f aca="false">B698+1</f>
        <v>484</v>
      </c>
      <c r="C699" s="814" t="n">
        <f aca="false">C698+D699</f>
        <v>56460.4370786138</v>
      </c>
      <c r="D699" s="815" t="n">
        <f aca="false">E699*$E$205*M699</f>
        <v>155.62178091089</v>
      </c>
      <c r="E699" s="601" t="n">
        <f aca="false">E698+$C$204</f>
        <v>9.86946860165459</v>
      </c>
      <c r="F699" s="816" t="n">
        <f aca="false">F698+1</f>
        <v>484</v>
      </c>
      <c r="G699" s="775" t="n">
        <f aca="false">C699</f>
        <v>56460.4370786138</v>
      </c>
      <c r="H699" s="817" t="n">
        <f aca="false">1000*(E699-E698)</f>
        <v>9.99999999999979</v>
      </c>
      <c r="I699" s="5"/>
      <c r="J699" s="818" t="n">
        <f aca="false">1000*(E699-$E$215)/(B699-$B$215)</f>
        <v>13.2517971664705</v>
      </c>
      <c r="K699" s="732" t="n">
        <f aca="false">AVERAGE($E$216:E699)</f>
        <v>7.4387661223158</v>
      </c>
      <c r="L699" s="819" t="n">
        <f aca="false">L698+1</f>
        <v>484</v>
      </c>
      <c r="M699" s="820" t="n">
        <f aca="false">IF(B699&lt;$E$104,$E$105,$E$106)</f>
        <v>3</v>
      </c>
      <c r="N699" s="821" t="n">
        <f aca="false">IF(B699&lt;$E$104,$E$105,$E$111)</f>
        <v>2.5</v>
      </c>
      <c r="O699" s="822" t="n">
        <f aca="false">E699*$E$205*N699</f>
        <v>129.684817425741</v>
      </c>
      <c r="P699" s="823" t="n">
        <f aca="false">P698+O699</f>
        <v>47102.0448325544</v>
      </c>
      <c r="Q699" s="606" t="n">
        <f aca="false">Q698+1</f>
        <v>484</v>
      </c>
      <c r="R699" s="824" t="n">
        <f aca="false">R698-1</f>
        <v>-484</v>
      </c>
      <c r="S699" s="5"/>
      <c r="T699" s="5"/>
      <c r="U699" s="5"/>
      <c r="V699" s="10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02"/>
      <c r="AU699" s="502"/>
      <c r="AV699" s="606"/>
      <c r="AW699" s="502"/>
      <c r="AX699" s="502"/>
      <c r="AY699" s="502"/>
      <c r="AZ699" s="502"/>
      <c r="BA699" s="502"/>
      <c r="BB699" s="502"/>
      <c r="BC699" s="502"/>
      <c r="BD699" s="502"/>
      <c r="BE699" s="502"/>
      <c r="BF699" s="502"/>
      <c r="BG699" s="502"/>
      <c r="BH699" s="502"/>
      <c r="BI699" s="502"/>
      <c r="BJ699" s="502"/>
      <c r="BK699" s="502"/>
      <c r="BL699" s="502"/>
      <c r="BM699" s="502"/>
      <c r="BN699" s="502"/>
      <c r="BO699" s="502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</row>
    <row r="700" s="504" customFormat="true" ht="12.75" hidden="true" customHeight="true" outlineLevel="0" collapsed="false">
      <c r="A700" s="5"/>
      <c r="B700" s="813" t="n">
        <f aca="false">B699+1</f>
        <v>485</v>
      </c>
      <c r="C700" s="814" t="n">
        <f aca="false">C699+D700</f>
        <v>56616.2165395247</v>
      </c>
      <c r="D700" s="815" t="n">
        <f aca="false">E700*$E$205*M700</f>
        <v>155.77946091089</v>
      </c>
      <c r="E700" s="601" t="n">
        <f aca="false">E699+$C$204</f>
        <v>9.87946860165459</v>
      </c>
      <c r="F700" s="816" t="n">
        <f aca="false">F699+1</f>
        <v>485</v>
      </c>
      <c r="G700" s="775" t="n">
        <f aca="false">C700</f>
        <v>56616.2165395247</v>
      </c>
      <c r="H700" s="817" t="n">
        <f aca="false">1000*(E700-E699)</f>
        <v>9.99999999999979</v>
      </c>
      <c r="I700" s="5"/>
      <c r="J700" s="818" t="n">
        <f aca="false">1000*(E700-$E$215)/(B700-$B$215)</f>
        <v>13.2450924300448</v>
      </c>
      <c r="K700" s="732" t="n">
        <f aca="false">AVERAGE($E$216:E700)</f>
        <v>7.44379849856186</v>
      </c>
      <c r="L700" s="819" t="n">
        <f aca="false">L699+1</f>
        <v>485</v>
      </c>
      <c r="M700" s="820" t="n">
        <f aca="false">IF(B700&lt;$E$104,$E$105,$E$106)</f>
        <v>3</v>
      </c>
      <c r="N700" s="821" t="n">
        <f aca="false">IF(B700&lt;$E$104,$E$105,$E$111)</f>
        <v>2.5</v>
      </c>
      <c r="O700" s="822" t="n">
        <f aca="false">E700*$E$205*N700</f>
        <v>129.816217425741</v>
      </c>
      <c r="P700" s="823" t="n">
        <f aca="false">P699+O700</f>
        <v>47231.8610499801</v>
      </c>
      <c r="Q700" s="606" t="n">
        <f aca="false">Q699+1</f>
        <v>485</v>
      </c>
      <c r="R700" s="824" t="n">
        <f aca="false">R699-1</f>
        <v>-485</v>
      </c>
      <c r="S700" s="5"/>
      <c r="T700" s="5"/>
      <c r="U700" s="5"/>
      <c r="V700" s="10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02"/>
      <c r="AU700" s="502"/>
      <c r="AV700" s="606"/>
      <c r="AW700" s="502"/>
      <c r="AX700" s="502"/>
      <c r="AY700" s="502"/>
      <c r="AZ700" s="502"/>
      <c r="BA700" s="502"/>
      <c r="BB700" s="502"/>
      <c r="BC700" s="502"/>
      <c r="BD700" s="502"/>
      <c r="BE700" s="502"/>
      <c r="BF700" s="502"/>
      <c r="BG700" s="502"/>
      <c r="BH700" s="502"/>
      <c r="BI700" s="502"/>
      <c r="BJ700" s="502"/>
      <c r="BK700" s="502"/>
      <c r="BL700" s="502"/>
      <c r="BM700" s="502"/>
      <c r="BN700" s="502"/>
      <c r="BO700" s="502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</row>
    <row r="701" s="504" customFormat="true" ht="12.75" hidden="true" customHeight="true" outlineLevel="0" collapsed="false">
      <c r="A701" s="5"/>
      <c r="B701" s="813" t="n">
        <f aca="false">B700+1</f>
        <v>486</v>
      </c>
      <c r="C701" s="814" t="n">
        <f aca="false">C700+D701</f>
        <v>56772.1536804356</v>
      </c>
      <c r="D701" s="815" t="n">
        <f aca="false">E701*$E$205*M701</f>
        <v>155.93714091089</v>
      </c>
      <c r="E701" s="601" t="n">
        <f aca="false">E700+$C$204</f>
        <v>9.88946860165459</v>
      </c>
      <c r="F701" s="816" t="n">
        <f aca="false">F700+1</f>
        <v>486</v>
      </c>
      <c r="G701" s="775" t="n">
        <f aca="false">C701</f>
        <v>56772.1536804356</v>
      </c>
      <c r="H701" s="817" t="n">
        <f aca="false">1000*(E701-E700)</f>
        <v>9.99999999999979</v>
      </c>
      <c r="I701" s="5"/>
      <c r="J701" s="818" t="n">
        <f aca="false">1000*(E701-$E$215)/(B701-$B$215)</f>
        <v>13.238415285127</v>
      </c>
      <c r="K701" s="732" t="n">
        <f aca="false">AVERAGE($E$216:E701)</f>
        <v>7.44883074157233</v>
      </c>
      <c r="L701" s="819" t="n">
        <f aca="false">L700+1</f>
        <v>486</v>
      </c>
      <c r="M701" s="820" t="n">
        <f aca="false">IF(B701&lt;$E$104,$E$105,$E$106)</f>
        <v>3</v>
      </c>
      <c r="N701" s="821" t="n">
        <f aca="false">IF(B701&lt;$E$104,$E$105,$E$111)</f>
        <v>2.5</v>
      </c>
      <c r="O701" s="822" t="n">
        <f aca="false">E701*$E$205*N701</f>
        <v>129.947617425741</v>
      </c>
      <c r="P701" s="823" t="n">
        <f aca="false">P700+O701</f>
        <v>47361.8086674058</v>
      </c>
      <c r="Q701" s="606" t="n">
        <f aca="false">Q700+1</f>
        <v>486</v>
      </c>
      <c r="R701" s="824" t="n">
        <f aca="false">R700-1</f>
        <v>-486</v>
      </c>
      <c r="S701" s="5"/>
      <c r="T701" s="5"/>
      <c r="U701" s="5"/>
      <c r="V701" s="10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02"/>
      <c r="AU701" s="502"/>
      <c r="AV701" s="606"/>
      <c r="AW701" s="502"/>
      <c r="AX701" s="502"/>
      <c r="AY701" s="502"/>
      <c r="AZ701" s="502"/>
      <c r="BA701" s="502"/>
      <c r="BB701" s="502"/>
      <c r="BC701" s="502"/>
      <c r="BD701" s="502"/>
      <c r="BE701" s="502"/>
      <c r="BF701" s="502"/>
      <c r="BG701" s="502"/>
      <c r="BH701" s="502"/>
      <c r="BI701" s="502"/>
      <c r="BJ701" s="502"/>
      <c r="BK701" s="502"/>
      <c r="BL701" s="502"/>
      <c r="BM701" s="502"/>
      <c r="BN701" s="502"/>
      <c r="BO701" s="502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</row>
    <row r="702" s="504" customFormat="true" ht="12.75" hidden="true" customHeight="true" outlineLevel="0" collapsed="false">
      <c r="A702" s="5"/>
      <c r="B702" s="813" t="n">
        <f aca="false">B701+1</f>
        <v>487</v>
      </c>
      <c r="C702" s="814" t="n">
        <f aca="false">C701+D702</f>
        <v>56928.2485013464</v>
      </c>
      <c r="D702" s="815" t="n">
        <f aca="false">E702*$E$205*M702</f>
        <v>156.09482091089</v>
      </c>
      <c r="E702" s="601" t="n">
        <f aca="false">E701+$C$204</f>
        <v>9.89946860165459</v>
      </c>
      <c r="F702" s="816" t="n">
        <f aca="false">F701+1</f>
        <v>487</v>
      </c>
      <c r="G702" s="775" t="n">
        <f aca="false">C702</f>
        <v>56928.2485013464</v>
      </c>
      <c r="H702" s="817" t="n">
        <f aca="false">1000*(E702-E701)</f>
        <v>9.99999999999979</v>
      </c>
      <c r="I702" s="5"/>
      <c r="J702" s="818" t="n">
        <f aca="false">1000*(E702-$E$215)/(B702-$B$215)</f>
        <v>13.231765561749</v>
      </c>
      <c r="K702" s="732" t="n">
        <f aca="false">AVERAGE($E$216:E702)</f>
        <v>7.45386285216799</v>
      </c>
      <c r="L702" s="819" t="n">
        <f aca="false">L701+1</f>
        <v>487</v>
      </c>
      <c r="M702" s="820" t="n">
        <f aca="false">IF(B702&lt;$E$104,$E$105,$E$106)</f>
        <v>3</v>
      </c>
      <c r="N702" s="821" t="n">
        <f aca="false">IF(B702&lt;$E$104,$E$105,$E$111)</f>
        <v>2.5</v>
      </c>
      <c r="O702" s="822" t="n">
        <f aca="false">E702*$E$205*N702</f>
        <v>130.079017425741</v>
      </c>
      <c r="P702" s="823" t="n">
        <f aca="false">P701+O702</f>
        <v>47491.8876848316</v>
      </c>
      <c r="Q702" s="606" t="n">
        <f aca="false">Q701+1</f>
        <v>487</v>
      </c>
      <c r="R702" s="824" t="n">
        <f aca="false">R701-1</f>
        <v>-487</v>
      </c>
      <c r="S702" s="5"/>
      <c r="T702" s="5"/>
      <c r="U702" s="5"/>
      <c r="V702" s="10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02"/>
      <c r="AU702" s="502"/>
      <c r="AV702" s="606"/>
      <c r="AW702" s="502"/>
      <c r="AX702" s="502"/>
      <c r="AY702" s="502"/>
      <c r="AZ702" s="502"/>
      <c r="BA702" s="502"/>
      <c r="BB702" s="502"/>
      <c r="BC702" s="502"/>
      <c r="BD702" s="502"/>
      <c r="BE702" s="502"/>
      <c r="BF702" s="502"/>
      <c r="BG702" s="502"/>
      <c r="BH702" s="502"/>
      <c r="BI702" s="502"/>
      <c r="BJ702" s="502"/>
      <c r="BK702" s="502"/>
      <c r="BL702" s="502"/>
      <c r="BM702" s="502"/>
      <c r="BN702" s="502"/>
      <c r="BO702" s="502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</row>
    <row r="703" s="504" customFormat="true" ht="12.75" hidden="true" customHeight="true" outlineLevel="0" collapsed="false">
      <c r="A703" s="5"/>
      <c r="B703" s="813" t="n">
        <f aca="false">B702+1</f>
        <v>488</v>
      </c>
      <c r="C703" s="814" t="n">
        <f aca="false">C702+D703</f>
        <v>57084.5010022573</v>
      </c>
      <c r="D703" s="815" t="n">
        <f aca="false">E703*$E$205*M703</f>
        <v>156.25250091089</v>
      </c>
      <c r="E703" s="601" t="n">
        <f aca="false">E702+$C$204</f>
        <v>9.90946860165459</v>
      </c>
      <c r="F703" s="816" t="n">
        <f aca="false">F702+1</f>
        <v>488</v>
      </c>
      <c r="G703" s="775" t="n">
        <f aca="false">C703</f>
        <v>57084.5010022573</v>
      </c>
      <c r="H703" s="817" t="n">
        <f aca="false">1000*(E703-E702)</f>
        <v>9.99999999999979</v>
      </c>
      <c r="I703" s="5"/>
      <c r="J703" s="818" t="n">
        <f aca="false">1000*(E703-$E$215)/(B703-$B$215)</f>
        <v>13.2251430913355</v>
      </c>
      <c r="K703" s="732" t="n">
        <f aca="false">AVERAGE($E$216:E703)</f>
        <v>7.45889483116283</v>
      </c>
      <c r="L703" s="819" t="n">
        <f aca="false">L702+1</f>
        <v>488</v>
      </c>
      <c r="M703" s="820" t="n">
        <f aca="false">IF(B703&lt;$E$104,$E$105,$E$106)</f>
        <v>3</v>
      </c>
      <c r="N703" s="821" t="n">
        <f aca="false">IF(B703&lt;$E$104,$E$105,$E$111)</f>
        <v>2.5</v>
      </c>
      <c r="O703" s="822" t="n">
        <f aca="false">E703*$E$205*N703</f>
        <v>130.210417425741</v>
      </c>
      <c r="P703" s="823" t="n">
        <f aca="false">P702+O703</f>
        <v>47622.0981022573</v>
      </c>
      <c r="Q703" s="606" t="n">
        <f aca="false">Q702+1</f>
        <v>488</v>
      </c>
      <c r="R703" s="824" t="n">
        <f aca="false">R702-1</f>
        <v>-488</v>
      </c>
      <c r="S703" s="5"/>
      <c r="T703" s="5"/>
      <c r="U703" s="5"/>
      <c r="V703" s="10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02"/>
      <c r="AU703" s="502"/>
      <c r="AV703" s="606"/>
      <c r="AW703" s="502"/>
      <c r="AX703" s="502"/>
      <c r="AY703" s="502"/>
      <c r="AZ703" s="502"/>
      <c r="BA703" s="502"/>
      <c r="BB703" s="502"/>
      <c r="BC703" s="502"/>
      <c r="BD703" s="502"/>
      <c r="BE703" s="502"/>
      <c r="BF703" s="502"/>
      <c r="BG703" s="502"/>
      <c r="BH703" s="502"/>
      <c r="BI703" s="502"/>
      <c r="BJ703" s="502"/>
      <c r="BK703" s="502"/>
      <c r="BL703" s="502"/>
      <c r="BM703" s="502"/>
      <c r="BN703" s="502"/>
      <c r="BO703" s="502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</row>
    <row r="704" s="504" customFormat="true" ht="12.75" hidden="true" customHeight="true" outlineLevel="0" collapsed="false">
      <c r="A704" s="5"/>
      <c r="B704" s="813" t="n">
        <f aca="false">B703+1</f>
        <v>489</v>
      </c>
      <c r="C704" s="814" t="n">
        <f aca="false">C703+D704</f>
        <v>57240.9111831682</v>
      </c>
      <c r="D704" s="815" t="n">
        <f aca="false">E704*$E$205*M704</f>
        <v>156.41018091089</v>
      </c>
      <c r="E704" s="601" t="n">
        <f aca="false">E703+$C$204</f>
        <v>9.91946860165459</v>
      </c>
      <c r="F704" s="816" t="n">
        <f aca="false">F703+1</f>
        <v>489</v>
      </c>
      <c r="G704" s="775" t="n">
        <f aca="false">C704</f>
        <v>57240.9111831682</v>
      </c>
      <c r="H704" s="817" t="n">
        <f aca="false">1000*(E704-E703)</f>
        <v>9.99999999999979</v>
      </c>
      <c r="I704" s="5"/>
      <c r="J704" s="818" t="n">
        <f aca="false">1000*(E704-$E$215)/(B704-$B$215)</f>
        <v>13.2185477066907</v>
      </c>
      <c r="K704" s="732" t="n">
        <f aca="false">AVERAGE($E$216:E704)</f>
        <v>7.46392667936425</v>
      </c>
      <c r="L704" s="819" t="n">
        <f aca="false">L703+1</f>
        <v>489</v>
      </c>
      <c r="M704" s="820" t="n">
        <f aca="false">IF(B704&lt;$E$104,$E$105,$E$106)</f>
        <v>3</v>
      </c>
      <c r="N704" s="821" t="n">
        <f aca="false">IF(B704&lt;$E$104,$E$105,$E$111)</f>
        <v>2.5</v>
      </c>
      <c r="O704" s="822" t="n">
        <f aca="false">E704*$E$205*N704</f>
        <v>130.341817425741</v>
      </c>
      <c r="P704" s="823" t="n">
        <f aca="false">P703+O704</f>
        <v>47752.439919683</v>
      </c>
      <c r="Q704" s="606" t="n">
        <f aca="false">Q703+1</f>
        <v>489</v>
      </c>
      <c r="R704" s="824" t="n">
        <f aca="false">R703-1</f>
        <v>-489</v>
      </c>
      <c r="S704" s="5"/>
      <c r="T704" s="5"/>
      <c r="U704" s="5"/>
      <c r="V704" s="10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02"/>
      <c r="AU704" s="502"/>
      <c r="AV704" s="606"/>
      <c r="AW704" s="502"/>
      <c r="AX704" s="502"/>
      <c r="AY704" s="502"/>
      <c r="AZ704" s="502"/>
      <c r="BA704" s="502"/>
      <c r="BB704" s="502"/>
      <c r="BC704" s="502"/>
      <c r="BD704" s="502"/>
      <c r="BE704" s="502"/>
      <c r="BF704" s="502"/>
      <c r="BG704" s="502"/>
      <c r="BH704" s="502"/>
      <c r="BI704" s="502"/>
      <c r="BJ704" s="502"/>
      <c r="BK704" s="502"/>
      <c r="BL704" s="502"/>
      <c r="BM704" s="502"/>
      <c r="BN704" s="502"/>
      <c r="BO704" s="502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</row>
    <row r="705" s="504" customFormat="true" ht="12.75" hidden="true" customHeight="true" outlineLevel="0" collapsed="false">
      <c r="A705" s="5"/>
      <c r="B705" s="813" t="n">
        <f aca="false">B704+1</f>
        <v>490</v>
      </c>
      <c r="C705" s="814" t="n">
        <f aca="false">C704+D705</f>
        <v>57397.4790440791</v>
      </c>
      <c r="D705" s="815" t="n">
        <f aca="false">E705*$E$205*M705</f>
        <v>156.56786091089</v>
      </c>
      <c r="E705" s="601" t="n">
        <f aca="false">E704+$C$204</f>
        <v>9.92946860165459</v>
      </c>
      <c r="F705" s="816" t="n">
        <f aca="false">F704+1</f>
        <v>490</v>
      </c>
      <c r="G705" s="775" t="n">
        <f aca="false">C705</f>
        <v>57397.4790440791</v>
      </c>
      <c r="H705" s="817" t="n">
        <f aca="false">1000*(E705-E704)</f>
        <v>9.99999999999979</v>
      </c>
      <c r="I705" s="5"/>
      <c r="J705" s="818" t="n">
        <f aca="false">1000*(E705-$E$215)/(B705-$B$215)</f>
        <v>13.2119792419831</v>
      </c>
      <c r="K705" s="732" t="n">
        <f aca="false">AVERAGE($E$216:E705)</f>
        <v>7.46895839757301</v>
      </c>
      <c r="L705" s="819" t="n">
        <f aca="false">L704+1</f>
        <v>490</v>
      </c>
      <c r="M705" s="820" t="n">
        <f aca="false">IF(B705&lt;$E$104,$E$105,$E$106)</f>
        <v>3</v>
      </c>
      <c r="N705" s="821" t="n">
        <f aca="false">IF(B705&lt;$E$104,$E$105,$E$111)</f>
        <v>2.5</v>
      </c>
      <c r="O705" s="822" t="n">
        <f aca="false">E705*$E$205*N705</f>
        <v>130.473217425741</v>
      </c>
      <c r="P705" s="823" t="n">
        <f aca="false">P704+O705</f>
        <v>47882.9131371088</v>
      </c>
      <c r="Q705" s="606" t="n">
        <f aca="false">Q704+1</f>
        <v>490</v>
      </c>
      <c r="R705" s="824" t="n">
        <f aca="false">R704-1</f>
        <v>-490</v>
      </c>
      <c r="S705" s="5"/>
      <c r="T705" s="5"/>
      <c r="U705" s="5"/>
      <c r="V705" s="10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02"/>
      <c r="AU705" s="502"/>
      <c r="AV705" s="606"/>
      <c r="AW705" s="502"/>
      <c r="AX705" s="502"/>
      <c r="AY705" s="502"/>
      <c r="AZ705" s="502"/>
      <c r="BA705" s="502"/>
      <c r="BB705" s="502"/>
      <c r="BC705" s="502"/>
      <c r="BD705" s="502"/>
      <c r="BE705" s="502"/>
      <c r="BF705" s="502"/>
      <c r="BG705" s="502"/>
      <c r="BH705" s="502"/>
      <c r="BI705" s="502"/>
      <c r="BJ705" s="502"/>
      <c r="BK705" s="502"/>
      <c r="BL705" s="502"/>
      <c r="BM705" s="502"/>
      <c r="BN705" s="502"/>
      <c r="BO705" s="502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</row>
    <row r="706" s="504" customFormat="true" ht="12.75" hidden="true" customHeight="true" outlineLevel="0" collapsed="false">
      <c r="A706" s="5"/>
      <c r="B706" s="813" t="n">
        <f aca="false">B705+1</f>
        <v>491</v>
      </c>
      <c r="C706" s="814" t="n">
        <f aca="false">C705+D706</f>
        <v>57554.20458499</v>
      </c>
      <c r="D706" s="815" t="n">
        <f aca="false">E706*$E$205*M706</f>
        <v>156.72554091089</v>
      </c>
      <c r="E706" s="601" t="n">
        <f aca="false">E705+$C$204</f>
        <v>9.93946860165459</v>
      </c>
      <c r="F706" s="816" t="n">
        <f aca="false">F705+1</f>
        <v>491</v>
      </c>
      <c r="G706" s="775" t="n">
        <f aca="false">C706</f>
        <v>57554.20458499</v>
      </c>
      <c r="H706" s="817" t="n">
        <f aca="false">1000*(E706-E705)</f>
        <v>9.99999999999979</v>
      </c>
      <c r="I706" s="5"/>
      <c r="J706" s="818" t="n">
        <f aca="false">1000*(E706-$E$215)/(B706-$B$215)</f>
        <v>13.2054375327327</v>
      </c>
      <c r="K706" s="732" t="n">
        <f aca="false">AVERAGE($E$216:E706)</f>
        <v>7.47398998658335</v>
      </c>
      <c r="L706" s="819" t="n">
        <f aca="false">L705+1</f>
        <v>491</v>
      </c>
      <c r="M706" s="820" t="n">
        <f aca="false">IF(B706&lt;$E$104,$E$105,$E$106)</f>
        <v>3</v>
      </c>
      <c r="N706" s="821" t="n">
        <f aca="false">IF(B706&lt;$E$104,$E$105,$E$111)</f>
        <v>2.5</v>
      </c>
      <c r="O706" s="822" t="n">
        <f aca="false">E706*$E$205*N706</f>
        <v>130.604617425741</v>
      </c>
      <c r="P706" s="823" t="n">
        <f aca="false">P705+O706</f>
        <v>48013.5177545345</v>
      </c>
      <c r="Q706" s="606" t="n">
        <f aca="false">Q705+1</f>
        <v>491</v>
      </c>
      <c r="R706" s="824" t="n">
        <f aca="false">R705-1</f>
        <v>-491</v>
      </c>
      <c r="S706" s="5"/>
      <c r="T706" s="5"/>
      <c r="U706" s="5"/>
      <c r="V706" s="10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02"/>
      <c r="AU706" s="502"/>
      <c r="AV706" s="606"/>
      <c r="AW706" s="502"/>
      <c r="AX706" s="502"/>
      <c r="AY706" s="502"/>
      <c r="AZ706" s="502"/>
      <c r="BA706" s="502"/>
      <c r="BB706" s="502"/>
      <c r="BC706" s="502"/>
      <c r="BD706" s="502"/>
      <c r="BE706" s="502"/>
      <c r="BF706" s="502"/>
      <c r="BG706" s="502"/>
      <c r="BH706" s="502"/>
      <c r="BI706" s="502"/>
      <c r="BJ706" s="502"/>
      <c r="BK706" s="502"/>
      <c r="BL706" s="502"/>
      <c r="BM706" s="502"/>
      <c r="BN706" s="502"/>
      <c r="BO706" s="502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</row>
    <row r="707" s="504" customFormat="true" ht="12.75" hidden="true" customHeight="true" outlineLevel="0" collapsed="false">
      <c r="A707" s="5"/>
      <c r="B707" s="813" t="n">
        <f aca="false">B706+1</f>
        <v>492</v>
      </c>
      <c r="C707" s="814" t="n">
        <f aca="false">C706+D707</f>
        <v>57711.0878059009</v>
      </c>
      <c r="D707" s="815" t="n">
        <f aca="false">E707*$E$205*M707</f>
        <v>156.883220910889</v>
      </c>
      <c r="E707" s="601" t="n">
        <f aca="false">E706+$C$204</f>
        <v>9.94946860165459</v>
      </c>
      <c r="F707" s="816" t="n">
        <f aca="false">F706+1</f>
        <v>492</v>
      </c>
      <c r="G707" s="775" t="n">
        <f aca="false">C707</f>
        <v>57711.0878059009</v>
      </c>
      <c r="H707" s="817" t="n">
        <f aca="false">1000*(E707-E706)</f>
        <v>9.99999999999979</v>
      </c>
      <c r="I707" s="5"/>
      <c r="J707" s="818" t="n">
        <f aca="false">1000*(E707-$E$215)/(B707-$B$215)</f>
        <v>13.1989224157962</v>
      </c>
      <c r="K707" s="732" t="n">
        <f aca="false">AVERAGE($E$216:E707)</f>
        <v>7.47902144718309</v>
      </c>
      <c r="L707" s="819" t="n">
        <f aca="false">L706+1</f>
        <v>492</v>
      </c>
      <c r="M707" s="820" t="n">
        <f aca="false">IF(B707&lt;$E$104,$E$105,$E$106)</f>
        <v>3</v>
      </c>
      <c r="N707" s="821" t="n">
        <f aca="false">IF(B707&lt;$E$104,$E$105,$E$111)</f>
        <v>2.5</v>
      </c>
      <c r="O707" s="822" t="n">
        <f aca="false">E707*$E$205*N707</f>
        <v>130.736017425741</v>
      </c>
      <c r="P707" s="823" t="n">
        <f aca="false">P706+O707</f>
        <v>48144.2537719603</v>
      </c>
      <c r="Q707" s="606" t="n">
        <f aca="false">Q706+1</f>
        <v>492</v>
      </c>
      <c r="R707" s="824" t="n">
        <f aca="false">R706-1</f>
        <v>-492</v>
      </c>
      <c r="S707" s="5"/>
      <c r="T707" s="5"/>
      <c r="U707" s="5"/>
      <c r="V707" s="10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02"/>
      <c r="AU707" s="502"/>
      <c r="AV707" s="606"/>
      <c r="AW707" s="502"/>
      <c r="AX707" s="502"/>
      <c r="AY707" s="502"/>
      <c r="AZ707" s="502"/>
      <c r="BA707" s="502"/>
      <c r="BB707" s="502"/>
      <c r="BC707" s="502"/>
      <c r="BD707" s="502"/>
      <c r="BE707" s="502"/>
      <c r="BF707" s="502"/>
      <c r="BG707" s="502"/>
      <c r="BH707" s="502"/>
      <c r="BI707" s="502"/>
      <c r="BJ707" s="502"/>
      <c r="BK707" s="502"/>
      <c r="BL707" s="502"/>
      <c r="BM707" s="502"/>
      <c r="BN707" s="502"/>
      <c r="BO707" s="502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</row>
    <row r="708" s="504" customFormat="true" ht="12.75" hidden="true" customHeight="true" outlineLevel="0" collapsed="false">
      <c r="A708" s="5"/>
      <c r="B708" s="813" t="n">
        <f aca="false">B707+1</f>
        <v>493</v>
      </c>
      <c r="C708" s="814" t="n">
        <f aca="false">C707+D708</f>
        <v>57868.1287068118</v>
      </c>
      <c r="D708" s="815" t="n">
        <f aca="false">E708*$E$205*M708</f>
        <v>157.04090091089</v>
      </c>
      <c r="E708" s="601" t="n">
        <f aca="false">E707+$C$204</f>
        <v>9.95946860165459</v>
      </c>
      <c r="F708" s="816" t="n">
        <f aca="false">F707+1</f>
        <v>493</v>
      </c>
      <c r="G708" s="775" t="n">
        <f aca="false">C708</f>
        <v>57868.1287068118</v>
      </c>
      <c r="H708" s="817" t="n">
        <f aca="false">1000*(E708-E707)</f>
        <v>9.99999999999979</v>
      </c>
      <c r="I708" s="5"/>
      <c r="J708" s="818" t="n">
        <f aca="false">1000*(E708-$E$215)/(B708-$B$215)</f>
        <v>13.1924337293544</v>
      </c>
      <c r="K708" s="732" t="n">
        <f aca="false">AVERAGE($E$216:E708)</f>
        <v>7.48405278015362</v>
      </c>
      <c r="L708" s="819" t="n">
        <f aca="false">L707+1</f>
        <v>493</v>
      </c>
      <c r="M708" s="820" t="n">
        <f aca="false">IF(B708&lt;$E$104,$E$105,$E$106)</f>
        <v>3</v>
      </c>
      <c r="N708" s="821" t="n">
        <f aca="false">IF(B708&lt;$E$104,$E$105,$E$111)</f>
        <v>2.5</v>
      </c>
      <c r="O708" s="822" t="n">
        <f aca="false">E708*$E$205*N708</f>
        <v>130.867417425741</v>
      </c>
      <c r="P708" s="823" t="n">
        <f aca="false">P707+O708</f>
        <v>48275.121189386</v>
      </c>
      <c r="Q708" s="606" t="n">
        <f aca="false">Q707+1</f>
        <v>493</v>
      </c>
      <c r="R708" s="824" t="n">
        <f aca="false">R707-1</f>
        <v>-493</v>
      </c>
      <c r="S708" s="5"/>
      <c r="T708" s="5"/>
      <c r="U708" s="5"/>
      <c r="V708" s="10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02"/>
      <c r="AU708" s="502"/>
      <c r="AV708" s="606"/>
      <c r="AW708" s="502"/>
      <c r="AX708" s="502"/>
      <c r="AY708" s="502"/>
      <c r="AZ708" s="502"/>
      <c r="BA708" s="502"/>
      <c r="BB708" s="502"/>
      <c r="BC708" s="502"/>
      <c r="BD708" s="502"/>
      <c r="BE708" s="502"/>
      <c r="BF708" s="502"/>
      <c r="BG708" s="502"/>
      <c r="BH708" s="502"/>
      <c r="BI708" s="502"/>
      <c r="BJ708" s="502"/>
      <c r="BK708" s="502"/>
      <c r="BL708" s="502"/>
      <c r="BM708" s="502"/>
      <c r="BN708" s="502"/>
      <c r="BO708" s="502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</row>
    <row r="709" s="504" customFormat="true" ht="12.75" hidden="true" customHeight="true" outlineLevel="0" collapsed="false">
      <c r="A709" s="5"/>
      <c r="B709" s="813" t="n">
        <f aca="false">B708+1</f>
        <v>494</v>
      </c>
      <c r="C709" s="814" t="n">
        <f aca="false">C708+D709</f>
        <v>58025.3272877227</v>
      </c>
      <c r="D709" s="815" t="n">
        <f aca="false">E709*$E$205*M709</f>
        <v>157.19858091089</v>
      </c>
      <c r="E709" s="601" t="n">
        <f aca="false">E708+$C$204</f>
        <v>9.96946860165459</v>
      </c>
      <c r="F709" s="816" t="n">
        <f aca="false">F708+1</f>
        <v>494</v>
      </c>
      <c r="G709" s="775" t="n">
        <f aca="false">C709</f>
        <v>58025.3272877227</v>
      </c>
      <c r="H709" s="817" t="n">
        <f aca="false">1000*(E709-E708)</f>
        <v>9.99999999999979</v>
      </c>
      <c r="I709" s="5"/>
      <c r="J709" s="818" t="n">
        <f aca="false">1000*(E709-$E$215)/(B709-$B$215)</f>
        <v>13.1859713128983</v>
      </c>
      <c r="K709" s="732" t="n">
        <f aca="false">AVERAGE($E$216:E709)</f>
        <v>7.48908398627002</v>
      </c>
      <c r="L709" s="819" t="n">
        <f aca="false">L708+1</f>
        <v>494</v>
      </c>
      <c r="M709" s="820" t="n">
        <f aca="false">IF(B709&lt;$E$104,$E$105,$E$106)</f>
        <v>3</v>
      </c>
      <c r="N709" s="821" t="n">
        <f aca="false">IF(B709&lt;$E$104,$E$105,$E$111)</f>
        <v>2.5</v>
      </c>
      <c r="O709" s="822" t="n">
        <f aca="false">E709*$E$205*N709</f>
        <v>130.998817425741</v>
      </c>
      <c r="P709" s="823" t="n">
        <f aca="false">P708+O709</f>
        <v>48406.1200068118</v>
      </c>
      <c r="Q709" s="606" t="n">
        <f aca="false">Q708+1</f>
        <v>494</v>
      </c>
      <c r="R709" s="824" t="n">
        <f aca="false">R708-1</f>
        <v>-494</v>
      </c>
      <c r="S709" s="5"/>
      <c r="T709" s="5"/>
      <c r="U709" s="5"/>
      <c r="V709" s="10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02"/>
      <c r="AU709" s="502"/>
      <c r="AV709" s="606"/>
      <c r="AW709" s="502"/>
      <c r="AX709" s="502"/>
      <c r="AY709" s="502"/>
      <c r="AZ709" s="502"/>
      <c r="BA709" s="502"/>
      <c r="BB709" s="502"/>
      <c r="BC709" s="502"/>
      <c r="BD709" s="502"/>
      <c r="BE709" s="502"/>
      <c r="BF709" s="502"/>
      <c r="BG709" s="502"/>
      <c r="BH709" s="502"/>
      <c r="BI709" s="502"/>
      <c r="BJ709" s="502"/>
      <c r="BK709" s="502"/>
      <c r="BL709" s="502"/>
      <c r="BM709" s="502"/>
      <c r="BN709" s="502"/>
      <c r="BO709" s="502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</row>
    <row r="710" s="504" customFormat="true" ht="12.75" hidden="true" customHeight="true" outlineLevel="0" collapsed="false">
      <c r="A710" s="5"/>
      <c r="B710" s="813" t="n">
        <f aca="false">B709+1</f>
        <v>495</v>
      </c>
      <c r="C710" s="814" t="n">
        <f aca="false">C709+D710</f>
        <v>58182.6835486336</v>
      </c>
      <c r="D710" s="815" t="n">
        <f aca="false">E710*$E$205*M710</f>
        <v>157.356260910889</v>
      </c>
      <c r="E710" s="601" t="n">
        <f aca="false">E709+$C$204</f>
        <v>9.97946860165458</v>
      </c>
      <c r="F710" s="816" t="n">
        <f aca="false">F709+1</f>
        <v>495</v>
      </c>
      <c r="G710" s="775" t="n">
        <f aca="false">C710</f>
        <v>58182.6835486336</v>
      </c>
      <c r="H710" s="817" t="n">
        <f aca="false">1000*(E710-E709)</f>
        <v>9.99999999999979</v>
      </c>
      <c r="I710" s="5"/>
      <c r="J710" s="818" t="n">
        <f aca="false">1000*(E710-$E$215)/(B710-$B$215)</f>
        <v>13.1795350072156</v>
      </c>
      <c r="K710" s="732" t="n">
        <f aca="false">AVERAGE($E$216:E710)</f>
        <v>7.4941150663011</v>
      </c>
      <c r="L710" s="819" t="n">
        <f aca="false">L709+1</f>
        <v>495</v>
      </c>
      <c r="M710" s="820" t="n">
        <f aca="false">IF(B710&lt;$E$104,$E$105,$E$106)</f>
        <v>3</v>
      </c>
      <c r="N710" s="821" t="n">
        <f aca="false">IF(B710&lt;$E$104,$E$105,$E$111)</f>
        <v>2.5</v>
      </c>
      <c r="O710" s="822" t="n">
        <f aca="false">E710*$E$205*N710</f>
        <v>131.130217425741</v>
      </c>
      <c r="P710" s="823" t="n">
        <f aca="false">P709+O710</f>
        <v>48537.2502242375</v>
      </c>
      <c r="Q710" s="606" t="n">
        <f aca="false">Q709+1</f>
        <v>495</v>
      </c>
      <c r="R710" s="824" t="n">
        <f aca="false">R709-1</f>
        <v>-495</v>
      </c>
      <c r="S710" s="5"/>
      <c r="T710" s="5"/>
      <c r="U710" s="5"/>
      <c r="V710" s="10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02"/>
      <c r="AU710" s="502"/>
      <c r="AV710" s="606"/>
      <c r="AW710" s="502"/>
      <c r="AX710" s="502"/>
      <c r="AY710" s="502"/>
      <c r="AZ710" s="502"/>
      <c r="BA710" s="502"/>
      <c r="BB710" s="502"/>
      <c r="BC710" s="502"/>
      <c r="BD710" s="502"/>
      <c r="BE710" s="502"/>
      <c r="BF710" s="502"/>
      <c r="BG710" s="502"/>
      <c r="BH710" s="502"/>
      <c r="BI710" s="502"/>
      <c r="BJ710" s="502"/>
      <c r="BK710" s="502"/>
      <c r="BL710" s="502"/>
      <c r="BM710" s="502"/>
      <c r="BN710" s="502"/>
      <c r="BO710" s="502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</row>
    <row r="711" s="504" customFormat="true" ht="12.75" hidden="true" customHeight="true" outlineLevel="0" collapsed="false">
      <c r="A711" s="5"/>
      <c r="B711" s="813" t="n">
        <f aca="false">B710+1</f>
        <v>496</v>
      </c>
      <c r="C711" s="814" t="n">
        <f aca="false">C710+D711</f>
        <v>58340.1974895445</v>
      </c>
      <c r="D711" s="815" t="n">
        <f aca="false">E711*$E$205*M711</f>
        <v>157.513940910889</v>
      </c>
      <c r="E711" s="601" t="n">
        <f aca="false">E710+$C$204</f>
        <v>9.98946860165458</v>
      </c>
      <c r="F711" s="816" t="n">
        <f aca="false">F710+1</f>
        <v>496</v>
      </c>
      <c r="G711" s="775" t="n">
        <f aca="false">C711</f>
        <v>58340.1974895445</v>
      </c>
      <c r="H711" s="817" t="n">
        <f aca="false">1000*(E711-E710)</f>
        <v>9.99999999999979</v>
      </c>
      <c r="I711" s="5"/>
      <c r="J711" s="818" t="n">
        <f aca="false">1000*(E711-$E$215)/(B711-$B$215)</f>
        <v>13.1731246543785</v>
      </c>
      <c r="K711" s="732" t="n">
        <f aca="false">AVERAGE($E$216:E711)</f>
        <v>7.49914602100948</v>
      </c>
      <c r="L711" s="819" t="n">
        <f aca="false">L710+1</f>
        <v>496</v>
      </c>
      <c r="M711" s="820" t="n">
        <f aca="false">IF(B711&lt;$E$104,$E$105,$E$106)</f>
        <v>3</v>
      </c>
      <c r="N711" s="821" t="n">
        <f aca="false">IF(B711&lt;$E$104,$E$105,$E$111)</f>
        <v>2.5</v>
      </c>
      <c r="O711" s="822" t="n">
        <f aca="false">E711*$E$205*N711</f>
        <v>131.261617425741</v>
      </c>
      <c r="P711" s="823" t="n">
        <f aca="false">P710+O711</f>
        <v>48668.5118416632</v>
      </c>
      <c r="Q711" s="606" t="n">
        <f aca="false">Q710+1</f>
        <v>496</v>
      </c>
      <c r="R711" s="824" t="n">
        <f aca="false">R710-1</f>
        <v>-496</v>
      </c>
      <c r="S711" s="5"/>
      <c r="T711" s="5"/>
      <c r="U711" s="5"/>
      <c r="V711" s="10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02"/>
      <c r="AU711" s="502"/>
      <c r="AV711" s="606"/>
      <c r="AW711" s="502"/>
      <c r="AX711" s="502"/>
      <c r="AY711" s="502"/>
      <c r="AZ711" s="502"/>
      <c r="BA711" s="502"/>
      <c r="BB711" s="502"/>
      <c r="BC711" s="502"/>
      <c r="BD711" s="502"/>
      <c r="BE711" s="502"/>
      <c r="BF711" s="502"/>
      <c r="BG711" s="502"/>
      <c r="BH711" s="502"/>
      <c r="BI711" s="502"/>
      <c r="BJ711" s="502"/>
      <c r="BK711" s="502"/>
      <c r="BL711" s="502"/>
      <c r="BM711" s="502"/>
      <c r="BN711" s="502"/>
      <c r="BO711" s="502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</row>
    <row r="712" s="504" customFormat="true" ht="12.75" hidden="true" customHeight="true" outlineLevel="0" collapsed="false">
      <c r="A712" s="5"/>
      <c r="B712" s="813" t="n">
        <f aca="false">B711+1</f>
        <v>497</v>
      </c>
      <c r="C712" s="814" t="n">
        <f aca="false">C711+D712</f>
        <v>58497.8691104553</v>
      </c>
      <c r="D712" s="815" t="n">
        <f aca="false">E712*$E$205*M712</f>
        <v>157.67162091089</v>
      </c>
      <c r="E712" s="601" t="n">
        <f aca="false">E711+$C$204</f>
        <v>9.99946860165458</v>
      </c>
      <c r="F712" s="816" t="n">
        <f aca="false">F711+1</f>
        <v>497</v>
      </c>
      <c r="G712" s="775" t="n">
        <f aca="false">C712</f>
        <v>58497.8691104553</v>
      </c>
      <c r="H712" s="817" t="n">
        <f aca="false">1000*(E712-E711)</f>
        <v>9.99999999999979</v>
      </c>
      <c r="I712" s="5"/>
      <c r="J712" s="818" t="n">
        <f aca="false">1000*(E712-$E$215)/(B712-$B$215)</f>
        <v>13.1667400977299</v>
      </c>
      <c r="K712" s="732" t="n">
        <f aca="false">AVERAGE($E$216:E712)</f>
        <v>7.50417685115162</v>
      </c>
      <c r="L712" s="819" t="n">
        <f aca="false">L711+1</f>
        <v>497</v>
      </c>
      <c r="M712" s="820" t="n">
        <f aca="false">IF(B712&lt;$E$104,$E$105,$E$106)</f>
        <v>3</v>
      </c>
      <c r="N712" s="821" t="n">
        <f aca="false">IF(B712&lt;$E$104,$E$105,$E$111)</f>
        <v>2.5</v>
      </c>
      <c r="O712" s="822" t="n">
        <f aca="false">E712*$E$205*N712</f>
        <v>131.393017425741</v>
      </c>
      <c r="P712" s="823" t="n">
        <f aca="false">P711+O712</f>
        <v>48799.904859089</v>
      </c>
      <c r="Q712" s="606" t="n">
        <f aca="false">Q711+1</f>
        <v>497</v>
      </c>
      <c r="R712" s="824" t="n">
        <f aca="false">R711-1</f>
        <v>-497</v>
      </c>
      <c r="S712" s="5"/>
      <c r="T712" s="5"/>
      <c r="U712" s="5"/>
      <c r="V712" s="10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02"/>
      <c r="AU712" s="502"/>
      <c r="AV712" s="606"/>
      <c r="AW712" s="502"/>
      <c r="AX712" s="502"/>
      <c r="AY712" s="502"/>
      <c r="AZ712" s="502"/>
      <c r="BA712" s="502"/>
      <c r="BB712" s="502"/>
      <c r="BC712" s="502"/>
      <c r="BD712" s="502"/>
      <c r="BE712" s="502"/>
      <c r="BF712" s="502"/>
      <c r="BG712" s="502"/>
      <c r="BH712" s="502"/>
      <c r="BI712" s="502"/>
      <c r="BJ712" s="502"/>
      <c r="BK712" s="502"/>
      <c r="BL712" s="502"/>
      <c r="BM712" s="502"/>
      <c r="BN712" s="502"/>
      <c r="BO712" s="502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</row>
    <row r="713" s="504" customFormat="true" ht="12.75" hidden="true" customHeight="true" outlineLevel="0" collapsed="false">
      <c r="A713" s="5"/>
      <c r="B713" s="813" t="n">
        <f aca="false">B712+1</f>
        <v>498</v>
      </c>
      <c r="C713" s="814" t="n">
        <f aca="false">C712+D713</f>
        <v>58655.6984113662</v>
      </c>
      <c r="D713" s="815" t="n">
        <f aca="false">E713*$E$205*M713</f>
        <v>157.829300910889</v>
      </c>
      <c r="E713" s="601" t="n">
        <f aca="false">E712+$C$204</f>
        <v>10.0094686016546</v>
      </c>
      <c r="F713" s="816" t="n">
        <f aca="false">F712+1</f>
        <v>498</v>
      </c>
      <c r="G713" s="775" t="n">
        <f aca="false">C713</f>
        <v>58655.6984113662</v>
      </c>
      <c r="H713" s="817" t="n">
        <f aca="false">1000*(E713-E712)</f>
        <v>9.99999999999979</v>
      </c>
      <c r="I713" s="5"/>
      <c r="J713" s="818" t="n">
        <f aca="false">1000*(E713-$E$215)/(B713-$B$215)</f>
        <v>13.160381181871</v>
      </c>
      <c r="K713" s="732" t="n">
        <f aca="false">AVERAGE($E$216:E713)</f>
        <v>7.50920755747793</v>
      </c>
      <c r="L713" s="819" t="n">
        <f aca="false">L712+1</f>
        <v>498</v>
      </c>
      <c r="M713" s="820" t="n">
        <f aca="false">IF(B713&lt;$E$104,$E$105,$E$106)</f>
        <v>3</v>
      </c>
      <c r="N713" s="821" t="n">
        <f aca="false">IF(B713&lt;$E$104,$E$105,$E$111)</f>
        <v>2.5</v>
      </c>
      <c r="O713" s="822" t="n">
        <f aca="false">E713*$E$205*N713</f>
        <v>131.524417425741</v>
      </c>
      <c r="P713" s="823" t="n">
        <f aca="false">P712+O713</f>
        <v>48931.4292765147</v>
      </c>
      <c r="Q713" s="606" t="n">
        <f aca="false">Q712+1</f>
        <v>498</v>
      </c>
      <c r="R713" s="824" t="n">
        <f aca="false">R712-1</f>
        <v>-498</v>
      </c>
      <c r="S713" s="5"/>
      <c r="T713" s="5"/>
      <c r="U713" s="5"/>
      <c r="V713" s="10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02"/>
      <c r="AU713" s="502"/>
      <c r="AV713" s="606"/>
      <c r="AW713" s="502"/>
      <c r="AX713" s="502"/>
      <c r="AY713" s="502"/>
      <c r="AZ713" s="502"/>
      <c r="BA713" s="502"/>
      <c r="BB713" s="502"/>
      <c r="BC713" s="502"/>
      <c r="BD713" s="502"/>
      <c r="BE713" s="502"/>
      <c r="BF713" s="502"/>
      <c r="BG713" s="502"/>
      <c r="BH713" s="502"/>
      <c r="BI713" s="502"/>
      <c r="BJ713" s="502"/>
      <c r="BK713" s="502"/>
      <c r="BL713" s="502"/>
      <c r="BM713" s="502"/>
      <c r="BN713" s="502"/>
      <c r="BO713" s="502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</row>
    <row r="714" s="504" customFormat="true" ht="12.75" hidden="true" customHeight="true" outlineLevel="0" collapsed="false">
      <c r="A714" s="5"/>
      <c r="B714" s="813" t="n">
        <f aca="false">B713+1</f>
        <v>499</v>
      </c>
      <c r="C714" s="814" t="n">
        <f aca="false">C713+D714</f>
        <v>58813.6853922771</v>
      </c>
      <c r="D714" s="815" t="n">
        <f aca="false">E714*$E$205*M714</f>
        <v>157.98698091089</v>
      </c>
      <c r="E714" s="601" t="n">
        <f aca="false">E713+$C$204</f>
        <v>10.0194686016546</v>
      </c>
      <c r="F714" s="816" t="n">
        <f aca="false">F713+1</f>
        <v>499</v>
      </c>
      <c r="G714" s="775" t="n">
        <f aca="false">C714</f>
        <v>58813.6853922771</v>
      </c>
      <c r="H714" s="817" t="n">
        <f aca="false">1000*(E714-E713)</f>
        <v>9.99999999999979</v>
      </c>
      <c r="I714" s="5"/>
      <c r="J714" s="818" t="n">
        <f aca="false">1000*(E714-$E$215)/(B714-$B$215)</f>
        <v>13.1540477526488</v>
      </c>
      <c r="K714" s="732" t="n">
        <f aca="false">AVERAGE($E$216:E714)</f>
        <v>7.51423814073279</v>
      </c>
      <c r="L714" s="819" t="n">
        <f aca="false">L713+1</f>
        <v>499</v>
      </c>
      <c r="M714" s="820" t="n">
        <f aca="false">IF(B714&lt;$E$104,$E$105,$E$106)</f>
        <v>3</v>
      </c>
      <c r="N714" s="821" t="n">
        <f aca="false">IF(B714&lt;$E$104,$E$105,$E$111)</f>
        <v>2.5</v>
      </c>
      <c r="O714" s="822" t="n">
        <f aca="false">E714*$E$205*N714</f>
        <v>131.655817425741</v>
      </c>
      <c r="P714" s="823" t="n">
        <f aca="false">P713+O714</f>
        <v>49063.0850939405</v>
      </c>
      <c r="Q714" s="606" t="n">
        <f aca="false">Q713+1</f>
        <v>499</v>
      </c>
      <c r="R714" s="824" t="n">
        <f aca="false">R713-1</f>
        <v>-499</v>
      </c>
      <c r="S714" s="5"/>
      <c r="T714" s="5"/>
      <c r="U714" s="5"/>
      <c r="V714" s="10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02"/>
      <c r="AU714" s="502"/>
      <c r="AV714" s="606"/>
      <c r="AW714" s="502"/>
      <c r="AX714" s="502"/>
      <c r="AY714" s="502"/>
      <c r="AZ714" s="502"/>
      <c r="BA714" s="502"/>
      <c r="BB714" s="502"/>
      <c r="BC714" s="502"/>
      <c r="BD714" s="502"/>
      <c r="BE714" s="502"/>
      <c r="BF714" s="502"/>
      <c r="BG714" s="502"/>
      <c r="BH714" s="502"/>
      <c r="BI714" s="502"/>
      <c r="BJ714" s="502"/>
      <c r="BK714" s="502"/>
      <c r="BL714" s="502"/>
      <c r="BM714" s="502"/>
      <c r="BN714" s="502"/>
      <c r="BO714" s="502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</row>
    <row r="715" s="504" customFormat="true" ht="12.75" hidden="true" customHeight="true" outlineLevel="0" collapsed="false">
      <c r="A715" s="5"/>
      <c r="B715" s="827" t="n">
        <f aca="false">B714+1</f>
        <v>500</v>
      </c>
      <c r="C715" s="768" t="n">
        <f aca="false">C714+D715</f>
        <v>58971.830053188</v>
      </c>
      <c r="D715" s="828" t="n">
        <f aca="false">E715*$E$205*M715</f>
        <v>158.144660910889</v>
      </c>
      <c r="E715" s="787" t="n">
        <f aca="false">E714+$C$204</f>
        <v>10.0294686016546</v>
      </c>
      <c r="F715" s="829" t="n">
        <f aca="false">F714+1</f>
        <v>500</v>
      </c>
      <c r="G715" s="830" t="n">
        <f aca="false">C715</f>
        <v>58971.830053188</v>
      </c>
      <c r="H715" s="831" t="n">
        <f aca="false">1000*(E715-E714)</f>
        <v>9.99999999999979</v>
      </c>
      <c r="I715" s="785"/>
      <c r="J715" s="832" t="n">
        <f aca="false">1000*(E715-$E$215)/(B715-$B$215)</f>
        <v>13.1477396571435</v>
      </c>
      <c r="K715" s="787" t="n">
        <f aca="false">AVERAGE($E$216:E715)</f>
        <v>7.51926860165464</v>
      </c>
      <c r="L715" s="833" t="n">
        <f aca="false">L714+1</f>
        <v>500</v>
      </c>
      <c r="M715" s="834" t="n">
        <f aca="false">IF(B715&lt;$E$104,$E$105,$E$106)</f>
        <v>3</v>
      </c>
      <c r="N715" s="835" t="n">
        <f aca="false">IF(B715&lt;$E$104,$E$105,$E$111)</f>
        <v>2.5</v>
      </c>
      <c r="O715" s="836" t="n">
        <f aca="false">E715*$E$205*N715</f>
        <v>131.787217425741</v>
      </c>
      <c r="P715" s="837" t="n">
        <f aca="false">P714+O715</f>
        <v>49194.8723113662</v>
      </c>
      <c r="Q715" s="742" t="n">
        <f aca="false">Q714+1</f>
        <v>500</v>
      </c>
      <c r="R715" s="838" t="n">
        <f aca="false">R714-1</f>
        <v>-500</v>
      </c>
      <c r="S715" s="5"/>
      <c r="T715" s="5"/>
      <c r="U715" s="5"/>
      <c r="V715" s="10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02"/>
      <c r="AU715" s="502"/>
      <c r="AV715" s="606"/>
      <c r="AW715" s="502"/>
      <c r="AX715" s="502"/>
      <c r="AY715" s="502"/>
      <c r="AZ715" s="502"/>
      <c r="BA715" s="502"/>
      <c r="BB715" s="502"/>
      <c r="BC715" s="502"/>
      <c r="BD715" s="502"/>
      <c r="BE715" s="502"/>
      <c r="BF715" s="502"/>
      <c r="BG715" s="502"/>
      <c r="BH715" s="502"/>
      <c r="BI715" s="502"/>
      <c r="BJ715" s="502"/>
      <c r="BK715" s="502"/>
      <c r="BL715" s="502"/>
      <c r="BM715" s="502"/>
      <c r="BN715" s="502"/>
      <c r="BO715" s="502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</row>
    <row r="716" s="504" customFormat="true" ht="12.75" hidden="true" customHeight="true" outlineLevel="0" collapsed="false">
      <c r="A716" s="5"/>
      <c r="B716" s="813" t="n">
        <f aca="false">B715+1</f>
        <v>501</v>
      </c>
      <c r="C716" s="814" t="n">
        <f aca="false">C715+D716</f>
        <v>59130.1323940989</v>
      </c>
      <c r="D716" s="815" t="n">
        <f aca="false">E716*$E$205*M716</f>
        <v>158.302340910889</v>
      </c>
      <c r="E716" s="601" t="n">
        <f aca="false">E715+$C$204</f>
        <v>10.0394686016546</v>
      </c>
      <c r="F716" s="816" t="n">
        <f aca="false">F715+1</f>
        <v>501</v>
      </c>
      <c r="G716" s="775" t="n">
        <f aca="false">C716</f>
        <v>59130.1323940989</v>
      </c>
      <c r="H716" s="817" t="n">
        <f aca="false">1000*(E716-E715)</f>
        <v>9.99999999999979</v>
      </c>
      <c r="I716" s="5"/>
      <c r="J716" s="818" t="n">
        <f aca="false">1000*(E716-$E$215)/(B716-$B$215)</f>
        <v>13.1414567436562</v>
      </c>
      <c r="K716" s="732" t="n">
        <f aca="false">AVERAGE($E$216:E716)</f>
        <v>7.52429894097599</v>
      </c>
      <c r="L716" s="819" t="n">
        <f aca="false">L715+1</f>
        <v>501</v>
      </c>
      <c r="M716" s="820" t="n">
        <f aca="false">IF(B716&lt;$E$104,$E$105,$E$106)</f>
        <v>3</v>
      </c>
      <c r="N716" s="821" t="n">
        <f aca="false">IF(B716&lt;$E$104,$E$105,$E$111)</f>
        <v>2.5</v>
      </c>
      <c r="O716" s="822" t="n">
        <f aca="false">E716*$E$205*N716</f>
        <v>131.918617425741</v>
      </c>
      <c r="P716" s="823" t="n">
        <f aca="false">P715+O716</f>
        <v>49326.7909287919</v>
      </c>
      <c r="Q716" s="606" t="n">
        <f aca="false">Q715+1</f>
        <v>501</v>
      </c>
      <c r="R716" s="824" t="n">
        <f aca="false">R715-1</f>
        <v>-501</v>
      </c>
      <c r="S716" s="5"/>
      <c r="T716" s="5"/>
      <c r="U716" s="5"/>
      <c r="V716" s="10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02"/>
      <c r="AU716" s="502"/>
      <c r="AV716" s="606"/>
      <c r="AW716" s="502"/>
      <c r="AX716" s="502"/>
      <c r="AY716" s="502"/>
      <c r="AZ716" s="502"/>
      <c r="BA716" s="502"/>
      <c r="BB716" s="502"/>
      <c r="BC716" s="502"/>
      <c r="BD716" s="502"/>
      <c r="BE716" s="502"/>
      <c r="BF716" s="502"/>
      <c r="BG716" s="502"/>
      <c r="BH716" s="502"/>
      <c r="BI716" s="502"/>
      <c r="BJ716" s="502"/>
      <c r="BK716" s="502"/>
      <c r="BL716" s="502"/>
      <c r="BM716" s="502"/>
      <c r="BN716" s="502"/>
      <c r="BO716" s="502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</row>
    <row r="717" s="504" customFormat="true" ht="12.75" hidden="true" customHeight="true" outlineLevel="0" collapsed="false">
      <c r="A717" s="5"/>
      <c r="B717" s="813" t="n">
        <f aca="false">B716+1</f>
        <v>502</v>
      </c>
      <c r="C717" s="814" t="n">
        <f aca="false">C716+D717</f>
        <v>59288.5924150098</v>
      </c>
      <c r="D717" s="815" t="n">
        <f aca="false">E717*$E$205*M717</f>
        <v>158.460020910889</v>
      </c>
      <c r="E717" s="601" t="n">
        <f aca="false">E716+$C$204</f>
        <v>10.0494686016546</v>
      </c>
      <c r="F717" s="816" t="n">
        <f aca="false">F716+1</f>
        <v>502</v>
      </c>
      <c r="G717" s="775" t="n">
        <f aca="false">C717</f>
        <v>59288.5924150098</v>
      </c>
      <c r="H717" s="817" t="n">
        <f aca="false">1000*(E717-E716)</f>
        <v>9.99999999999979</v>
      </c>
      <c r="I717" s="5"/>
      <c r="J717" s="818" t="n">
        <f aca="false">1000*(E717-$E$215)/(B717-$B$215)</f>
        <v>13.1351988616967</v>
      </c>
      <c r="K717" s="732" t="n">
        <f aca="false">AVERAGE($E$216:E717)</f>
        <v>7.52932915942356</v>
      </c>
      <c r="L717" s="819" t="n">
        <f aca="false">L716+1</f>
        <v>502</v>
      </c>
      <c r="M717" s="820" t="n">
        <f aca="false">IF(B717&lt;$E$104,$E$105,$E$106)</f>
        <v>3</v>
      </c>
      <c r="N717" s="821" t="n">
        <f aca="false">IF(B717&lt;$E$104,$E$105,$E$111)</f>
        <v>2.5</v>
      </c>
      <c r="O717" s="822" t="n">
        <f aca="false">E717*$E$205*N717</f>
        <v>132.050017425741</v>
      </c>
      <c r="P717" s="823" t="n">
        <f aca="false">P716+O717</f>
        <v>49458.8409462177</v>
      </c>
      <c r="Q717" s="606" t="n">
        <f aca="false">Q716+1</f>
        <v>502</v>
      </c>
      <c r="R717" s="824" t="n">
        <f aca="false">R716-1</f>
        <v>-502</v>
      </c>
      <c r="S717" s="5"/>
      <c r="T717" s="5"/>
      <c r="U717" s="5"/>
      <c r="V717" s="10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02"/>
      <c r="AU717" s="502"/>
      <c r="AV717" s="606"/>
      <c r="AW717" s="502"/>
      <c r="AX717" s="502"/>
      <c r="AY717" s="502"/>
      <c r="AZ717" s="502"/>
      <c r="BA717" s="502"/>
      <c r="BB717" s="502"/>
      <c r="BC717" s="502"/>
      <c r="BD717" s="502"/>
      <c r="BE717" s="502"/>
      <c r="BF717" s="502"/>
      <c r="BG717" s="502"/>
      <c r="BH717" s="502"/>
      <c r="BI717" s="502"/>
      <c r="BJ717" s="502"/>
      <c r="BK717" s="502"/>
      <c r="BL717" s="502"/>
      <c r="BM717" s="502"/>
      <c r="BN717" s="502"/>
      <c r="BO717" s="502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</row>
    <row r="718" s="504" customFormat="true" ht="12.75" hidden="true" customHeight="true" outlineLevel="0" collapsed="false">
      <c r="A718" s="5"/>
      <c r="B718" s="813" t="n">
        <f aca="false">B717+1</f>
        <v>503</v>
      </c>
      <c r="C718" s="814" t="n">
        <f aca="false">C717+D718</f>
        <v>59447.2101159207</v>
      </c>
      <c r="D718" s="815" t="n">
        <f aca="false">E718*$E$205*M718</f>
        <v>158.61770091089</v>
      </c>
      <c r="E718" s="601" t="n">
        <f aca="false">E717+$C$204</f>
        <v>10.0594686016546</v>
      </c>
      <c r="F718" s="816" t="n">
        <f aca="false">F717+1</f>
        <v>503</v>
      </c>
      <c r="G718" s="775" t="n">
        <f aca="false">C718</f>
        <v>59447.2101159207</v>
      </c>
      <c r="H718" s="817" t="n">
        <f aca="false">1000*(E718-E717)</f>
        <v>9.99999999999979</v>
      </c>
      <c r="I718" s="5"/>
      <c r="J718" s="818" t="n">
        <f aca="false">1000*(E718-$E$215)/(B718-$B$215)</f>
        <v>13.1289658619716</v>
      </c>
      <c r="K718" s="732" t="n">
        <f aca="false">AVERAGE($E$216:E718)</f>
        <v>7.53435925771826</v>
      </c>
      <c r="L718" s="819" t="n">
        <f aca="false">L717+1</f>
        <v>503</v>
      </c>
      <c r="M718" s="820" t="n">
        <f aca="false">IF(B718&lt;$E$104,$E$105,$E$106)</f>
        <v>3</v>
      </c>
      <c r="N718" s="821" t="n">
        <f aca="false">IF(B718&lt;$E$104,$E$105,$E$111)</f>
        <v>2.5</v>
      </c>
      <c r="O718" s="822" t="n">
        <f aca="false">E718*$E$205*N718</f>
        <v>132.181417425741</v>
      </c>
      <c r="P718" s="823" t="n">
        <f aca="false">P717+O718</f>
        <v>49591.0223636434</v>
      </c>
      <c r="Q718" s="606" t="n">
        <f aca="false">Q717+1</f>
        <v>503</v>
      </c>
      <c r="R718" s="824" t="n">
        <f aca="false">R717-1</f>
        <v>-503</v>
      </c>
      <c r="S718" s="5"/>
      <c r="T718" s="5"/>
      <c r="U718" s="5"/>
      <c r="V718" s="10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02"/>
      <c r="AU718" s="502"/>
      <c r="AV718" s="606"/>
      <c r="AW718" s="502"/>
      <c r="AX718" s="502"/>
      <c r="AY718" s="502"/>
      <c r="AZ718" s="502"/>
      <c r="BA718" s="502"/>
      <c r="BB718" s="502"/>
      <c r="BC718" s="502"/>
      <c r="BD718" s="502"/>
      <c r="BE718" s="502"/>
      <c r="BF718" s="502"/>
      <c r="BG718" s="502"/>
      <c r="BH718" s="502"/>
      <c r="BI718" s="502"/>
      <c r="BJ718" s="502"/>
      <c r="BK718" s="502"/>
      <c r="BL718" s="502"/>
      <c r="BM718" s="502"/>
      <c r="BN718" s="502"/>
      <c r="BO718" s="502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</row>
    <row r="719" s="504" customFormat="true" ht="12.75" hidden="true" customHeight="true" outlineLevel="0" collapsed="false">
      <c r="A719" s="5"/>
      <c r="B719" s="813" t="n">
        <f aca="false">B718+1</f>
        <v>504</v>
      </c>
      <c r="C719" s="814" t="n">
        <f aca="false">C718+D719</f>
        <v>59605.9854968316</v>
      </c>
      <c r="D719" s="815" t="n">
        <f aca="false">E719*$E$205*M719</f>
        <v>158.775380910889</v>
      </c>
      <c r="E719" s="601" t="n">
        <f aca="false">E718+$C$204</f>
        <v>10.0694686016546</v>
      </c>
      <c r="F719" s="816" t="n">
        <f aca="false">F718+1</f>
        <v>504</v>
      </c>
      <c r="G719" s="775" t="n">
        <f aca="false">C719</f>
        <v>59605.9854968316</v>
      </c>
      <c r="H719" s="817" t="n">
        <f aca="false">1000*(E719-E718)</f>
        <v>9.99999999999979</v>
      </c>
      <c r="I719" s="5"/>
      <c r="J719" s="818" t="n">
        <f aca="false">1000*(E719-$E$215)/(B719-$B$215)</f>
        <v>13.1227575963725</v>
      </c>
      <c r="K719" s="732" t="n">
        <f aca="false">AVERAGE($E$216:E719)</f>
        <v>7.53938923657527</v>
      </c>
      <c r="L719" s="819" t="n">
        <f aca="false">L718+1</f>
        <v>504</v>
      </c>
      <c r="M719" s="820" t="n">
        <f aca="false">IF(B719&lt;$E$104,$E$105,$E$106)</f>
        <v>3</v>
      </c>
      <c r="N719" s="821" t="n">
        <f aca="false">IF(B719&lt;$E$104,$E$105,$E$111)</f>
        <v>2.5</v>
      </c>
      <c r="O719" s="822" t="n">
        <f aca="false">E719*$E$205*N719</f>
        <v>132.312817425741</v>
      </c>
      <c r="P719" s="823" t="n">
        <f aca="false">P718+O719</f>
        <v>49723.3351810692</v>
      </c>
      <c r="Q719" s="606" t="n">
        <f aca="false">Q718+1</f>
        <v>504</v>
      </c>
      <c r="R719" s="824" t="n">
        <f aca="false">R718-1</f>
        <v>-504</v>
      </c>
      <c r="S719" s="5"/>
      <c r="T719" s="5"/>
      <c r="U719" s="5"/>
      <c r="V719" s="10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02"/>
      <c r="AU719" s="502"/>
      <c r="AV719" s="606"/>
      <c r="AW719" s="502"/>
      <c r="AX719" s="502"/>
      <c r="AY719" s="502"/>
      <c r="AZ719" s="502"/>
      <c r="BA719" s="502"/>
      <c r="BB719" s="502"/>
      <c r="BC719" s="502"/>
      <c r="BD719" s="502"/>
      <c r="BE719" s="502"/>
      <c r="BF719" s="502"/>
      <c r="BG719" s="502"/>
      <c r="BH719" s="502"/>
      <c r="BI719" s="502"/>
      <c r="BJ719" s="502"/>
      <c r="BK719" s="502"/>
      <c r="BL719" s="502"/>
      <c r="BM719" s="502"/>
      <c r="BN719" s="502"/>
      <c r="BO719" s="502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</row>
    <row r="720" s="504" customFormat="true" ht="12.75" hidden="true" customHeight="true" outlineLevel="0" collapsed="false">
      <c r="A720" s="5"/>
      <c r="B720" s="813" t="n">
        <f aca="false">B719+1</f>
        <v>505</v>
      </c>
      <c r="C720" s="814" t="n">
        <f aca="false">C719+D720</f>
        <v>59764.9185577424</v>
      </c>
      <c r="D720" s="815" t="n">
        <f aca="false">E720*$E$205*M720</f>
        <v>158.933060910889</v>
      </c>
      <c r="E720" s="601" t="n">
        <f aca="false">E719+$C$204</f>
        <v>10.0794686016546</v>
      </c>
      <c r="F720" s="816" t="n">
        <f aca="false">F719+1</f>
        <v>505</v>
      </c>
      <c r="G720" s="775" t="n">
        <f aca="false">C720</f>
        <v>59764.9185577424</v>
      </c>
      <c r="H720" s="817" t="n">
        <f aca="false">1000*(E720-E719)</f>
        <v>9.99999999999979</v>
      </c>
      <c r="I720" s="5"/>
      <c r="J720" s="818" t="n">
        <f aca="false">1000*(E720-$E$215)/(B720-$B$215)</f>
        <v>13.1165739179638</v>
      </c>
      <c r="K720" s="732" t="n">
        <f aca="false">AVERAGE($E$216:E720)</f>
        <v>7.54441909670414</v>
      </c>
      <c r="L720" s="819" t="n">
        <f aca="false">L719+1</f>
        <v>505</v>
      </c>
      <c r="M720" s="820" t="n">
        <f aca="false">IF(B720&lt;$E$104,$E$105,$E$106)</f>
        <v>3</v>
      </c>
      <c r="N720" s="821" t="n">
        <f aca="false">IF(B720&lt;$E$104,$E$105,$E$111)</f>
        <v>2.5</v>
      </c>
      <c r="O720" s="822" t="n">
        <f aca="false">E720*$E$205*N720</f>
        <v>132.444217425741</v>
      </c>
      <c r="P720" s="823" t="n">
        <f aca="false">P719+O720</f>
        <v>49855.7793984949</v>
      </c>
      <c r="Q720" s="606" t="n">
        <f aca="false">Q719+1</f>
        <v>505</v>
      </c>
      <c r="R720" s="824" t="n">
        <f aca="false">R719-1</f>
        <v>-505</v>
      </c>
      <c r="S720" s="5"/>
      <c r="T720" s="5"/>
      <c r="U720" s="5"/>
      <c r="V720" s="10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02"/>
      <c r="AU720" s="502"/>
      <c r="AV720" s="606"/>
      <c r="AW720" s="502"/>
      <c r="AX720" s="502"/>
      <c r="AY720" s="502"/>
      <c r="AZ720" s="502"/>
      <c r="BA720" s="502"/>
      <c r="BB720" s="502"/>
      <c r="BC720" s="502"/>
      <c r="BD720" s="502"/>
      <c r="BE720" s="502"/>
      <c r="BF720" s="502"/>
      <c r="BG720" s="502"/>
      <c r="BH720" s="502"/>
      <c r="BI720" s="502"/>
      <c r="BJ720" s="502"/>
      <c r="BK720" s="502"/>
      <c r="BL720" s="502"/>
      <c r="BM720" s="502"/>
      <c r="BN720" s="502"/>
      <c r="BO720" s="502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</row>
    <row r="721" s="504" customFormat="true" ht="12.75" hidden="true" customHeight="true" outlineLevel="0" collapsed="false">
      <c r="A721" s="5"/>
      <c r="B721" s="813" t="n">
        <f aca="false">B720+1</f>
        <v>506</v>
      </c>
      <c r="C721" s="814" t="n">
        <f aca="false">C720+D721</f>
        <v>59924.0092986533</v>
      </c>
      <c r="D721" s="815" t="n">
        <f aca="false">E721*$E$205*M721</f>
        <v>159.090740910889</v>
      </c>
      <c r="E721" s="601" t="n">
        <f aca="false">E720+$C$204</f>
        <v>10.0894686016546</v>
      </c>
      <c r="F721" s="816" t="n">
        <f aca="false">F720+1</f>
        <v>506</v>
      </c>
      <c r="G721" s="775" t="n">
        <f aca="false">C721</f>
        <v>59924.0092986533</v>
      </c>
      <c r="H721" s="817" t="n">
        <f aca="false">1000*(E721-E720)</f>
        <v>9.99999999999979</v>
      </c>
      <c r="I721" s="5"/>
      <c r="J721" s="818" t="n">
        <f aca="false">1000*(E721-$E$215)/(B721-$B$215)</f>
        <v>13.1104146809718</v>
      </c>
      <c r="K721" s="732" t="n">
        <f aca="false">AVERAGE($E$216:E721)</f>
        <v>7.54944883880879</v>
      </c>
      <c r="L721" s="819" t="n">
        <f aca="false">L720+1</f>
        <v>506</v>
      </c>
      <c r="M721" s="820" t="n">
        <f aca="false">IF(B721&lt;$E$104,$E$105,$E$106)</f>
        <v>3</v>
      </c>
      <c r="N721" s="821" t="n">
        <f aca="false">IF(B721&lt;$E$104,$E$105,$E$111)</f>
        <v>2.5</v>
      </c>
      <c r="O721" s="822" t="n">
        <f aca="false">E721*$E$205*N721</f>
        <v>132.575617425741</v>
      </c>
      <c r="P721" s="823" t="n">
        <f aca="false">P720+O721</f>
        <v>49988.3550159207</v>
      </c>
      <c r="Q721" s="606" t="n">
        <f aca="false">Q720+1</f>
        <v>506</v>
      </c>
      <c r="R721" s="824" t="n">
        <f aca="false">R720-1</f>
        <v>-506</v>
      </c>
      <c r="S721" s="5"/>
      <c r="T721" s="5"/>
      <c r="U721" s="5"/>
      <c r="V721" s="10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02"/>
      <c r="AU721" s="502"/>
      <c r="AV721" s="606"/>
      <c r="AW721" s="502"/>
      <c r="AX721" s="502"/>
      <c r="AY721" s="502"/>
      <c r="AZ721" s="502"/>
      <c r="BA721" s="502"/>
      <c r="BB721" s="502"/>
      <c r="BC721" s="502"/>
      <c r="BD721" s="502"/>
      <c r="BE721" s="502"/>
      <c r="BF721" s="502"/>
      <c r="BG721" s="502"/>
      <c r="BH721" s="502"/>
      <c r="BI721" s="502"/>
      <c r="BJ721" s="502"/>
      <c r="BK721" s="502"/>
      <c r="BL721" s="502"/>
      <c r="BM721" s="502"/>
      <c r="BN721" s="502"/>
      <c r="BO721" s="502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</row>
    <row r="722" s="504" customFormat="true" ht="12.75" hidden="true" customHeight="true" outlineLevel="0" collapsed="false">
      <c r="A722" s="5"/>
      <c r="B722" s="813" t="n">
        <f aca="false">B721+1</f>
        <v>507</v>
      </c>
      <c r="C722" s="814" t="n">
        <f aca="false">C721+D722</f>
        <v>60083.2577195642</v>
      </c>
      <c r="D722" s="815" t="n">
        <f aca="false">E722*$E$205*M722</f>
        <v>159.248420910889</v>
      </c>
      <c r="E722" s="601" t="n">
        <f aca="false">E721+$C$204</f>
        <v>10.0994686016546</v>
      </c>
      <c r="F722" s="816" t="n">
        <f aca="false">F721+1</f>
        <v>507</v>
      </c>
      <c r="G722" s="775" t="n">
        <f aca="false">C722</f>
        <v>60083.2577195642</v>
      </c>
      <c r="H722" s="817" t="n">
        <f aca="false">1000*(E722-E721)</f>
        <v>9.99999999999979</v>
      </c>
      <c r="I722" s="5"/>
      <c r="J722" s="818" t="n">
        <f aca="false">1000*(E722-$E$215)/(B722-$B$215)</f>
        <v>13.1042797407727</v>
      </c>
      <c r="K722" s="732" t="n">
        <f aca="false">AVERAGE($E$216:E722)</f>
        <v>7.55447846358758</v>
      </c>
      <c r="L722" s="819" t="n">
        <f aca="false">L721+1</f>
        <v>507</v>
      </c>
      <c r="M722" s="820" t="n">
        <f aca="false">IF(B722&lt;$E$104,$E$105,$E$106)</f>
        <v>3</v>
      </c>
      <c r="N722" s="821" t="n">
        <f aca="false">IF(B722&lt;$E$104,$E$105,$E$111)</f>
        <v>2.5</v>
      </c>
      <c r="O722" s="822" t="n">
        <f aca="false">E722*$E$205*N722</f>
        <v>132.707017425741</v>
      </c>
      <c r="P722" s="823" t="n">
        <f aca="false">P721+O722</f>
        <v>50121.0620333464</v>
      </c>
      <c r="Q722" s="606" t="n">
        <f aca="false">Q721+1</f>
        <v>507</v>
      </c>
      <c r="R722" s="824" t="n">
        <f aca="false">R721-1</f>
        <v>-507</v>
      </c>
      <c r="S722" s="5"/>
      <c r="T722" s="5"/>
      <c r="U722" s="5"/>
      <c r="V722" s="10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02"/>
      <c r="AU722" s="502"/>
      <c r="AV722" s="606"/>
      <c r="AW722" s="502"/>
      <c r="AX722" s="502"/>
      <c r="AY722" s="502"/>
      <c r="AZ722" s="502"/>
      <c r="BA722" s="502"/>
      <c r="BB722" s="502"/>
      <c r="BC722" s="502"/>
      <c r="BD722" s="502"/>
      <c r="BE722" s="502"/>
      <c r="BF722" s="502"/>
      <c r="BG722" s="502"/>
      <c r="BH722" s="502"/>
      <c r="BI722" s="502"/>
      <c r="BJ722" s="502"/>
      <c r="BK722" s="502"/>
      <c r="BL722" s="502"/>
      <c r="BM722" s="502"/>
      <c r="BN722" s="502"/>
      <c r="BO722" s="502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</row>
    <row r="723" s="504" customFormat="true" ht="12.75" hidden="true" customHeight="true" outlineLevel="0" collapsed="false">
      <c r="A723" s="5"/>
      <c r="B723" s="813" t="n">
        <f aca="false">B722+1</f>
        <v>508</v>
      </c>
      <c r="C723" s="814" t="n">
        <f aca="false">C722+D723</f>
        <v>60242.6638204751</v>
      </c>
      <c r="D723" s="815" t="n">
        <f aca="false">E723*$E$205*M723</f>
        <v>159.406100910889</v>
      </c>
      <c r="E723" s="601" t="n">
        <f aca="false">E722+$C$204</f>
        <v>10.1094686016546</v>
      </c>
      <c r="F723" s="816" t="n">
        <f aca="false">F722+1</f>
        <v>508</v>
      </c>
      <c r="G723" s="775" t="n">
        <f aca="false">C723</f>
        <v>60242.6638204751</v>
      </c>
      <c r="H723" s="817" t="n">
        <f aca="false">1000*(E723-E722)</f>
        <v>9.99999999999979</v>
      </c>
      <c r="I723" s="5"/>
      <c r="J723" s="818" t="n">
        <f aca="false">1000*(E723-$E$215)/(B723-$B$215)</f>
        <v>13.0981689538814</v>
      </c>
      <c r="K723" s="732" t="n">
        <f aca="false">AVERAGE($E$216:E723)</f>
        <v>7.55950797173338</v>
      </c>
      <c r="L723" s="819" t="n">
        <f aca="false">L722+1</f>
        <v>508</v>
      </c>
      <c r="M723" s="820" t="n">
        <f aca="false">IF(B723&lt;$E$104,$E$105,$E$106)</f>
        <v>3</v>
      </c>
      <c r="N723" s="821" t="n">
        <f aca="false">IF(B723&lt;$E$104,$E$105,$E$111)</f>
        <v>2.5</v>
      </c>
      <c r="O723" s="822" t="n">
        <f aca="false">E723*$E$205*N723</f>
        <v>132.838417425741</v>
      </c>
      <c r="P723" s="823" t="n">
        <f aca="false">P722+O723</f>
        <v>50253.9004507721</v>
      </c>
      <c r="Q723" s="606" t="n">
        <f aca="false">Q722+1</f>
        <v>508</v>
      </c>
      <c r="R723" s="824" t="n">
        <f aca="false">R722-1</f>
        <v>-508</v>
      </c>
      <c r="S723" s="5"/>
      <c r="T723" s="5"/>
      <c r="U723" s="5"/>
      <c r="V723" s="10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02"/>
      <c r="AU723" s="502"/>
      <c r="AV723" s="606"/>
      <c r="AW723" s="502"/>
      <c r="AX723" s="502"/>
      <c r="AY723" s="502"/>
      <c r="AZ723" s="502"/>
      <c r="BA723" s="502"/>
      <c r="BB723" s="502"/>
      <c r="BC723" s="502"/>
      <c r="BD723" s="502"/>
      <c r="BE723" s="502"/>
      <c r="BF723" s="502"/>
      <c r="BG723" s="502"/>
      <c r="BH723" s="502"/>
      <c r="BI723" s="502"/>
      <c r="BJ723" s="502"/>
      <c r="BK723" s="502"/>
      <c r="BL723" s="502"/>
      <c r="BM723" s="502"/>
      <c r="BN723" s="502"/>
      <c r="BO723" s="502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</row>
    <row r="724" s="504" customFormat="true" ht="12.75" hidden="true" customHeight="true" outlineLevel="0" collapsed="false">
      <c r="A724" s="5"/>
      <c r="B724" s="813" t="n">
        <f aca="false">B723+1</f>
        <v>509</v>
      </c>
      <c r="C724" s="814" t="n">
        <f aca="false">C723+D724</f>
        <v>60402.227601386</v>
      </c>
      <c r="D724" s="815" t="n">
        <f aca="false">E724*$E$205*M724</f>
        <v>159.563780910889</v>
      </c>
      <c r="E724" s="601" t="n">
        <f aca="false">E723+$C$204</f>
        <v>10.1194686016546</v>
      </c>
      <c r="F724" s="816" t="n">
        <f aca="false">F723+1</f>
        <v>509</v>
      </c>
      <c r="G724" s="775" t="n">
        <f aca="false">C724</f>
        <v>60402.227601386</v>
      </c>
      <c r="H724" s="817" t="n">
        <f aca="false">1000*(E724-E723)</f>
        <v>9.99999999999979</v>
      </c>
      <c r="I724" s="5"/>
      <c r="J724" s="818" t="n">
        <f aca="false">1000*(E724-$E$215)/(B724-$B$215)</f>
        <v>13.0920821779405</v>
      </c>
      <c r="K724" s="732" t="n">
        <f aca="false">AVERAGE($E$216:E724)</f>
        <v>7.56453736393361</v>
      </c>
      <c r="L724" s="819" t="n">
        <f aca="false">L723+1</f>
        <v>509</v>
      </c>
      <c r="M724" s="820" t="n">
        <f aca="false">IF(B724&lt;$E$104,$E$105,$E$106)</f>
        <v>3</v>
      </c>
      <c r="N724" s="821" t="n">
        <f aca="false">IF(B724&lt;$E$104,$E$105,$E$111)</f>
        <v>2.5</v>
      </c>
      <c r="O724" s="822" t="n">
        <f aca="false">E724*$E$205*N724</f>
        <v>132.969817425741</v>
      </c>
      <c r="P724" s="823" t="n">
        <f aca="false">P723+O724</f>
        <v>50386.8702681979</v>
      </c>
      <c r="Q724" s="606" t="n">
        <f aca="false">Q723+1</f>
        <v>509</v>
      </c>
      <c r="R724" s="824" t="n">
        <f aca="false">R723-1</f>
        <v>-509</v>
      </c>
      <c r="S724" s="5"/>
      <c r="T724" s="5"/>
      <c r="U724" s="5"/>
      <c r="V724" s="10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02"/>
      <c r="AU724" s="502"/>
      <c r="AV724" s="606"/>
      <c r="AW724" s="502"/>
      <c r="AX724" s="502"/>
      <c r="AY724" s="502"/>
      <c r="AZ724" s="502"/>
      <c r="BA724" s="502"/>
      <c r="BB724" s="502"/>
      <c r="BC724" s="502"/>
      <c r="BD724" s="502"/>
      <c r="BE724" s="502"/>
      <c r="BF724" s="502"/>
      <c r="BG724" s="502"/>
      <c r="BH724" s="502"/>
      <c r="BI724" s="502"/>
      <c r="BJ724" s="502"/>
      <c r="BK724" s="502"/>
      <c r="BL724" s="502"/>
      <c r="BM724" s="502"/>
      <c r="BN724" s="502"/>
      <c r="BO724" s="502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</row>
    <row r="725" s="504" customFormat="true" ht="12.75" hidden="true" customHeight="true" outlineLevel="0" collapsed="false">
      <c r="A725" s="5"/>
      <c r="B725" s="813" t="n">
        <f aca="false">B724+1</f>
        <v>510</v>
      </c>
      <c r="C725" s="814" t="n">
        <f aca="false">C724+D725</f>
        <v>60561.9490622969</v>
      </c>
      <c r="D725" s="815" t="n">
        <f aca="false">E725*$E$205*M725</f>
        <v>159.721460910889</v>
      </c>
      <c r="E725" s="601" t="n">
        <f aca="false">E724+$C$204</f>
        <v>10.1294686016546</v>
      </c>
      <c r="F725" s="816" t="n">
        <f aca="false">F724+1</f>
        <v>510</v>
      </c>
      <c r="G725" s="775" t="n">
        <f aca="false">C725</f>
        <v>60561.9490622969</v>
      </c>
      <c r="H725" s="817" t="n">
        <f aca="false">1000*(E725-E724)</f>
        <v>9.99999999999979</v>
      </c>
      <c r="I725" s="5"/>
      <c r="J725" s="818" t="n">
        <f aca="false">1000*(E725-$E$215)/(B725-$B$215)</f>
        <v>13.0860192717093</v>
      </c>
      <c r="K725" s="732" t="n">
        <f aca="false">AVERAGE($E$216:E725)</f>
        <v>7.56956664087032</v>
      </c>
      <c r="L725" s="819" t="n">
        <f aca="false">L724+1</f>
        <v>510</v>
      </c>
      <c r="M725" s="820" t="n">
        <f aca="false">IF(B725&lt;$E$104,$E$105,$E$106)</f>
        <v>3</v>
      </c>
      <c r="N725" s="821" t="n">
        <f aca="false">IF(B725&lt;$E$104,$E$105,$E$111)</f>
        <v>2.5</v>
      </c>
      <c r="O725" s="822" t="n">
        <f aca="false">E725*$E$205*N725</f>
        <v>133.101217425741</v>
      </c>
      <c r="P725" s="823" t="n">
        <f aca="false">P724+O725</f>
        <v>50519.9714856236</v>
      </c>
      <c r="Q725" s="606" t="n">
        <f aca="false">Q724+1</f>
        <v>510</v>
      </c>
      <c r="R725" s="824" t="n">
        <f aca="false">R724-1</f>
        <v>-510</v>
      </c>
      <c r="S725" s="5"/>
      <c r="T725" s="5"/>
      <c r="U725" s="5"/>
      <c r="V725" s="10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02"/>
      <c r="AU725" s="502"/>
      <c r="AV725" s="606"/>
      <c r="AW725" s="502"/>
      <c r="AX725" s="502"/>
      <c r="AY725" s="502"/>
      <c r="AZ725" s="502"/>
      <c r="BA725" s="502"/>
      <c r="BB725" s="502"/>
      <c r="BC725" s="502"/>
      <c r="BD725" s="502"/>
      <c r="BE725" s="502"/>
      <c r="BF725" s="502"/>
      <c r="BG725" s="502"/>
      <c r="BH725" s="502"/>
      <c r="BI725" s="502"/>
      <c r="BJ725" s="502"/>
      <c r="BK725" s="502"/>
      <c r="BL725" s="502"/>
      <c r="BM725" s="502"/>
      <c r="BN725" s="502"/>
      <c r="BO725" s="502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</row>
    <row r="726" s="504" customFormat="true" ht="12.75" hidden="true" customHeight="true" outlineLevel="0" collapsed="false">
      <c r="A726" s="5"/>
      <c r="B726" s="813" t="n">
        <f aca="false">B725+1</f>
        <v>511</v>
      </c>
      <c r="C726" s="814" t="n">
        <f aca="false">C725+D726</f>
        <v>60721.8282032078</v>
      </c>
      <c r="D726" s="815" t="n">
        <f aca="false">E726*$E$205*M726</f>
        <v>159.879140910889</v>
      </c>
      <c r="E726" s="601" t="n">
        <f aca="false">E725+$C$204</f>
        <v>10.1394686016546</v>
      </c>
      <c r="F726" s="816" t="n">
        <f aca="false">F725+1</f>
        <v>511</v>
      </c>
      <c r="G726" s="775" t="n">
        <f aca="false">C726</f>
        <v>60721.8282032078</v>
      </c>
      <c r="H726" s="817" t="n">
        <f aca="false">1000*(E726-E725)</f>
        <v>9.99999999999979</v>
      </c>
      <c r="I726" s="5"/>
      <c r="J726" s="818" t="n">
        <f aca="false">1000*(E726-$E$215)/(B726-$B$215)</f>
        <v>13.0799800950523</v>
      </c>
      <c r="K726" s="732" t="n">
        <f aca="false">AVERAGE($E$216:E726)</f>
        <v>7.57459580322019</v>
      </c>
      <c r="L726" s="819" t="n">
        <f aca="false">L725+1</f>
        <v>511</v>
      </c>
      <c r="M726" s="820" t="n">
        <f aca="false">IF(B726&lt;$E$104,$E$105,$E$106)</f>
        <v>3</v>
      </c>
      <c r="N726" s="821" t="n">
        <f aca="false">IF(B726&lt;$E$104,$E$105,$E$111)</f>
        <v>2.5</v>
      </c>
      <c r="O726" s="822" t="n">
        <f aca="false">E726*$E$205*N726</f>
        <v>133.232617425741</v>
      </c>
      <c r="P726" s="823" t="n">
        <f aca="false">P725+O726</f>
        <v>50653.2041030494</v>
      </c>
      <c r="Q726" s="606" t="n">
        <f aca="false">Q725+1</f>
        <v>511</v>
      </c>
      <c r="R726" s="824" t="n">
        <f aca="false">R725-1</f>
        <v>-511</v>
      </c>
      <c r="S726" s="5"/>
      <c r="T726" s="5"/>
      <c r="U726" s="5"/>
      <c r="V726" s="10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02"/>
      <c r="AU726" s="502"/>
      <c r="AV726" s="606"/>
      <c r="AW726" s="502"/>
      <c r="AX726" s="502"/>
      <c r="AY726" s="502"/>
      <c r="AZ726" s="502"/>
      <c r="BA726" s="502"/>
      <c r="BB726" s="502"/>
      <c r="BC726" s="502"/>
      <c r="BD726" s="502"/>
      <c r="BE726" s="502"/>
      <c r="BF726" s="502"/>
      <c r="BG726" s="502"/>
      <c r="BH726" s="502"/>
      <c r="BI726" s="502"/>
      <c r="BJ726" s="502"/>
      <c r="BK726" s="502"/>
      <c r="BL726" s="502"/>
      <c r="BM726" s="502"/>
      <c r="BN726" s="502"/>
      <c r="BO726" s="502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</row>
    <row r="727" s="504" customFormat="true" ht="12.75" hidden="true" customHeight="true" outlineLevel="0" collapsed="false">
      <c r="A727" s="5"/>
      <c r="B727" s="813" t="n">
        <f aca="false">B726+1</f>
        <v>512</v>
      </c>
      <c r="C727" s="814" t="n">
        <f aca="false">C726+D727</f>
        <v>60881.8650241187</v>
      </c>
      <c r="D727" s="815" t="n">
        <f aca="false">E727*$E$205*M727</f>
        <v>160.036820910889</v>
      </c>
      <c r="E727" s="601" t="n">
        <f aca="false">E726+$C$204</f>
        <v>10.1494686016546</v>
      </c>
      <c r="F727" s="816" t="n">
        <f aca="false">F726+1</f>
        <v>512</v>
      </c>
      <c r="G727" s="775" t="n">
        <f aca="false">C727</f>
        <v>60881.8650241187</v>
      </c>
      <c r="H727" s="817" t="n">
        <f aca="false">1000*(E727-E726)</f>
        <v>9.99999999999979</v>
      </c>
      <c r="I727" s="5"/>
      <c r="J727" s="818" t="n">
        <f aca="false">1000*(E727-$E$215)/(B727-$B$215)</f>
        <v>13.0739645089292</v>
      </c>
      <c r="K727" s="732" t="n">
        <f aca="false">AVERAGE($E$216:E727)</f>
        <v>7.57962485165464</v>
      </c>
      <c r="L727" s="819" t="n">
        <f aca="false">L726+1</f>
        <v>512</v>
      </c>
      <c r="M727" s="820" t="n">
        <f aca="false">IF(B727&lt;$E$104,$E$105,$E$106)</f>
        <v>3</v>
      </c>
      <c r="N727" s="821" t="n">
        <f aca="false">IF(B727&lt;$E$104,$E$105,$E$111)</f>
        <v>2.5</v>
      </c>
      <c r="O727" s="822" t="n">
        <f aca="false">E727*$E$205*N727</f>
        <v>133.364017425741</v>
      </c>
      <c r="P727" s="823" t="n">
        <f aca="false">P726+O727</f>
        <v>50786.5681204751</v>
      </c>
      <c r="Q727" s="606" t="n">
        <f aca="false">Q726+1</f>
        <v>512</v>
      </c>
      <c r="R727" s="824" t="n">
        <f aca="false">R726-1</f>
        <v>-512</v>
      </c>
      <c r="S727" s="5"/>
      <c r="T727" s="5"/>
      <c r="U727" s="5"/>
      <c r="V727" s="10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02"/>
      <c r="AU727" s="502"/>
      <c r="AV727" s="606"/>
      <c r="AW727" s="502"/>
      <c r="AX727" s="502"/>
      <c r="AY727" s="502"/>
      <c r="AZ727" s="502"/>
      <c r="BA727" s="502"/>
      <c r="BB727" s="502"/>
      <c r="BC727" s="502"/>
      <c r="BD727" s="502"/>
      <c r="BE727" s="502"/>
      <c r="BF727" s="502"/>
      <c r="BG727" s="502"/>
      <c r="BH727" s="502"/>
      <c r="BI727" s="502"/>
      <c r="BJ727" s="502"/>
      <c r="BK727" s="502"/>
      <c r="BL727" s="502"/>
      <c r="BM727" s="502"/>
      <c r="BN727" s="502"/>
      <c r="BO727" s="502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</row>
    <row r="728" s="504" customFormat="true" ht="12.75" hidden="true" customHeight="true" outlineLevel="0" collapsed="false">
      <c r="A728" s="5"/>
      <c r="B728" s="813" t="n">
        <f aca="false">B727+1</f>
        <v>513</v>
      </c>
      <c r="C728" s="814" t="n">
        <f aca="false">C727+D728</f>
        <v>61042.0595250296</v>
      </c>
      <c r="D728" s="815" t="n">
        <f aca="false">E728*$E$205*M728</f>
        <v>160.194500910889</v>
      </c>
      <c r="E728" s="601" t="n">
        <f aca="false">E727+$C$204</f>
        <v>10.1594686016546</v>
      </c>
      <c r="F728" s="816" t="n">
        <f aca="false">F727+1</f>
        <v>513</v>
      </c>
      <c r="G728" s="775" t="n">
        <f aca="false">C728</f>
        <v>61042.0595250296</v>
      </c>
      <c r="H728" s="817" t="n">
        <f aca="false">1000*(E728-E727)</f>
        <v>9.99999999999979</v>
      </c>
      <c r="I728" s="5"/>
      <c r="J728" s="818" t="n">
        <f aca="false">1000*(E728-$E$215)/(B728-$B$215)</f>
        <v>13.0679723753835</v>
      </c>
      <c r="K728" s="732" t="n">
        <f aca="false">AVERAGE($E$216:E728)</f>
        <v>7.58465378683982</v>
      </c>
      <c r="L728" s="819" t="n">
        <f aca="false">L727+1</f>
        <v>513</v>
      </c>
      <c r="M728" s="820" t="n">
        <f aca="false">IF(B728&lt;$E$104,$E$105,$E$106)</f>
        <v>3</v>
      </c>
      <c r="N728" s="821" t="n">
        <f aca="false">IF(B728&lt;$E$104,$E$105,$E$111)</f>
        <v>2.5</v>
      </c>
      <c r="O728" s="822" t="n">
        <f aca="false">E728*$E$205*N728</f>
        <v>133.495417425741</v>
      </c>
      <c r="P728" s="823" t="n">
        <f aca="false">P727+O728</f>
        <v>50920.0635379008</v>
      </c>
      <c r="Q728" s="606" t="n">
        <f aca="false">Q727+1</f>
        <v>513</v>
      </c>
      <c r="R728" s="824" t="n">
        <f aca="false">R727-1</f>
        <v>-513</v>
      </c>
      <c r="S728" s="5"/>
      <c r="T728" s="5"/>
      <c r="U728" s="5"/>
      <c r="V728" s="10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02"/>
      <c r="AU728" s="502"/>
      <c r="AV728" s="606"/>
      <c r="AW728" s="502"/>
      <c r="AX728" s="502"/>
      <c r="AY728" s="502"/>
      <c r="AZ728" s="502"/>
      <c r="BA728" s="502"/>
      <c r="BB728" s="502"/>
      <c r="BC728" s="502"/>
      <c r="BD728" s="502"/>
      <c r="BE728" s="502"/>
      <c r="BF728" s="502"/>
      <c r="BG728" s="502"/>
      <c r="BH728" s="502"/>
      <c r="BI728" s="502"/>
      <c r="BJ728" s="502"/>
      <c r="BK728" s="502"/>
      <c r="BL728" s="502"/>
      <c r="BM728" s="502"/>
      <c r="BN728" s="502"/>
      <c r="BO728" s="502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</row>
    <row r="729" s="504" customFormat="true" ht="12.75" hidden="true" customHeight="true" outlineLevel="0" collapsed="false">
      <c r="A729" s="5"/>
      <c r="B729" s="813" t="n">
        <f aca="false">B728+1</f>
        <v>514</v>
      </c>
      <c r="C729" s="814" t="n">
        <f aca="false">C728+D729</f>
        <v>61202.4117059405</v>
      </c>
      <c r="D729" s="815" t="n">
        <f aca="false">E729*$E$205*M729</f>
        <v>160.352180910889</v>
      </c>
      <c r="E729" s="601" t="n">
        <f aca="false">E728+$C$204</f>
        <v>10.1694686016546</v>
      </c>
      <c r="F729" s="816" t="n">
        <f aca="false">F728+1</f>
        <v>514</v>
      </c>
      <c r="G729" s="775" t="n">
        <f aca="false">C729</f>
        <v>61202.4117059405</v>
      </c>
      <c r="H729" s="817" t="n">
        <f aca="false">1000*(E729-E728)</f>
        <v>9.99999999999979</v>
      </c>
      <c r="I729" s="5"/>
      <c r="J729" s="818" t="n">
        <f aca="false">1000*(E729-$E$215)/(B729-$B$215)</f>
        <v>13.0620035575326</v>
      </c>
      <c r="K729" s="732" t="n">
        <f aca="false">AVERAGE($E$216:E729)</f>
        <v>7.58968260943674</v>
      </c>
      <c r="L729" s="819" t="n">
        <f aca="false">L728+1</f>
        <v>514</v>
      </c>
      <c r="M729" s="820" t="n">
        <f aca="false">IF(B729&lt;$E$104,$E$105,$E$106)</f>
        <v>3</v>
      </c>
      <c r="N729" s="821" t="n">
        <f aca="false">IF(B729&lt;$E$104,$E$105,$E$111)</f>
        <v>2.5</v>
      </c>
      <c r="O729" s="822" t="n">
        <f aca="false">E729*$E$205*N729</f>
        <v>133.626817425741</v>
      </c>
      <c r="P729" s="823" t="n">
        <f aca="false">P728+O729</f>
        <v>51053.6903553266</v>
      </c>
      <c r="Q729" s="606" t="n">
        <f aca="false">Q728+1</f>
        <v>514</v>
      </c>
      <c r="R729" s="824" t="n">
        <f aca="false">R728-1</f>
        <v>-514</v>
      </c>
      <c r="S729" s="5"/>
      <c r="T729" s="5"/>
      <c r="U729" s="5"/>
      <c r="V729" s="10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02"/>
      <c r="AU729" s="502"/>
      <c r="AV729" s="606"/>
      <c r="AW729" s="502"/>
      <c r="AX729" s="502"/>
      <c r="AY729" s="502"/>
      <c r="AZ729" s="502"/>
      <c r="BA729" s="502"/>
      <c r="BB729" s="502"/>
      <c r="BC729" s="502"/>
      <c r="BD729" s="502"/>
      <c r="BE729" s="502"/>
      <c r="BF729" s="502"/>
      <c r="BG729" s="502"/>
      <c r="BH729" s="502"/>
      <c r="BI729" s="502"/>
      <c r="BJ729" s="502"/>
      <c r="BK729" s="502"/>
      <c r="BL729" s="502"/>
      <c r="BM729" s="502"/>
      <c r="BN729" s="502"/>
      <c r="BO729" s="502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</row>
    <row r="730" s="504" customFormat="true" ht="12.75" hidden="true" customHeight="true" outlineLevel="0" collapsed="false">
      <c r="A730" s="5"/>
      <c r="B730" s="813" t="n">
        <f aca="false">B729+1</f>
        <v>515</v>
      </c>
      <c r="C730" s="814" t="n">
        <f aca="false">C729+D730</f>
        <v>61362.9215668513</v>
      </c>
      <c r="D730" s="815" t="n">
        <f aca="false">E730*$E$205*M730</f>
        <v>160.509860910889</v>
      </c>
      <c r="E730" s="601" t="n">
        <f aca="false">E729+$C$204</f>
        <v>10.1794686016546</v>
      </c>
      <c r="F730" s="816" t="n">
        <f aca="false">F729+1</f>
        <v>515</v>
      </c>
      <c r="G730" s="775" t="n">
        <f aca="false">C730</f>
        <v>61362.9215668513</v>
      </c>
      <c r="H730" s="817" t="n">
        <f aca="false">1000*(E730-E729)</f>
        <v>9.99999999999979</v>
      </c>
      <c r="I730" s="5"/>
      <c r="J730" s="818" t="n">
        <f aca="false">1000*(E730-$E$215)/(B730-$B$215)</f>
        <v>13.0560579195568</v>
      </c>
      <c r="K730" s="732" t="n">
        <f aca="false">AVERAGE($E$216:E730)</f>
        <v>7.59471132010124</v>
      </c>
      <c r="L730" s="819" t="n">
        <f aca="false">L729+1</f>
        <v>515</v>
      </c>
      <c r="M730" s="820" t="n">
        <f aca="false">IF(B730&lt;$E$104,$E$105,$E$106)</f>
        <v>3</v>
      </c>
      <c r="N730" s="821" t="n">
        <f aca="false">IF(B730&lt;$E$104,$E$105,$E$111)</f>
        <v>2.5</v>
      </c>
      <c r="O730" s="822" t="n">
        <f aca="false">E730*$E$205*N730</f>
        <v>133.758217425741</v>
      </c>
      <c r="P730" s="823" t="n">
        <f aca="false">P729+O730</f>
        <v>51187.4485727523</v>
      </c>
      <c r="Q730" s="606" t="n">
        <f aca="false">Q729+1</f>
        <v>515</v>
      </c>
      <c r="R730" s="824" t="n">
        <f aca="false">R729-1</f>
        <v>-515</v>
      </c>
      <c r="S730" s="5"/>
      <c r="T730" s="5"/>
      <c r="U730" s="5"/>
      <c r="V730" s="10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02"/>
      <c r="AU730" s="502"/>
      <c r="AV730" s="606"/>
      <c r="AW730" s="502"/>
      <c r="AX730" s="502"/>
      <c r="AY730" s="502"/>
      <c r="AZ730" s="502"/>
      <c r="BA730" s="502"/>
      <c r="BB730" s="502"/>
      <c r="BC730" s="502"/>
      <c r="BD730" s="502"/>
      <c r="BE730" s="502"/>
      <c r="BF730" s="502"/>
      <c r="BG730" s="502"/>
      <c r="BH730" s="502"/>
      <c r="BI730" s="502"/>
      <c r="BJ730" s="502"/>
      <c r="BK730" s="502"/>
      <c r="BL730" s="502"/>
      <c r="BM730" s="502"/>
      <c r="BN730" s="502"/>
      <c r="BO730" s="502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</row>
    <row r="731" s="504" customFormat="true" ht="12.75" hidden="true" customHeight="true" outlineLevel="0" collapsed="false">
      <c r="A731" s="5"/>
      <c r="B731" s="813" t="n">
        <f aca="false">B730+1</f>
        <v>516</v>
      </c>
      <c r="C731" s="814" t="n">
        <f aca="false">C730+D731</f>
        <v>61523.5891077622</v>
      </c>
      <c r="D731" s="815" t="n">
        <f aca="false">E731*$E$205*M731</f>
        <v>160.667540910889</v>
      </c>
      <c r="E731" s="601" t="n">
        <f aca="false">E730+$C$204</f>
        <v>10.1894686016546</v>
      </c>
      <c r="F731" s="816" t="n">
        <f aca="false">F730+1</f>
        <v>516</v>
      </c>
      <c r="G731" s="775" t="n">
        <f aca="false">C731</f>
        <v>61523.5891077622</v>
      </c>
      <c r="H731" s="817" t="n">
        <f aca="false">1000*(E731-E730)</f>
        <v>9.99999999999979</v>
      </c>
      <c r="I731" s="5"/>
      <c r="J731" s="818" t="n">
        <f aca="false">1000*(E731-$E$215)/(B731-$B$215)</f>
        <v>13.0501353266894</v>
      </c>
      <c r="K731" s="732" t="n">
        <f aca="false">AVERAGE($E$216:E731)</f>
        <v>7.59973991948409</v>
      </c>
      <c r="L731" s="819" t="n">
        <f aca="false">L730+1</f>
        <v>516</v>
      </c>
      <c r="M731" s="820" t="n">
        <f aca="false">IF(B731&lt;$E$104,$E$105,$E$106)</f>
        <v>3</v>
      </c>
      <c r="N731" s="821" t="n">
        <f aca="false">IF(B731&lt;$E$104,$E$105,$E$111)</f>
        <v>2.5</v>
      </c>
      <c r="O731" s="822" t="n">
        <f aca="false">E731*$E$205*N731</f>
        <v>133.889617425741</v>
      </c>
      <c r="P731" s="823" t="n">
        <f aca="false">P730+O731</f>
        <v>51321.3381901781</v>
      </c>
      <c r="Q731" s="606" t="n">
        <f aca="false">Q730+1</f>
        <v>516</v>
      </c>
      <c r="R731" s="824" t="n">
        <f aca="false">R730-1</f>
        <v>-516</v>
      </c>
      <c r="S731" s="5"/>
      <c r="T731" s="5"/>
      <c r="U731" s="5"/>
      <c r="V731" s="10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02"/>
      <c r="AU731" s="502"/>
      <c r="AV731" s="606"/>
      <c r="AW731" s="502"/>
      <c r="AX731" s="502"/>
      <c r="AY731" s="502"/>
      <c r="AZ731" s="502"/>
      <c r="BA731" s="502"/>
      <c r="BB731" s="502"/>
      <c r="BC731" s="502"/>
      <c r="BD731" s="502"/>
      <c r="BE731" s="502"/>
      <c r="BF731" s="502"/>
      <c r="BG731" s="502"/>
      <c r="BH731" s="502"/>
      <c r="BI731" s="502"/>
      <c r="BJ731" s="502"/>
      <c r="BK731" s="502"/>
      <c r="BL731" s="502"/>
      <c r="BM731" s="502"/>
      <c r="BN731" s="502"/>
      <c r="BO731" s="502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</row>
    <row r="732" s="504" customFormat="true" ht="12.75" hidden="true" customHeight="true" outlineLevel="0" collapsed="false">
      <c r="A732" s="5"/>
      <c r="B732" s="813" t="n">
        <f aca="false">B731+1</f>
        <v>517</v>
      </c>
      <c r="C732" s="814" t="n">
        <f aca="false">C731+D732</f>
        <v>61684.4143286731</v>
      </c>
      <c r="D732" s="815" t="n">
        <f aca="false">E732*$E$205*M732</f>
        <v>160.825220910889</v>
      </c>
      <c r="E732" s="601" t="n">
        <f aca="false">E731+$C$204</f>
        <v>10.1994686016546</v>
      </c>
      <c r="F732" s="816" t="n">
        <f aca="false">F731+1</f>
        <v>517</v>
      </c>
      <c r="G732" s="775" t="n">
        <f aca="false">C732</f>
        <v>61684.4143286731</v>
      </c>
      <c r="H732" s="817" t="n">
        <f aca="false">1000*(E732-E731)</f>
        <v>9.99999999999979</v>
      </c>
      <c r="I732" s="5"/>
      <c r="J732" s="818" t="n">
        <f aca="false">1000*(E732-$E$215)/(B732-$B$215)</f>
        <v>13.0442356452064</v>
      </c>
      <c r="K732" s="732" t="n">
        <f aca="false">AVERAGE($E$216:E732)</f>
        <v>7.60476840823104</v>
      </c>
      <c r="L732" s="819" t="n">
        <f aca="false">L731+1</f>
        <v>517</v>
      </c>
      <c r="M732" s="820" t="n">
        <f aca="false">IF(B732&lt;$E$104,$E$105,$E$106)</f>
        <v>3</v>
      </c>
      <c r="N732" s="821" t="n">
        <f aca="false">IF(B732&lt;$E$104,$E$105,$E$111)</f>
        <v>2.5</v>
      </c>
      <c r="O732" s="822" t="n">
        <f aca="false">E732*$E$205*N732</f>
        <v>134.021017425741</v>
      </c>
      <c r="P732" s="823" t="n">
        <f aca="false">P731+O732</f>
        <v>51455.3592076038</v>
      </c>
      <c r="Q732" s="606" t="n">
        <f aca="false">Q731+1</f>
        <v>517</v>
      </c>
      <c r="R732" s="824" t="n">
        <f aca="false">R731-1</f>
        <v>-517</v>
      </c>
      <c r="S732" s="5"/>
      <c r="T732" s="5"/>
      <c r="U732" s="5"/>
      <c r="V732" s="10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02"/>
      <c r="AU732" s="502"/>
      <c r="AV732" s="606"/>
      <c r="AW732" s="502"/>
      <c r="AX732" s="502"/>
      <c r="AY732" s="502"/>
      <c r="AZ732" s="502"/>
      <c r="BA732" s="502"/>
      <c r="BB732" s="502"/>
      <c r="BC732" s="502"/>
      <c r="BD732" s="502"/>
      <c r="BE732" s="502"/>
      <c r="BF732" s="502"/>
      <c r="BG732" s="502"/>
      <c r="BH732" s="502"/>
      <c r="BI732" s="502"/>
      <c r="BJ732" s="502"/>
      <c r="BK732" s="502"/>
      <c r="BL732" s="502"/>
      <c r="BM732" s="502"/>
      <c r="BN732" s="502"/>
      <c r="BO732" s="502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</row>
    <row r="733" s="504" customFormat="true" ht="12.75" hidden="true" customHeight="true" outlineLevel="0" collapsed="false">
      <c r="A733" s="5"/>
      <c r="B733" s="813" t="n">
        <f aca="false">B732+1</f>
        <v>518</v>
      </c>
      <c r="C733" s="814" t="n">
        <f aca="false">C732+D733</f>
        <v>61845.397229584</v>
      </c>
      <c r="D733" s="815" t="n">
        <f aca="false">E733*$E$205*M733</f>
        <v>160.982900910889</v>
      </c>
      <c r="E733" s="601" t="n">
        <f aca="false">E732+$C$204</f>
        <v>10.2094686016546</v>
      </c>
      <c r="F733" s="816" t="n">
        <f aca="false">F732+1</f>
        <v>518</v>
      </c>
      <c r="G733" s="775" t="n">
        <f aca="false">C733</f>
        <v>61845.397229584</v>
      </c>
      <c r="H733" s="817" t="n">
        <f aca="false">1000*(E733-E732)</f>
        <v>9.99999999999979</v>
      </c>
      <c r="I733" s="5"/>
      <c r="J733" s="818" t="n">
        <f aca="false">1000*(E733-$E$215)/(B733-$B$215)</f>
        <v>13.0383587424165</v>
      </c>
      <c r="K733" s="732" t="n">
        <f aca="false">AVERAGE($E$216:E733)</f>
        <v>7.60979678698282</v>
      </c>
      <c r="L733" s="819" t="n">
        <f aca="false">L732+1</f>
        <v>518</v>
      </c>
      <c r="M733" s="820" t="n">
        <f aca="false">IF(B733&lt;$E$104,$E$105,$E$106)</f>
        <v>3</v>
      </c>
      <c r="N733" s="821" t="n">
        <f aca="false">IF(B733&lt;$E$104,$E$105,$E$111)</f>
        <v>2.5</v>
      </c>
      <c r="O733" s="822" t="n">
        <f aca="false">E733*$E$205*N733</f>
        <v>134.152417425741</v>
      </c>
      <c r="P733" s="823" t="n">
        <f aca="false">P732+O733</f>
        <v>51589.5116250295</v>
      </c>
      <c r="Q733" s="606" t="n">
        <f aca="false">Q732+1</f>
        <v>518</v>
      </c>
      <c r="R733" s="824" t="n">
        <f aca="false">R732-1</f>
        <v>-518</v>
      </c>
      <c r="S733" s="5"/>
      <c r="T733" s="5"/>
      <c r="U733" s="5"/>
      <c r="V733" s="10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02"/>
      <c r="AU733" s="502"/>
      <c r="AV733" s="606"/>
      <c r="AW733" s="502"/>
      <c r="AX733" s="502"/>
      <c r="AY733" s="502"/>
      <c r="AZ733" s="502"/>
      <c r="BA733" s="502"/>
      <c r="BB733" s="502"/>
      <c r="BC733" s="502"/>
      <c r="BD733" s="502"/>
      <c r="BE733" s="502"/>
      <c r="BF733" s="502"/>
      <c r="BG733" s="502"/>
      <c r="BH733" s="502"/>
      <c r="BI733" s="502"/>
      <c r="BJ733" s="502"/>
      <c r="BK733" s="502"/>
      <c r="BL733" s="502"/>
      <c r="BM733" s="502"/>
      <c r="BN733" s="502"/>
      <c r="BO733" s="502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</row>
    <row r="734" s="504" customFormat="true" ht="12.75" hidden="true" customHeight="true" outlineLevel="0" collapsed="false">
      <c r="A734" s="5"/>
      <c r="B734" s="813" t="n">
        <f aca="false">B733+1</f>
        <v>519</v>
      </c>
      <c r="C734" s="814" t="n">
        <f aca="false">C733+D734</f>
        <v>62006.5378104949</v>
      </c>
      <c r="D734" s="815" t="n">
        <f aca="false">E734*$E$205*M734</f>
        <v>161.140580910889</v>
      </c>
      <c r="E734" s="601" t="n">
        <f aca="false">E733+$C$204</f>
        <v>10.2194686016546</v>
      </c>
      <c r="F734" s="816" t="n">
        <f aca="false">F733+1</f>
        <v>519</v>
      </c>
      <c r="G734" s="775" t="n">
        <f aca="false">C734</f>
        <v>62006.5378104949</v>
      </c>
      <c r="H734" s="817" t="n">
        <f aca="false">1000*(E734-E733)</f>
        <v>9.99999999999979</v>
      </c>
      <c r="I734" s="5"/>
      <c r="J734" s="818" t="n">
        <f aca="false">1000*(E734-$E$215)/(B734-$B$215)</f>
        <v>13.0325044866507</v>
      </c>
      <c r="K734" s="732" t="n">
        <f aca="false">AVERAGE($E$216:E734)</f>
        <v>7.61482505637525</v>
      </c>
      <c r="L734" s="819" t="n">
        <f aca="false">L733+1</f>
        <v>519</v>
      </c>
      <c r="M734" s="820" t="n">
        <f aca="false">IF(B734&lt;$E$104,$E$105,$E$106)</f>
        <v>3</v>
      </c>
      <c r="N734" s="821" t="n">
        <f aca="false">IF(B734&lt;$E$104,$E$105,$E$111)</f>
        <v>2.5</v>
      </c>
      <c r="O734" s="822" t="n">
        <f aca="false">E734*$E$205*N734</f>
        <v>134.283817425741</v>
      </c>
      <c r="P734" s="823" t="n">
        <f aca="false">P733+O734</f>
        <v>51723.7954424553</v>
      </c>
      <c r="Q734" s="606" t="n">
        <f aca="false">Q733+1</f>
        <v>519</v>
      </c>
      <c r="R734" s="824" t="n">
        <f aca="false">R733-1</f>
        <v>-519</v>
      </c>
      <c r="S734" s="5"/>
      <c r="T734" s="5"/>
      <c r="U734" s="5"/>
      <c r="V734" s="10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02"/>
      <c r="AU734" s="502"/>
      <c r="AV734" s="606"/>
      <c r="AW734" s="502"/>
      <c r="AX734" s="502"/>
      <c r="AY734" s="502"/>
      <c r="AZ734" s="502"/>
      <c r="BA734" s="502"/>
      <c r="BB734" s="502"/>
      <c r="BC734" s="502"/>
      <c r="BD734" s="502"/>
      <c r="BE734" s="502"/>
      <c r="BF734" s="502"/>
      <c r="BG734" s="502"/>
      <c r="BH734" s="502"/>
      <c r="BI734" s="502"/>
      <c r="BJ734" s="502"/>
      <c r="BK734" s="502"/>
      <c r="BL734" s="502"/>
      <c r="BM734" s="502"/>
      <c r="BN734" s="502"/>
      <c r="BO734" s="502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</row>
    <row r="735" s="504" customFormat="true" ht="12.75" hidden="true" customHeight="true" outlineLevel="0" collapsed="false">
      <c r="A735" s="5"/>
      <c r="B735" s="813" t="n">
        <f aca="false">B734+1</f>
        <v>520</v>
      </c>
      <c r="C735" s="814" t="n">
        <f aca="false">C734+D735</f>
        <v>62167.8360714058</v>
      </c>
      <c r="D735" s="815" t="n">
        <f aca="false">E735*$E$205*M735</f>
        <v>161.298260910889</v>
      </c>
      <c r="E735" s="601" t="n">
        <f aca="false">E734+$C$204</f>
        <v>10.2294686016546</v>
      </c>
      <c r="F735" s="816" t="n">
        <f aca="false">F734+1</f>
        <v>520</v>
      </c>
      <c r="G735" s="775" t="n">
        <f aca="false">C735</f>
        <v>62167.8360714058</v>
      </c>
      <c r="H735" s="817" t="n">
        <f aca="false">1000*(E735-E734)</f>
        <v>9.99999999999979</v>
      </c>
      <c r="I735" s="5"/>
      <c r="J735" s="818" t="n">
        <f aca="false">1000*(E735-$E$215)/(B735-$B$215)</f>
        <v>13.0266727472533</v>
      </c>
      <c r="K735" s="732" t="n">
        <f aca="false">AVERAGE($E$216:E735)</f>
        <v>7.61985321703925</v>
      </c>
      <c r="L735" s="819" t="n">
        <f aca="false">L734+1</f>
        <v>520</v>
      </c>
      <c r="M735" s="820" t="n">
        <f aca="false">IF(B735&lt;$E$104,$E$105,$E$106)</f>
        <v>3</v>
      </c>
      <c r="N735" s="821" t="n">
        <f aca="false">IF(B735&lt;$E$104,$E$105,$E$111)</f>
        <v>2.5</v>
      </c>
      <c r="O735" s="822" t="n">
        <f aca="false">E735*$E$205*N735</f>
        <v>134.415217425741</v>
      </c>
      <c r="P735" s="823" t="n">
        <f aca="false">P734+O735</f>
        <v>51858.210659881</v>
      </c>
      <c r="Q735" s="606" t="n">
        <f aca="false">Q734+1</f>
        <v>520</v>
      </c>
      <c r="R735" s="824" t="n">
        <f aca="false">R734-1</f>
        <v>-520</v>
      </c>
      <c r="S735" s="5"/>
      <c r="T735" s="5"/>
      <c r="U735" s="5"/>
      <c r="V735" s="10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02"/>
      <c r="AU735" s="502"/>
      <c r="AV735" s="606"/>
      <c r="AW735" s="502"/>
      <c r="AX735" s="502"/>
      <c r="AY735" s="502"/>
      <c r="AZ735" s="502"/>
      <c r="BA735" s="502"/>
      <c r="BB735" s="502"/>
      <c r="BC735" s="502"/>
      <c r="BD735" s="502"/>
      <c r="BE735" s="502"/>
      <c r="BF735" s="502"/>
      <c r="BG735" s="502"/>
      <c r="BH735" s="502"/>
      <c r="BI735" s="502"/>
      <c r="BJ735" s="502"/>
      <c r="BK735" s="502"/>
      <c r="BL735" s="502"/>
      <c r="BM735" s="502"/>
      <c r="BN735" s="502"/>
      <c r="BO735" s="502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</row>
    <row r="736" s="504" customFormat="true" ht="12.75" hidden="true" customHeight="true" outlineLevel="0" collapsed="false">
      <c r="A736" s="5"/>
      <c r="B736" s="813" t="n">
        <f aca="false">B735+1</f>
        <v>521</v>
      </c>
      <c r="C736" s="814" t="n">
        <f aca="false">C735+D736</f>
        <v>62329.2920123167</v>
      </c>
      <c r="D736" s="815" t="n">
        <f aca="false">E736*$E$205*M736</f>
        <v>161.455940910889</v>
      </c>
      <c r="E736" s="601" t="n">
        <f aca="false">E735+$C$204</f>
        <v>10.2394686016546</v>
      </c>
      <c r="F736" s="816" t="n">
        <f aca="false">F735+1</f>
        <v>521</v>
      </c>
      <c r="G736" s="775" t="n">
        <f aca="false">C736</f>
        <v>62329.2920123167</v>
      </c>
      <c r="H736" s="817" t="n">
        <f aca="false">1000*(E736-E735)</f>
        <v>9.99999999999979</v>
      </c>
      <c r="I736" s="5"/>
      <c r="J736" s="818" t="n">
        <f aca="false">1000*(E736-$E$215)/(B736-$B$215)</f>
        <v>13.0208633945715</v>
      </c>
      <c r="K736" s="732" t="n">
        <f aca="false">AVERAGE($E$216:E736)</f>
        <v>7.62488126960089</v>
      </c>
      <c r="L736" s="819" t="n">
        <f aca="false">L735+1</f>
        <v>521</v>
      </c>
      <c r="M736" s="820" t="n">
        <f aca="false">IF(B736&lt;$E$104,$E$105,$E$106)</f>
        <v>3</v>
      </c>
      <c r="N736" s="821" t="n">
        <f aca="false">IF(B736&lt;$E$104,$E$105,$E$111)</f>
        <v>2.5</v>
      </c>
      <c r="O736" s="822" t="n">
        <f aca="false">E736*$E$205*N736</f>
        <v>134.546617425741</v>
      </c>
      <c r="P736" s="823" t="n">
        <f aca="false">P735+O736</f>
        <v>51992.7572773068</v>
      </c>
      <c r="Q736" s="606" t="n">
        <f aca="false">Q735+1</f>
        <v>521</v>
      </c>
      <c r="R736" s="824" t="n">
        <f aca="false">R735-1</f>
        <v>-521</v>
      </c>
      <c r="S736" s="5"/>
      <c r="T736" s="5"/>
      <c r="U736" s="5"/>
      <c r="V736" s="10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02"/>
      <c r="AU736" s="502"/>
      <c r="AV736" s="606"/>
      <c r="AW736" s="502"/>
      <c r="AX736" s="502"/>
      <c r="AY736" s="502"/>
      <c r="AZ736" s="502"/>
      <c r="BA736" s="502"/>
      <c r="BB736" s="502"/>
      <c r="BC736" s="502"/>
      <c r="BD736" s="502"/>
      <c r="BE736" s="502"/>
      <c r="BF736" s="502"/>
      <c r="BG736" s="502"/>
      <c r="BH736" s="502"/>
      <c r="BI736" s="502"/>
      <c r="BJ736" s="502"/>
      <c r="BK736" s="502"/>
      <c r="BL736" s="502"/>
      <c r="BM736" s="502"/>
      <c r="BN736" s="502"/>
      <c r="BO736" s="502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</row>
    <row r="737" s="504" customFormat="true" ht="12.75" hidden="true" customHeight="true" outlineLevel="0" collapsed="false">
      <c r="A737" s="5"/>
      <c r="B737" s="813" t="n">
        <f aca="false">B736+1</f>
        <v>522</v>
      </c>
      <c r="C737" s="814" t="n">
        <f aca="false">C736+D737</f>
        <v>62490.9056332276</v>
      </c>
      <c r="D737" s="815" t="n">
        <f aca="false">E737*$E$205*M737</f>
        <v>161.613620910889</v>
      </c>
      <c r="E737" s="601" t="n">
        <f aca="false">E736+$C$204</f>
        <v>10.2494686016546</v>
      </c>
      <c r="F737" s="816" t="n">
        <f aca="false">F736+1</f>
        <v>522</v>
      </c>
      <c r="G737" s="775" t="n">
        <f aca="false">C737</f>
        <v>62490.9056332276</v>
      </c>
      <c r="H737" s="817" t="n">
        <f aca="false">1000*(E737-E736)</f>
        <v>9.99999999999979</v>
      </c>
      <c r="I737" s="5"/>
      <c r="J737" s="818" t="n">
        <f aca="false">1000*(E737-$E$215)/(B737-$B$215)</f>
        <v>13.0150762999459</v>
      </c>
      <c r="K737" s="732" t="n">
        <f aca="false">AVERAGE($E$216:E737)</f>
        <v>7.62990921468145</v>
      </c>
      <c r="L737" s="819" t="n">
        <f aca="false">L736+1</f>
        <v>522</v>
      </c>
      <c r="M737" s="820" t="n">
        <f aca="false">IF(B737&lt;$E$104,$E$105,$E$106)</f>
        <v>3</v>
      </c>
      <c r="N737" s="821" t="n">
        <f aca="false">IF(B737&lt;$E$104,$E$105,$E$111)</f>
        <v>2.5</v>
      </c>
      <c r="O737" s="822" t="n">
        <f aca="false">E737*$E$205*N737</f>
        <v>134.678017425741</v>
      </c>
      <c r="P737" s="823" t="n">
        <f aca="false">P736+O737</f>
        <v>52127.4352947325</v>
      </c>
      <c r="Q737" s="606" t="n">
        <f aca="false">Q736+1</f>
        <v>522</v>
      </c>
      <c r="R737" s="824" t="n">
        <f aca="false">R736-1</f>
        <v>-522</v>
      </c>
      <c r="S737" s="5"/>
      <c r="T737" s="5"/>
      <c r="U737" s="5"/>
      <c r="V737" s="10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02"/>
      <c r="AU737" s="502"/>
      <c r="AV737" s="606"/>
      <c r="AW737" s="502"/>
      <c r="AX737" s="502"/>
      <c r="AY737" s="502"/>
      <c r="AZ737" s="502"/>
      <c r="BA737" s="502"/>
      <c r="BB737" s="502"/>
      <c r="BC737" s="502"/>
      <c r="BD737" s="502"/>
      <c r="BE737" s="502"/>
      <c r="BF737" s="502"/>
      <c r="BG737" s="502"/>
      <c r="BH737" s="502"/>
      <c r="BI737" s="502"/>
      <c r="BJ737" s="502"/>
      <c r="BK737" s="502"/>
      <c r="BL737" s="502"/>
      <c r="BM737" s="502"/>
      <c r="BN737" s="502"/>
      <c r="BO737" s="502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</row>
    <row r="738" s="504" customFormat="true" ht="12.75" hidden="true" customHeight="true" outlineLevel="0" collapsed="false">
      <c r="A738" s="5"/>
      <c r="B738" s="813" t="n">
        <f aca="false">B737+1</f>
        <v>523</v>
      </c>
      <c r="C738" s="814" t="n">
        <f aca="false">C737+D738</f>
        <v>62652.6769341385</v>
      </c>
      <c r="D738" s="815" t="n">
        <f aca="false">E738*$E$205*M738</f>
        <v>161.771300910889</v>
      </c>
      <c r="E738" s="601" t="n">
        <f aca="false">E737+$C$204</f>
        <v>10.2594686016546</v>
      </c>
      <c r="F738" s="816" t="n">
        <f aca="false">F737+1</f>
        <v>523</v>
      </c>
      <c r="G738" s="775" t="n">
        <f aca="false">C738</f>
        <v>62652.6769341385</v>
      </c>
      <c r="H738" s="817" t="n">
        <f aca="false">1000*(E738-E737)</f>
        <v>9.99999999999979</v>
      </c>
      <c r="I738" s="5"/>
      <c r="J738" s="818" t="n">
        <f aca="false">1000*(E738-$E$215)/(B738-$B$215)</f>
        <v>13.0093113357012</v>
      </c>
      <c r="K738" s="732" t="n">
        <f aca="false">AVERAGE($E$216:E738)</f>
        <v>7.63493705289746</v>
      </c>
      <c r="L738" s="819" t="n">
        <f aca="false">L737+1</f>
        <v>523</v>
      </c>
      <c r="M738" s="820" t="n">
        <f aca="false">IF(B738&lt;$E$104,$E$105,$E$106)</f>
        <v>3</v>
      </c>
      <c r="N738" s="821" t="n">
        <f aca="false">IF(B738&lt;$E$104,$E$105,$E$111)</f>
        <v>2.5</v>
      </c>
      <c r="O738" s="822" t="n">
        <f aca="false">E738*$E$205*N738</f>
        <v>134.809417425741</v>
      </c>
      <c r="P738" s="823" t="n">
        <f aca="false">P737+O738</f>
        <v>52262.2447121583</v>
      </c>
      <c r="Q738" s="606" t="n">
        <f aca="false">Q737+1</f>
        <v>523</v>
      </c>
      <c r="R738" s="824" t="n">
        <f aca="false">R737-1</f>
        <v>-523</v>
      </c>
      <c r="S738" s="5"/>
      <c r="T738" s="5"/>
      <c r="U738" s="5"/>
      <c r="V738" s="10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02"/>
      <c r="AU738" s="502"/>
      <c r="AV738" s="606"/>
      <c r="AW738" s="502"/>
      <c r="AX738" s="502"/>
      <c r="AY738" s="502"/>
      <c r="AZ738" s="502"/>
      <c r="BA738" s="502"/>
      <c r="BB738" s="502"/>
      <c r="BC738" s="502"/>
      <c r="BD738" s="502"/>
      <c r="BE738" s="502"/>
      <c r="BF738" s="502"/>
      <c r="BG738" s="502"/>
      <c r="BH738" s="502"/>
      <c r="BI738" s="502"/>
      <c r="BJ738" s="502"/>
      <c r="BK738" s="502"/>
      <c r="BL738" s="502"/>
      <c r="BM738" s="502"/>
      <c r="BN738" s="502"/>
      <c r="BO738" s="502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</row>
    <row r="739" s="504" customFormat="true" ht="12.75" hidden="true" customHeight="true" outlineLevel="0" collapsed="false">
      <c r="A739" s="5"/>
      <c r="B739" s="813" t="n">
        <f aca="false">B738+1</f>
        <v>524</v>
      </c>
      <c r="C739" s="814" t="n">
        <f aca="false">C738+D739</f>
        <v>62814.6059150494</v>
      </c>
      <c r="D739" s="815" t="n">
        <f aca="false">E739*$E$205*M739</f>
        <v>161.928980910889</v>
      </c>
      <c r="E739" s="601" t="n">
        <f aca="false">E738+$C$204</f>
        <v>10.2694686016546</v>
      </c>
      <c r="F739" s="816" t="n">
        <f aca="false">F738+1</f>
        <v>524</v>
      </c>
      <c r="G739" s="775" t="n">
        <f aca="false">C739</f>
        <v>62814.6059150494</v>
      </c>
      <c r="H739" s="817" t="n">
        <f aca="false">1000*(E739-E738)</f>
        <v>9.99999999999979</v>
      </c>
      <c r="I739" s="5"/>
      <c r="J739" s="818" t="n">
        <f aca="false">1000*(E739-$E$215)/(B739-$B$215)</f>
        <v>13.0035683751369</v>
      </c>
      <c r="K739" s="732" t="n">
        <f aca="false">AVERAGE($E$216:E739)</f>
        <v>7.63996478486074</v>
      </c>
      <c r="L739" s="819" t="n">
        <f aca="false">L738+1</f>
        <v>524</v>
      </c>
      <c r="M739" s="820" t="n">
        <f aca="false">IF(B739&lt;$E$104,$E$105,$E$106)</f>
        <v>3</v>
      </c>
      <c r="N739" s="821" t="n">
        <f aca="false">IF(B739&lt;$E$104,$E$105,$E$111)</f>
        <v>2.5</v>
      </c>
      <c r="O739" s="822" t="n">
        <f aca="false">E739*$E$205*N739</f>
        <v>134.940817425741</v>
      </c>
      <c r="P739" s="823" t="n">
        <f aca="false">P738+O739</f>
        <v>52397.185529584</v>
      </c>
      <c r="Q739" s="606" t="n">
        <f aca="false">Q738+1</f>
        <v>524</v>
      </c>
      <c r="R739" s="824" t="n">
        <f aca="false">R738-1</f>
        <v>-524</v>
      </c>
      <c r="S739" s="5"/>
      <c r="T739" s="5"/>
      <c r="U739" s="5"/>
      <c r="V739" s="10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02"/>
      <c r="AU739" s="502"/>
      <c r="AV739" s="606"/>
      <c r="AW739" s="502"/>
      <c r="AX739" s="502"/>
      <c r="AY739" s="502"/>
      <c r="AZ739" s="502"/>
      <c r="BA739" s="502"/>
      <c r="BB739" s="502"/>
      <c r="BC739" s="502"/>
      <c r="BD739" s="502"/>
      <c r="BE739" s="502"/>
      <c r="BF739" s="502"/>
      <c r="BG739" s="502"/>
      <c r="BH739" s="502"/>
      <c r="BI739" s="502"/>
      <c r="BJ739" s="502"/>
      <c r="BK739" s="502"/>
      <c r="BL739" s="502"/>
      <c r="BM739" s="502"/>
      <c r="BN739" s="502"/>
      <c r="BO739" s="502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</row>
    <row r="740" s="504" customFormat="true" ht="12.75" hidden="true" customHeight="true" outlineLevel="0" collapsed="false">
      <c r="A740" s="5"/>
      <c r="B740" s="813" t="n">
        <f aca="false">B739+1</f>
        <v>525</v>
      </c>
      <c r="C740" s="814" t="n">
        <f aca="false">C739+D740</f>
        <v>62976.6925759602</v>
      </c>
      <c r="D740" s="815" t="n">
        <f aca="false">E740*$E$205*M740</f>
        <v>162.086660910889</v>
      </c>
      <c r="E740" s="601" t="n">
        <f aca="false">E739+$C$204</f>
        <v>10.2794686016546</v>
      </c>
      <c r="F740" s="816" t="n">
        <f aca="false">F739+1</f>
        <v>525</v>
      </c>
      <c r="G740" s="775" t="n">
        <f aca="false">C740</f>
        <v>62976.6925759602</v>
      </c>
      <c r="H740" s="817" t="n">
        <f aca="false">1000*(E740-E739)</f>
        <v>9.99999999999979</v>
      </c>
      <c r="I740" s="5"/>
      <c r="J740" s="818" t="n">
        <f aca="false">1000*(E740-$E$215)/(B740-$B$215)</f>
        <v>12.9978472925176</v>
      </c>
      <c r="K740" s="732" t="n">
        <f aca="false">AVERAGE($E$216:E740)</f>
        <v>7.64499241117844</v>
      </c>
      <c r="L740" s="819" t="n">
        <f aca="false">L739+1</f>
        <v>525</v>
      </c>
      <c r="M740" s="820" t="n">
        <f aca="false">IF(B740&lt;$E$104,$E$105,$E$106)</f>
        <v>3</v>
      </c>
      <c r="N740" s="821" t="n">
        <f aca="false">IF(B740&lt;$E$104,$E$105,$E$111)</f>
        <v>2.5</v>
      </c>
      <c r="O740" s="822" t="n">
        <f aca="false">E740*$E$205*N740</f>
        <v>135.072217425741</v>
      </c>
      <c r="P740" s="823" t="n">
        <f aca="false">P739+O740</f>
        <v>52532.2577470097</v>
      </c>
      <c r="Q740" s="606" t="n">
        <f aca="false">Q739+1</f>
        <v>525</v>
      </c>
      <c r="R740" s="824" t="n">
        <f aca="false">R739-1</f>
        <v>-525</v>
      </c>
      <c r="S740" s="5"/>
      <c r="T740" s="5"/>
      <c r="U740" s="5"/>
      <c r="V740" s="10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02"/>
      <c r="AU740" s="502"/>
      <c r="AV740" s="606"/>
      <c r="AW740" s="502"/>
      <c r="AX740" s="502"/>
      <c r="AY740" s="502"/>
      <c r="AZ740" s="502"/>
      <c r="BA740" s="502"/>
      <c r="BB740" s="502"/>
      <c r="BC740" s="502"/>
      <c r="BD740" s="502"/>
      <c r="BE740" s="502"/>
      <c r="BF740" s="502"/>
      <c r="BG740" s="502"/>
      <c r="BH740" s="502"/>
      <c r="BI740" s="502"/>
      <c r="BJ740" s="502"/>
      <c r="BK740" s="502"/>
      <c r="BL740" s="502"/>
      <c r="BM740" s="502"/>
      <c r="BN740" s="502"/>
      <c r="BO740" s="502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</row>
    <row r="741" s="504" customFormat="true" ht="12.75" hidden="true" customHeight="true" outlineLevel="0" collapsed="false">
      <c r="A741" s="5"/>
      <c r="B741" s="813" t="n">
        <f aca="false">B740+1</f>
        <v>526</v>
      </c>
      <c r="C741" s="814" t="n">
        <f aca="false">C740+D741</f>
        <v>63138.9369168711</v>
      </c>
      <c r="D741" s="815" t="n">
        <f aca="false">E741*$E$205*M741</f>
        <v>162.244340910889</v>
      </c>
      <c r="E741" s="601" t="n">
        <f aca="false">E740+$C$204</f>
        <v>10.2894686016546</v>
      </c>
      <c r="F741" s="816" t="n">
        <f aca="false">F740+1</f>
        <v>526</v>
      </c>
      <c r="G741" s="775" t="n">
        <f aca="false">C741</f>
        <v>63138.9369168711</v>
      </c>
      <c r="H741" s="817" t="n">
        <f aca="false">1000*(E741-E740)</f>
        <v>9.99999999999979</v>
      </c>
      <c r="I741" s="5"/>
      <c r="J741" s="818" t="n">
        <f aca="false">1000*(E741-$E$215)/(B741-$B$215)</f>
        <v>12.9921479630641</v>
      </c>
      <c r="K741" s="732" t="n">
        <f aca="false">AVERAGE($E$216:E741)</f>
        <v>7.65001993245311</v>
      </c>
      <c r="L741" s="819" t="n">
        <f aca="false">L740+1</f>
        <v>526</v>
      </c>
      <c r="M741" s="820" t="n">
        <f aca="false">IF(B741&lt;$E$104,$E$105,$E$106)</f>
        <v>3</v>
      </c>
      <c r="N741" s="821" t="n">
        <f aca="false">IF(B741&lt;$E$104,$E$105,$E$111)</f>
        <v>2.5</v>
      </c>
      <c r="O741" s="822" t="n">
        <f aca="false">E741*$E$205*N741</f>
        <v>135.203617425741</v>
      </c>
      <c r="P741" s="823" t="n">
        <f aca="false">P740+O741</f>
        <v>52667.4613644355</v>
      </c>
      <c r="Q741" s="606" t="n">
        <f aca="false">Q740+1</f>
        <v>526</v>
      </c>
      <c r="R741" s="824" t="n">
        <f aca="false">R740-1</f>
        <v>-526</v>
      </c>
      <c r="S741" s="5"/>
      <c r="T741" s="5"/>
      <c r="U741" s="5"/>
      <c r="V741" s="10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02"/>
      <c r="AU741" s="502"/>
      <c r="AV741" s="606"/>
      <c r="AW741" s="502"/>
      <c r="AX741" s="502"/>
      <c r="AY741" s="502"/>
      <c r="AZ741" s="502"/>
      <c r="BA741" s="502"/>
      <c r="BB741" s="502"/>
      <c r="BC741" s="502"/>
      <c r="BD741" s="502"/>
      <c r="BE741" s="502"/>
      <c r="BF741" s="502"/>
      <c r="BG741" s="502"/>
      <c r="BH741" s="502"/>
      <c r="BI741" s="502"/>
      <c r="BJ741" s="502"/>
      <c r="BK741" s="502"/>
      <c r="BL741" s="502"/>
      <c r="BM741" s="502"/>
      <c r="BN741" s="502"/>
      <c r="BO741" s="502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</row>
    <row r="742" s="504" customFormat="true" ht="12.75" hidden="true" customHeight="true" outlineLevel="0" collapsed="false">
      <c r="A742" s="5"/>
      <c r="B742" s="813" t="n">
        <f aca="false">B741+1</f>
        <v>527</v>
      </c>
      <c r="C742" s="814" t="n">
        <f aca="false">C741+D742</f>
        <v>63301.338937782</v>
      </c>
      <c r="D742" s="815" t="n">
        <f aca="false">E742*$E$205*M742</f>
        <v>162.402020910889</v>
      </c>
      <c r="E742" s="601" t="n">
        <f aca="false">E741+$C$204</f>
        <v>10.2994686016546</v>
      </c>
      <c r="F742" s="816" t="n">
        <f aca="false">F741+1</f>
        <v>527</v>
      </c>
      <c r="G742" s="775" t="n">
        <f aca="false">C742</f>
        <v>63301.338937782</v>
      </c>
      <c r="H742" s="817" t="n">
        <f aca="false">1000*(E742-E741)</f>
        <v>9.99999999999979</v>
      </c>
      <c r="I742" s="5"/>
      <c r="J742" s="818" t="n">
        <f aca="false">1000*(E742-$E$215)/(B742-$B$215)</f>
        <v>12.9864702629445</v>
      </c>
      <c r="K742" s="732" t="n">
        <f aca="false">AVERAGE($E$216:E742)</f>
        <v>7.65504734928272</v>
      </c>
      <c r="L742" s="819" t="n">
        <f aca="false">L741+1</f>
        <v>527</v>
      </c>
      <c r="M742" s="820" t="n">
        <f aca="false">IF(B742&lt;$E$104,$E$105,$E$106)</f>
        <v>3</v>
      </c>
      <c r="N742" s="821" t="n">
        <f aca="false">IF(B742&lt;$E$104,$E$105,$E$111)</f>
        <v>2.5</v>
      </c>
      <c r="O742" s="822" t="n">
        <f aca="false">E742*$E$205*N742</f>
        <v>135.335017425741</v>
      </c>
      <c r="P742" s="823" t="n">
        <f aca="false">P741+O742</f>
        <v>52802.7963818612</v>
      </c>
      <c r="Q742" s="606" t="n">
        <f aca="false">Q741+1</f>
        <v>527</v>
      </c>
      <c r="R742" s="824" t="n">
        <f aca="false">R741-1</f>
        <v>-527</v>
      </c>
      <c r="S742" s="5"/>
      <c r="T742" s="5"/>
      <c r="U742" s="5"/>
      <c r="V742" s="10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02"/>
      <c r="AU742" s="502"/>
      <c r="AV742" s="606"/>
      <c r="AW742" s="502"/>
      <c r="AX742" s="502"/>
      <c r="AY742" s="502"/>
      <c r="AZ742" s="502"/>
      <c r="BA742" s="502"/>
      <c r="BB742" s="502"/>
      <c r="BC742" s="502"/>
      <c r="BD742" s="502"/>
      <c r="BE742" s="502"/>
      <c r="BF742" s="502"/>
      <c r="BG742" s="502"/>
      <c r="BH742" s="502"/>
      <c r="BI742" s="502"/>
      <c r="BJ742" s="502"/>
      <c r="BK742" s="502"/>
      <c r="BL742" s="502"/>
      <c r="BM742" s="502"/>
      <c r="BN742" s="502"/>
      <c r="BO742" s="502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</row>
    <row r="743" s="504" customFormat="true" ht="12.75" hidden="true" customHeight="true" outlineLevel="0" collapsed="false">
      <c r="A743" s="5"/>
      <c r="B743" s="813" t="n">
        <f aca="false">B742+1</f>
        <v>528</v>
      </c>
      <c r="C743" s="814" t="n">
        <f aca="false">C742+D743</f>
        <v>63463.8986386929</v>
      </c>
      <c r="D743" s="815" t="n">
        <f aca="false">E743*$E$205*M743</f>
        <v>162.559700910889</v>
      </c>
      <c r="E743" s="601" t="n">
        <f aca="false">E742+$C$204</f>
        <v>10.3094686016546</v>
      </c>
      <c r="F743" s="816" t="n">
        <f aca="false">F742+1</f>
        <v>528</v>
      </c>
      <c r="G743" s="775" t="n">
        <f aca="false">C743</f>
        <v>63463.8986386929</v>
      </c>
      <c r="H743" s="817" t="n">
        <f aca="false">1000*(E743-E742)</f>
        <v>9.99999999999979</v>
      </c>
      <c r="I743" s="5"/>
      <c r="J743" s="818" t="n">
        <f aca="false">1000*(E743-$E$215)/(B743-$B$215)</f>
        <v>12.9808140692646</v>
      </c>
      <c r="K743" s="732" t="n">
        <f aca="false">AVERAGE($E$216:E743)</f>
        <v>7.66007466226069</v>
      </c>
      <c r="L743" s="819" t="n">
        <f aca="false">L742+1</f>
        <v>528</v>
      </c>
      <c r="M743" s="820" t="n">
        <f aca="false">IF(B743&lt;$E$104,$E$105,$E$106)</f>
        <v>3</v>
      </c>
      <c r="N743" s="821" t="n">
        <f aca="false">IF(B743&lt;$E$104,$E$105,$E$111)</f>
        <v>2.5</v>
      </c>
      <c r="O743" s="822" t="n">
        <f aca="false">E743*$E$205*N743</f>
        <v>135.466417425741</v>
      </c>
      <c r="P743" s="823" t="n">
        <f aca="false">P742+O743</f>
        <v>52938.262799287</v>
      </c>
      <c r="Q743" s="606" t="n">
        <f aca="false">Q742+1</f>
        <v>528</v>
      </c>
      <c r="R743" s="824" t="n">
        <f aca="false">R742-1</f>
        <v>-528</v>
      </c>
      <c r="S743" s="5"/>
      <c r="T743" s="5"/>
      <c r="U743" s="5"/>
      <c r="V743" s="10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02"/>
      <c r="AU743" s="502"/>
      <c r="AV743" s="606"/>
      <c r="AW743" s="502"/>
      <c r="AX743" s="502"/>
      <c r="AY743" s="502"/>
      <c r="AZ743" s="502"/>
      <c r="BA743" s="502"/>
      <c r="BB743" s="502"/>
      <c r="BC743" s="502"/>
      <c r="BD743" s="502"/>
      <c r="BE743" s="502"/>
      <c r="BF743" s="502"/>
      <c r="BG743" s="502"/>
      <c r="BH743" s="502"/>
      <c r="BI743" s="502"/>
      <c r="BJ743" s="502"/>
      <c r="BK743" s="502"/>
      <c r="BL743" s="502"/>
      <c r="BM743" s="502"/>
      <c r="BN743" s="502"/>
      <c r="BO743" s="502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</row>
    <row r="744" s="504" customFormat="true" ht="12.75" hidden="true" customHeight="true" outlineLevel="0" collapsed="false">
      <c r="A744" s="5"/>
      <c r="B744" s="813" t="n">
        <f aca="false">B743+1</f>
        <v>529</v>
      </c>
      <c r="C744" s="814" t="n">
        <f aca="false">C743+D744</f>
        <v>63626.6160196038</v>
      </c>
      <c r="D744" s="815" t="n">
        <f aca="false">E744*$E$205*M744</f>
        <v>162.717380910889</v>
      </c>
      <c r="E744" s="601" t="n">
        <f aca="false">E743+$C$204</f>
        <v>10.3194686016546</v>
      </c>
      <c r="F744" s="816" t="n">
        <f aca="false">F743+1</f>
        <v>529</v>
      </c>
      <c r="G744" s="775" t="n">
        <f aca="false">C744</f>
        <v>63626.6160196038</v>
      </c>
      <c r="H744" s="817" t="n">
        <f aca="false">1000*(E744-E743)</f>
        <v>9.99999999999979</v>
      </c>
      <c r="I744" s="5"/>
      <c r="J744" s="818" t="n">
        <f aca="false">1000*(E744-$E$215)/(B744-$B$215)</f>
        <v>12.97517926006</v>
      </c>
      <c r="K744" s="732" t="n">
        <f aca="false">AVERAGE($E$216:E744)</f>
        <v>7.66510187197599</v>
      </c>
      <c r="L744" s="819" t="n">
        <f aca="false">L743+1</f>
        <v>529</v>
      </c>
      <c r="M744" s="820" t="n">
        <f aca="false">IF(B744&lt;$E$104,$E$105,$E$106)</f>
        <v>3</v>
      </c>
      <c r="N744" s="821" t="n">
        <f aca="false">IF(B744&lt;$E$104,$E$105,$E$111)</f>
        <v>2.5</v>
      </c>
      <c r="O744" s="822" t="n">
        <f aca="false">E744*$E$205*N744</f>
        <v>135.597817425741</v>
      </c>
      <c r="P744" s="823" t="n">
        <f aca="false">P743+O744</f>
        <v>53073.8606167127</v>
      </c>
      <c r="Q744" s="606" t="n">
        <f aca="false">Q743+1</f>
        <v>529</v>
      </c>
      <c r="R744" s="824" t="n">
        <f aca="false">R743-1</f>
        <v>-529</v>
      </c>
      <c r="S744" s="5"/>
      <c r="T744" s="5"/>
      <c r="U744" s="5"/>
      <c r="V744" s="10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02"/>
      <c r="AU744" s="502"/>
      <c r="AV744" s="606"/>
      <c r="AW744" s="502"/>
      <c r="AX744" s="502"/>
      <c r="AY744" s="502"/>
      <c r="AZ744" s="502"/>
      <c r="BA744" s="502"/>
      <c r="BB744" s="502"/>
      <c r="BC744" s="502"/>
      <c r="BD744" s="502"/>
      <c r="BE744" s="502"/>
      <c r="BF744" s="502"/>
      <c r="BG744" s="502"/>
      <c r="BH744" s="502"/>
      <c r="BI744" s="502"/>
      <c r="BJ744" s="502"/>
      <c r="BK744" s="502"/>
      <c r="BL744" s="502"/>
      <c r="BM744" s="502"/>
      <c r="BN744" s="502"/>
      <c r="BO744" s="502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</row>
    <row r="745" s="504" customFormat="true" ht="12.75" hidden="true" customHeight="true" outlineLevel="0" collapsed="false">
      <c r="A745" s="5"/>
      <c r="B745" s="813" t="n">
        <f aca="false">B744+1</f>
        <v>530</v>
      </c>
      <c r="C745" s="814" t="n">
        <f aca="false">C744+D745</f>
        <v>63789.4910805147</v>
      </c>
      <c r="D745" s="815" t="n">
        <f aca="false">E745*$E$205*M745</f>
        <v>162.875060910889</v>
      </c>
      <c r="E745" s="601" t="n">
        <f aca="false">E744+$C$204</f>
        <v>10.3294686016546</v>
      </c>
      <c r="F745" s="816" t="n">
        <f aca="false">F744+1</f>
        <v>530</v>
      </c>
      <c r="G745" s="775" t="n">
        <f aca="false">C745</f>
        <v>63789.4910805147</v>
      </c>
      <c r="H745" s="817" t="n">
        <f aca="false">1000*(E745-E744)</f>
        <v>9.99999999999979</v>
      </c>
      <c r="I745" s="5"/>
      <c r="J745" s="818" t="n">
        <f aca="false">1000*(E745-$E$215)/(B745-$B$215)</f>
        <v>12.9695657142863</v>
      </c>
      <c r="K745" s="732" t="n">
        <f aca="false">AVERAGE($E$216:E745)</f>
        <v>7.67012897901312</v>
      </c>
      <c r="L745" s="819" t="n">
        <f aca="false">L744+1</f>
        <v>530</v>
      </c>
      <c r="M745" s="820" t="n">
        <f aca="false">IF(B745&lt;$E$104,$E$105,$E$106)</f>
        <v>3</v>
      </c>
      <c r="N745" s="821" t="n">
        <f aca="false">IF(B745&lt;$E$104,$E$105,$E$111)</f>
        <v>2.5</v>
      </c>
      <c r="O745" s="822" t="n">
        <f aca="false">E745*$E$205*N745</f>
        <v>135.729217425741</v>
      </c>
      <c r="P745" s="823" t="n">
        <f aca="false">P744+O745</f>
        <v>53209.5898341384</v>
      </c>
      <c r="Q745" s="606" t="n">
        <f aca="false">Q744+1</f>
        <v>530</v>
      </c>
      <c r="R745" s="824" t="n">
        <f aca="false">R744-1</f>
        <v>-530</v>
      </c>
      <c r="S745" s="5"/>
      <c r="T745" s="5"/>
      <c r="U745" s="5"/>
      <c r="V745" s="10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02"/>
      <c r="AU745" s="502"/>
      <c r="AV745" s="606"/>
      <c r="AW745" s="502"/>
      <c r="AX745" s="502"/>
      <c r="AY745" s="502"/>
      <c r="AZ745" s="502"/>
      <c r="BA745" s="502"/>
      <c r="BB745" s="502"/>
      <c r="BC745" s="502"/>
      <c r="BD745" s="502"/>
      <c r="BE745" s="502"/>
      <c r="BF745" s="502"/>
      <c r="BG745" s="502"/>
      <c r="BH745" s="502"/>
      <c r="BI745" s="502"/>
      <c r="BJ745" s="502"/>
      <c r="BK745" s="502"/>
      <c r="BL745" s="502"/>
      <c r="BM745" s="502"/>
      <c r="BN745" s="502"/>
      <c r="BO745" s="502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</row>
    <row r="746" s="504" customFormat="true" ht="12.75" hidden="true" customHeight="true" outlineLevel="0" collapsed="false">
      <c r="A746" s="5"/>
      <c r="B746" s="813" t="n">
        <f aca="false">B745+1</f>
        <v>531</v>
      </c>
      <c r="C746" s="814" t="n">
        <f aca="false">C745+D746</f>
        <v>63952.5238214256</v>
      </c>
      <c r="D746" s="815" t="n">
        <f aca="false">E746*$E$205*M746</f>
        <v>163.032740910889</v>
      </c>
      <c r="E746" s="601" t="n">
        <f aca="false">E745+$C$204</f>
        <v>10.3394686016546</v>
      </c>
      <c r="F746" s="816" t="n">
        <f aca="false">F745+1</f>
        <v>531</v>
      </c>
      <c r="G746" s="775" t="n">
        <f aca="false">C746</f>
        <v>63952.5238214256</v>
      </c>
      <c r="H746" s="817" t="n">
        <f aca="false">1000*(E746-E745)</f>
        <v>9.99999999999979</v>
      </c>
      <c r="I746" s="5"/>
      <c r="J746" s="818" t="n">
        <f aca="false">1000*(E746-$E$215)/(B746-$B$215)</f>
        <v>12.9639733118112</v>
      </c>
      <c r="K746" s="732" t="n">
        <f aca="false">AVERAGE($E$216:E746)</f>
        <v>7.67515598395219</v>
      </c>
      <c r="L746" s="819" t="n">
        <f aca="false">L745+1</f>
        <v>531</v>
      </c>
      <c r="M746" s="820" t="n">
        <f aca="false">IF(B746&lt;$E$104,$E$105,$E$106)</f>
        <v>3</v>
      </c>
      <c r="N746" s="821" t="n">
        <f aca="false">IF(B746&lt;$E$104,$E$105,$E$111)</f>
        <v>2.5</v>
      </c>
      <c r="O746" s="822" t="n">
        <f aca="false">E746*$E$205*N746</f>
        <v>135.860617425741</v>
      </c>
      <c r="P746" s="823" t="n">
        <f aca="false">P745+O746</f>
        <v>53345.4504515642</v>
      </c>
      <c r="Q746" s="606" t="n">
        <f aca="false">Q745+1</f>
        <v>531</v>
      </c>
      <c r="R746" s="824" t="n">
        <f aca="false">R745-1</f>
        <v>-531</v>
      </c>
      <c r="S746" s="5"/>
      <c r="T746" s="5"/>
      <c r="U746" s="5"/>
      <c r="V746" s="10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02"/>
      <c r="AU746" s="502"/>
      <c r="AV746" s="606"/>
      <c r="AW746" s="502"/>
      <c r="AX746" s="502"/>
      <c r="AY746" s="502"/>
      <c r="AZ746" s="502"/>
      <c r="BA746" s="502"/>
      <c r="BB746" s="502"/>
      <c r="BC746" s="502"/>
      <c r="BD746" s="502"/>
      <c r="BE746" s="502"/>
      <c r="BF746" s="502"/>
      <c r="BG746" s="502"/>
      <c r="BH746" s="502"/>
      <c r="BI746" s="502"/>
      <c r="BJ746" s="502"/>
      <c r="BK746" s="502"/>
      <c r="BL746" s="502"/>
      <c r="BM746" s="502"/>
      <c r="BN746" s="502"/>
      <c r="BO746" s="502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</row>
    <row r="747" s="504" customFormat="true" ht="12.75" hidden="true" customHeight="true" outlineLevel="0" collapsed="false">
      <c r="A747" s="5"/>
      <c r="B747" s="813" t="n">
        <f aca="false">B746+1</f>
        <v>532</v>
      </c>
      <c r="C747" s="814" t="n">
        <f aca="false">C746+D747</f>
        <v>64115.7142423365</v>
      </c>
      <c r="D747" s="815" t="n">
        <f aca="false">E747*$E$205*M747</f>
        <v>163.190420910889</v>
      </c>
      <c r="E747" s="601" t="n">
        <f aca="false">E746+$C$204</f>
        <v>10.3494686016546</v>
      </c>
      <c r="F747" s="816" t="n">
        <f aca="false">F746+1</f>
        <v>532</v>
      </c>
      <c r="G747" s="775" t="n">
        <f aca="false">C747</f>
        <v>64115.7142423365</v>
      </c>
      <c r="H747" s="817" t="n">
        <f aca="false">1000*(E747-E746)</f>
        <v>9.99999999999979</v>
      </c>
      <c r="I747" s="5"/>
      <c r="J747" s="818" t="n">
        <f aca="false">1000*(E747-$E$215)/(B747-$B$215)</f>
        <v>12.9584019334055</v>
      </c>
      <c r="K747" s="732" t="n">
        <f aca="false">AVERAGE($E$216:E747)</f>
        <v>7.68018288736892</v>
      </c>
      <c r="L747" s="819" t="n">
        <f aca="false">L746+1</f>
        <v>532</v>
      </c>
      <c r="M747" s="820" t="n">
        <f aca="false">IF(B747&lt;$E$104,$E$105,$E$106)</f>
        <v>3</v>
      </c>
      <c r="N747" s="821" t="n">
        <f aca="false">IF(B747&lt;$E$104,$E$105,$E$111)</f>
        <v>2.5</v>
      </c>
      <c r="O747" s="822" t="n">
        <f aca="false">E747*$E$205*N747</f>
        <v>135.992017425741</v>
      </c>
      <c r="P747" s="823" t="n">
        <f aca="false">P746+O747</f>
        <v>53481.4424689899</v>
      </c>
      <c r="Q747" s="606" t="n">
        <f aca="false">Q746+1</f>
        <v>532</v>
      </c>
      <c r="R747" s="824" t="n">
        <f aca="false">R746-1</f>
        <v>-532</v>
      </c>
      <c r="S747" s="5"/>
      <c r="T747" s="5"/>
      <c r="U747" s="5"/>
      <c r="V747" s="10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02"/>
      <c r="AU747" s="502"/>
      <c r="AV747" s="606"/>
      <c r="AW747" s="502"/>
      <c r="AX747" s="502"/>
      <c r="AY747" s="502"/>
      <c r="AZ747" s="502"/>
      <c r="BA747" s="502"/>
      <c r="BB747" s="502"/>
      <c r="BC747" s="502"/>
      <c r="BD747" s="502"/>
      <c r="BE747" s="502"/>
      <c r="BF747" s="502"/>
      <c r="BG747" s="502"/>
      <c r="BH747" s="502"/>
      <c r="BI747" s="502"/>
      <c r="BJ747" s="502"/>
      <c r="BK747" s="502"/>
      <c r="BL747" s="502"/>
      <c r="BM747" s="502"/>
      <c r="BN747" s="502"/>
      <c r="BO747" s="502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</row>
    <row r="748" s="504" customFormat="true" ht="12.75" hidden="true" customHeight="true" outlineLevel="0" collapsed="false">
      <c r="A748" s="5"/>
      <c r="B748" s="813" t="n">
        <f aca="false">B747+1</f>
        <v>533</v>
      </c>
      <c r="C748" s="814" t="n">
        <f aca="false">C747+D748</f>
        <v>64279.0623432473</v>
      </c>
      <c r="D748" s="815" t="n">
        <f aca="false">E748*$E$205*M748</f>
        <v>163.348100910889</v>
      </c>
      <c r="E748" s="601" t="n">
        <f aca="false">E747+$C$204</f>
        <v>10.3594686016546</v>
      </c>
      <c r="F748" s="816" t="n">
        <f aca="false">F747+1</f>
        <v>533</v>
      </c>
      <c r="G748" s="775" t="n">
        <f aca="false">C748</f>
        <v>64279.0623432473</v>
      </c>
      <c r="H748" s="817" t="n">
        <f aca="false">1000*(E748-E747)</f>
        <v>9.99999999999979</v>
      </c>
      <c r="I748" s="5"/>
      <c r="J748" s="818" t="n">
        <f aca="false">1000*(E748-$E$215)/(B748-$B$215)</f>
        <v>12.952851460735</v>
      </c>
      <c r="K748" s="732" t="n">
        <f aca="false">AVERAGE($E$216:E748)</f>
        <v>7.68520968983475</v>
      </c>
      <c r="L748" s="819" t="n">
        <f aca="false">L747+1</f>
        <v>533</v>
      </c>
      <c r="M748" s="820" t="n">
        <f aca="false">IF(B748&lt;$E$104,$E$105,$E$106)</f>
        <v>3</v>
      </c>
      <c r="N748" s="821" t="n">
        <f aca="false">IF(B748&lt;$E$104,$E$105,$E$111)</f>
        <v>2.5</v>
      </c>
      <c r="O748" s="822" t="n">
        <f aca="false">E748*$E$205*N748</f>
        <v>136.123417425741</v>
      </c>
      <c r="P748" s="823" t="n">
        <f aca="false">P747+O748</f>
        <v>53617.5658864157</v>
      </c>
      <c r="Q748" s="606" t="n">
        <f aca="false">Q747+1</f>
        <v>533</v>
      </c>
      <c r="R748" s="824" t="n">
        <f aca="false">R747-1</f>
        <v>-533</v>
      </c>
      <c r="S748" s="5"/>
      <c r="T748" s="5"/>
      <c r="U748" s="5"/>
      <c r="V748" s="10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02"/>
      <c r="AU748" s="502"/>
      <c r="AV748" s="606"/>
      <c r="AW748" s="502"/>
      <c r="AX748" s="502"/>
      <c r="AY748" s="502"/>
      <c r="AZ748" s="502"/>
      <c r="BA748" s="502"/>
      <c r="BB748" s="502"/>
      <c r="BC748" s="502"/>
      <c r="BD748" s="502"/>
      <c r="BE748" s="502"/>
      <c r="BF748" s="502"/>
      <c r="BG748" s="502"/>
      <c r="BH748" s="502"/>
      <c r="BI748" s="502"/>
      <c r="BJ748" s="502"/>
      <c r="BK748" s="502"/>
      <c r="BL748" s="502"/>
      <c r="BM748" s="502"/>
      <c r="BN748" s="502"/>
      <c r="BO748" s="502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</row>
    <row r="749" s="504" customFormat="true" ht="12.75" hidden="true" customHeight="true" outlineLevel="0" collapsed="false">
      <c r="A749" s="5"/>
      <c r="B749" s="813" t="n">
        <f aca="false">B748+1</f>
        <v>534</v>
      </c>
      <c r="C749" s="814" t="n">
        <f aca="false">C748+D749</f>
        <v>64442.5681241582</v>
      </c>
      <c r="D749" s="815" t="n">
        <f aca="false">E749*$E$205*M749</f>
        <v>163.505780910889</v>
      </c>
      <c r="E749" s="601" t="n">
        <f aca="false">E748+$C$204</f>
        <v>10.3694686016546</v>
      </c>
      <c r="F749" s="816" t="n">
        <f aca="false">F748+1</f>
        <v>534</v>
      </c>
      <c r="G749" s="775" t="n">
        <f aca="false">C749</f>
        <v>64442.5681241582</v>
      </c>
      <c r="H749" s="817" t="n">
        <f aca="false">1000*(E749-E748)</f>
        <v>9.99999999999979</v>
      </c>
      <c r="I749" s="5"/>
      <c r="J749" s="818" t="n">
        <f aca="false">1000*(E749-$E$215)/(B749-$B$215)</f>
        <v>12.9473217763516</v>
      </c>
      <c r="K749" s="732" t="n">
        <f aca="false">AVERAGE($E$216:E749)</f>
        <v>7.69023639191681</v>
      </c>
      <c r="L749" s="819" t="n">
        <f aca="false">L748+1</f>
        <v>534</v>
      </c>
      <c r="M749" s="820" t="n">
        <f aca="false">IF(B749&lt;$E$104,$E$105,$E$106)</f>
        <v>3</v>
      </c>
      <c r="N749" s="821" t="n">
        <f aca="false">IF(B749&lt;$E$104,$E$105,$E$111)</f>
        <v>2.5</v>
      </c>
      <c r="O749" s="822" t="n">
        <f aca="false">E749*$E$205*N749</f>
        <v>136.254817425741</v>
      </c>
      <c r="P749" s="823" t="n">
        <f aca="false">P748+O749</f>
        <v>53753.8207038414</v>
      </c>
      <c r="Q749" s="606" t="n">
        <f aca="false">Q748+1</f>
        <v>534</v>
      </c>
      <c r="R749" s="824" t="n">
        <f aca="false">R748-1</f>
        <v>-534</v>
      </c>
      <c r="S749" s="5"/>
      <c r="T749" s="5"/>
      <c r="U749" s="5"/>
      <c r="V749" s="10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02"/>
      <c r="AU749" s="502"/>
      <c r="AV749" s="606"/>
      <c r="AW749" s="502"/>
      <c r="AX749" s="502"/>
      <c r="AY749" s="502"/>
      <c r="AZ749" s="502"/>
      <c r="BA749" s="502"/>
      <c r="BB749" s="502"/>
      <c r="BC749" s="502"/>
      <c r="BD749" s="502"/>
      <c r="BE749" s="502"/>
      <c r="BF749" s="502"/>
      <c r="BG749" s="502"/>
      <c r="BH749" s="502"/>
      <c r="BI749" s="502"/>
      <c r="BJ749" s="502"/>
      <c r="BK749" s="502"/>
      <c r="BL749" s="502"/>
      <c r="BM749" s="502"/>
      <c r="BN749" s="502"/>
      <c r="BO749" s="502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</row>
    <row r="750" s="504" customFormat="true" ht="12.75" hidden="true" customHeight="true" outlineLevel="0" collapsed="false">
      <c r="A750" s="5"/>
      <c r="B750" s="813" t="n">
        <f aca="false">B749+1</f>
        <v>535</v>
      </c>
      <c r="C750" s="814" t="n">
        <f aca="false">C749+D750</f>
        <v>64606.2315850691</v>
      </c>
      <c r="D750" s="815" t="n">
        <f aca="false">E750*$E$205*M750</f>
        <v>163.663460910889</v>
      </c>
      <c r="E750" s="601" t="n">
        <f aca="false">E749+$C$204</f>
        <v>10.3794686016546</v>
      </c>
      <c r="F750" s="816" t="n">
        <f aca="false">F749+1</f>
        <v>535</v>
      </c>
      <c r="G750" s="775" t="n">
        <f aca="false">C750</f>
        <v>64606.2315850691</v>
      </c>
      <c r="H750" s="817" t="n">
        <f aca="false">1000*(E750-E749)</f>
        <v>9.99999999999979</v>
      </c>
      <c r="I750" s="5"/>
      <c r="J750" s="818" t="n">
        <f aca="false">1000*(E750-$E$215)/(B750-$B$215)</f>
        <v>12.9418127636855</v>
      </c>
      <c r="K750" s="732" t="n">
        <f aca="false">AVERAGE($E$216:E750)</f>
        <v>7.695262994178</v>
      </c>
      <c r="L750" s="819" t="n">
        <f aca="false">L749+1</f>
        <v>535</v>
      </c>
      <c r="M750" s="820" t="n">
        <f aca="false">IF(B750&lt;$E$104,$E$105,$E$106)</f>
        <v>3</v>
      </c>
      <c r="N750" s="821" t="n">
        <f aca="false">IF(B750&lt;$E$104,$E$105,$E$111)</f>
        <v>2.5</v>
      </c>
      <c r="O750" s="822" t="n">
        <f aca="false">E750*$E$205*N750</f>
        <v>136.386217425741</v>
      </c>
      <c r="P750" s="823" t="n">
        <f aca="false">P749+O750</f>
        <v>53890.2069212671</v>
      </c>
      <c r="Q750" s="606" t="n">
        <f aca="false">Q749+1</f>
        <v>535</v>
      </c>
      <c r="R750" s="824" t="n">
        <f aca="false">R749-1</f>
        <v>-535</v>
      </c>
      <c r="S750" s="5"/>
      <c r="T750" s="5"/>
      <c r="U750" s="5"/>
      <c r="V750" s="10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02"/>
      <c r="AU750" s="502"/>
      <c r="AV750" s="606"/>
      <c r="AW750" s="502"/>
      <c r="AX750" s="502"/>
      <c r="AY750" s="502"/>
      <c r="AZ750" s="502"/>
      <c r="BA750" s="502"/>
      <c r="BB750" s="502"/>
      <c r="BC750" s="502"/>
      <c r="BD750" s="502"/>
      <c r="BE750" s="502"/>
      <c r="BF750" s="502"/>
      <c r="BG750" s="502"/>
      <c r="BH750" s="502"/>
      <c r="BI750" s="502"/>
      <c r="BJ750" s="502"/>
      <c r="BK750" s="502"/>
      <c r="BL750" s="502"/>
      <c r="BM750" s="502"/>
      <c r="BN750" s="502"/>
      <c r="BO750" s="502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</row>
    <row r="751" s="504" customFormat="true" ht="12.75" hidden="true" customHeight="true" outlineLevel="0" collapsed="false">
      <c r="A751" s="5"/>
      <c r="B751" s="813" t="n">
        <f aca="false">B750+1</f>
        <v>536</v>
      </c>
      <c r="C751" s="814" t="n">
        <f aca="false">C750+D751</f>
        <v>64770.05272598</v>
      </c>
      <c r="D751" s="815" t="n">
        <f aca="false">E751*$E$205*M751</f>
        <v>163.821140910889</v>
      </c>
      <c r="E751" s="601" t="n">
        <f aca="false">E750+$C$204</f>
        <v>10.3894686016546</v>
      </c>
      <c r="F751" s="816" t="n">
        <f aca="false">F750+1</f>
        <v>536</v>
      </c>
      <c r="G751" s="775" t="n">
        <f aca="false">C751</f>
        <v>64770.05272598</v>
      </c>
      <c r="H751" s="817" t="n">
        <f aca="false">1000*(E751-E750)</f>
        <v>9.99999999999979</v>
      </c>
      <c r="I751" s="5"/>
      <c r="J751" s="818" t="n">
        <f aca="false">1000*(E751-$E$215)/(B751-$B$215)</f>
        <v>12.9363243070368</v>
      </c>
      <c r="K751" s="732" t="n">
        <f aca="false">AVERAGE($E$216:E751)</f>
        <v>7.70028949717702</v>
      </c>
      <c r="L751" s="819" t="n">
        <f aca="false">L750+1</f>
        <v>536</v>
      </c>
      <c r="M751" s="820" t="n">
        <f aca="false">IF(B751&lt;$E$104,$E$105,$E$106)</f>
        <v>3</v>
      </c>
      <c r="N751" s="821" t="n">
        <f aca="false">IF(B751&lt;$E$104,$E$105,$E$111)</f>
        <v>2.5</v>
      </c>
      <c r="O751" s="822" t="n">
        <f aca="false">E751*$E$205*N751</f>
        <v>136.517617425741</v>
      </c>
      <c r="P751" s="823" t="n">
        <f aca="false">P750+O751</f>
        <v>54026.7245386929</v>
      </c>
      <c r="Q751" s="606" t="n">
        <f aca="false">Q750+1</f>
        <v>536</v>
      </c>
      <c r="R751" s="824" t="n">
        <f aca="false">R750-1</f>
        <v>-536</v>
      </c>
      <c r="S751" s="5"/>
      <c r="T751" s="5"/>
      <c r="U751" s="5"/>
      <c r="V751" s="10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02"/>
      <c r="AU751" s="502"/>
      <c r="AV751" s="606"/>
      <c r="AW751" s="502"/>
      <c r="AX751" s="502"/>
      <c r="AY751" s="502"/>
      <c r="AZ751" s="502"/>
      <c r="BA751" s="502"/>
      <c r="BB751" s="502"/>
      <c r="BC751" s="502"/>
      <c r="BD751" s="502"/>
      <c r="BE751" s="502"/>
      <c r="BF751" s="502"/>
      <c r="BG751" s="502"/>
      <c r="BH751" s="502"/>
      <c r="BI751" s="502"/>
      <c r="BJ751" s="502"/>
      <c r="BK751" s="502"/>
      <c r="BL751" s="502"/>
      <c r="BM751" s="502"/>
      <c r="BN751" s="502"/>
      <c r="BO751" s="502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</row>
    <row r="752" s="504" customFormat="true" ht="12.75" hidden="true" customHeight="true" outlineLevel="0" collapsed="false">
      <c r="A752" s="5"/>
      <c r="B752" s="813" t="n">
        <f aca="false">B751+1</f>
        <v>537</v>
      </c>
      <c r="C752" s="814" t="n">
        <f aca="false">C751+D752</f>
        <v>64934.0315468909</v>
      </c>
      <c r="D752" s="815" t="n">
        <f aca="false">E752*$E$205*M752</f>
        <v>163.978820910889</v>
      </c>
      <c r="E752" s="601" t="n">
        <f aca="false">E751+$C$204</f>
        <v>10.3994686016546</v>
      </c>
      <c r="F752" s="816" t="n">
        <f aca="false">F751+1</f>
        <v>537</v>
      </c>
      <c r="G752" s="775" t="n">
        <f aca="false">C752</f>
        <v>64934.0315468909</v>
      </c>
      <c r="H752" s="817" t="n">
        <f aca="false">1000*(E752-E751)</f>
        <v>9.99999999999979</v>
      </c>
      <c r="I752" s="5"/>
      <c r="J752" s="818" t="n">
        <f aca="false">1000*(E752-$E$215)/(B752-$B$215)</f>
        <v>12.9308562915675</v>
      </c>
      <c r="K752" s="732" t="n">
        <f aca="false">AVERAGE($E$216:E752)</f>
        <v>7.70531590146841</v>
      </c>
      <c r="L752" s="819" t="n">
        <f aca="false">L751+1</f>
        <v>537</v>
      </c>
      <c r="M752" s="820" t="n">
        <f aca="false">IF(B752&lt;$E$104,$E$105,$E$106)</f>
        <v>3</v>
      </c>
      <c r="N752" s="821" t="n">
        <f aca="false">IF(B752&lt;$E$104,$E$105,$E$111)</f>
        <v>2.5</v>
      </c>
      <c r="O752" s="822" t="n">
        <f aca="false">E752*$E$205*N752</f>
        <v>136.649017425741</v>
      </c>
      <c r="P752" s="823" t="n">
        <f aca="false">P751+O752</f>
        <v>54163.3735561186</v>
      </c>
      <c r="Q752" s="606" t="n">
        <f aca="false">Q751+1</f>
        <v>537</v>
      </c>
      <c r="R752" s="824" t="n">
        <f aca="false">R751-1</f>
        <v>-537</v>
      </c>
      <c r="S752" s="5"/>
      <c r="T752" s="5"/>
      <c r="U752" s="5"/>
      <c r="V752" s="10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02"/>
      <c r="AU752" s="502"/>
      <c r="AV752" s="606"/>
      <c r="AW752" s="502"/>
      <c r="AX752" s="502"/>
      <c r="AY752" s="502"/>
      <c r="AZ752" s="502"/>
      <c r="BA752" s="502"/>
      <c r="BB752" s="502"/>
      <c r="BC752" s="502"/>
      <c r="BD752" s="502"/>
      <c r="BE752" s="502"/>
      <c r="BF752" s="502"/>
      <c r="BG752" s="502"/>
      <c r="BH752" s="502"/>
      <c r="BI752" s="502"/>
      <c r="BJ752" s="502"/>
      <c r="BK752" s="502"/>
      <c r="BL752" s="502"/>
      <c r="BM752" s="502"/>
      <c r="BN752" s="502"/>
      <c r="BO752" s="502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</row>
    <row r="753" s="504" customFormat="true" ht="12.75" hidden="true" customHeight="true" outlineLevel="0" collapsed="false">
      <c r="A753" s="5"/>
      <c r="B753" s="813" t="n">
        <f aca="false">B752+1</f>
        <v>538</v>
      </c>
      <c r="C753" s="814" t="n">
        <f aca="false">C752+D753</f>
        <v>65098.1680478018</v>
      </c>
      <c r="D753" s="815" t="n">
        <f aca="false">E753*$E$205*M753</f>
        <v>164.136500910889</v>
      </c>
      <c r="E753" s="601" t="n">
        <f aca="false">E752+$C$204</f>
        <v>10.4094686016546</v>
      </c>
      <c r="F753" s="816" t="n">
        <f aca="false">F752+1</f>
        <v>538</v>
      </c>
      <c r="G753" s="775" t="n">
        <f aca="false">C753</f>
        <v>65098.1680478018</v>
      </c>
      <c r="H753" s="817" t="n">
        <f aca="false">1000*(E753-E752)</f>
        <v>9.99999999999979</v>
      </c>
      <c r="I753" s="5"/>
      <c r="J753" s="818" t="n">
        <f aca="false">1000*(E753-$E$215)/(B753-$B$215)</f>
        <v>12.9254086032932</v>
      </c>
      <c r="K753" s="732" t="n">
        <f aca="false">AVERAGE($E$216:E753)</f>
        <v>7.71034220760259</v>
      </c>
      <c r="L753" s="819" t="n">
        <f aca="false">L752+1</f>
        <v>538</v>
      </c>
      <c r="M753" s="820" t="n">
        <f aca="false">IF(B753&lt;$E$104,$E$105,$E$106)</f>
        <v>3</v>
      </c>
      <c r="N753" s="821" t="n">
        <f aca="false">IF(B753&lt;$E$104,$E$105,$E$111)</f>
        <v>2.5</v>
      </c>
      <c r="O753" s="822" t="n">
        <f aca="false">E753*$E$205*N753</f>
        <v>136.780417425741</v>
      </c>
      <c r="P753" s="823" t="n">
        <f aca="false">P752+O753</f>
        <v>54300.1539735444</v>
      </c>
      <c r="Q753" s="606" t="n">
        <f aca="false">Q752+1</f>
        <v>538</v>
      </c>
      <c r="R753" s="824" t="n">
        <f aca="false">R752-1</f>
        <v>-538</v>
      </c>
      <c r="S753" s="5"/>
      <c r="T753" s="5"/>
      <c r="U753" s="5"/>
      <c r="V753" s="10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02"/>
      <c r="AU753" s="502"/>
      <c r="AV753" s="606"/>
      <c r="AW753" s="502"/>
      <c r="AX753" s="502"/>
      <c r="AY753" s="502"/>
      <c r="AZ753" s="502"/>
      <c r="BA753" s="502"/>
      <c r="BB753" s="502"/>
      <c r="BC753" s="502"/>
      <c r="BD753" s="502"/>
      <c r="BE753" s="502"/>
      <c r="BF753" s="502"/>
      <c r="BG753" s="502"/>
      <c r="BH753" s="502"/>
      <c r="BI753" s="502"/>
      <c r="BJ753" s="502"/>
      <c r="BK753" s="502"/>
      <c r="BL753" s="502"/>
      <c r="BM753" s="502"/>
      <c r="BN753" s="502"/>
      <c r="BO753" s="502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</row>
    <row r="754" s="504" customFormat="true" ht="12.75" hidden="true" customHeight="true" outlineLevel="0" collapsed="false">
      <c r="A754" s="5"/>
      <c r="B754" s="813" t="n">
        <f aca="false">B753+1</f>
        <v>539</v>
      </c>
      <c r="C754" s="814" t="n">
        <f aca="false">C753+D754</f>
        <v>65262.4622287127</v>
      </c>
      <c r="D754" s="815" t="n">
        <f aca="false">E754*$E$205*M754</f>
        <v>164.294180910889</v>
      </c>
      <c r="E754" s="601" t="n">
        <f aca="false">E753+$C$204</f>
        <v>10.4194686016546</v>
      </c>
      <c r="F754" s="816" t="n">
        <f aca="false">F753+1</f>
        <v>539</v>
      </c>
      <c r="G754" s="775" t="n">
        <f aca="false">C754</f>
        <v>65262.4622287127</v>
      </c>
      <c r="H754" s="817" t="n">
        <f aca="false">1000*(E754-E753)</f>
        <v>9.99999999999979</v>
      </c>
      <c r="I754" s="5"/>
      <c r="J754" s="818" t="n">
        <f aca="false">1000*(E754-$E$215)/(B754-$B$215)</f>
        <v>12.9199811290756</v>
      </c>
      <c r="K754" s="732" t="n">
        <f aca="false">AVERAGE($E$216:E754)</f>
        <v>7.71536841612588</v>
      </c>
      <c r="L754" s="819" t="n">
        <f aca="false">L753+1</f>
        <v>539</v>
      </c>
      <c r="M754" s="820" t="n">
        <f aca="false">IF(B754&lt;$E$104,$E$105,$E$106)</f>
        <v>3</v>
      </c>
      <c r="N754" s="821" t="n">
        <f aca="false">IF(B754&lt;$E$104,$E$105,$E$111)</f>
        <v>2.5</v>
      </c>
      <c r="O754" s="822" t="n">
        <f aca="false">E754*$E$205*N754</f>
        <v>136.911817425741</v>
      </c>
      <c r="P754" s="823" t="n">
        <f aca="false">P753+O754</f>
        <v>54437.0657909701</v>
      </c>
      <c r="Q754" s="606" t="n">
        <f aca="false">Q753+1</f>
        <v>539</v>
      </c>
      <c r="R754" s="824" t="n">
        <f aca="false">R753-1</f>
        <v>-539</v>
      </c>
      <c r="S754" s="5"/>
      <c r="T754" s="5"/>
      <c r="U754" s="5"/>
      <c r="V754" s="10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02"/>
      <c r="AU754" s="502"/>
      <c r="AV754" s="606"/>
      <c r="AW754" s="502"/>
      <c r="AX754" s="502"/>
      <c r="AY754" s="502"/>
      <c r="AZ754" s="502"/>
      <c r="BA754" s="502"/>
      <c r="BB754" s="502"/>
      <c r="BC754" s="502"/>
      <c r="BD754" s="502"/>
      <c r="BE754" s="502"/>
      <c r="BF754" s="502"/>
      <c r="BG754" s="502"/>
      <c r="BH754" s="502"/>
      <c r="BI754" s="502"/>
      <c r="BJ754" s="502"/>
      <c r="BK754" s="502"/>
      <c r="BL754" s="502"/>
      <c r="BM754" s="502"/>
      <c r="BN754" s="502"/>
      <c r="BO754" s="502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</row>
    <row r="755" s="504" customFormat="true" ht="12.75" hidden="true" customHeight="true" outlineLevel="0" collapsed="false">
      <c r="A755" s="5"/>
      <c r="B755" s="813" t="n">
        <f aca="false">B754+1</f>
        <v>540</v>
      </c>
      <c r="C755" s="814" t="n">
        <f aca="false">C754+D755</f>
        <v>65426.9140896236</v>
      </c>
      <c r="D755" s="815" t="n">
        <f aca="false">E755*$E$205*M755</f>
        <v>164.451860910889</v>
      </c>
      <c r="E755" s="601" t="n">
        <f aca="false">E754+$C$204</f>
        <v>10.4294686016546</v>
      </c>
      <c r="F755" s="816" t="n">
        <f aca="false">F754+1</f>
        <v>540</v>
      </c>
      <c r="G755" s="775" t="n">
        <f aca="false">C755</f>
        <v>65426.9140896236</v>
      </c>
      <c r="H755" s="817" t="n">
        <f aca="false">1000*(E755-E754)</f>
        <v>9.99999999999979</v>
      </c>
      <c r="I755" s="5"/>
      <c r="J755" s="818" t="n">
        <f aca="false">1000*(E755-$E$215)/(B755-$B$215)</f>
        <v>12.9145737566143</v>
      </c>
      <c r="K755" s="732" t="n">
        <f aca="false">AVERAGE($E$216:E755)</f>
        <v>7.72039452758056</v>
      </c>
      <c r="L755" s="819" t="n">
        <f aca="false">L754+1</f>
        <v>540</v>
      </c>
      <c r="M755" s="820" t="n">
        <f aca="false">IF(B755&lt;$E$104,$E$105,$E$106)</f>
        <v>3</v>
      </c>
      <c r="N755" s="821" t="n">
        <f aca="false">IF(B755&lt;$E$104,$E$105,$E$111)</f>
        <v>2.5</v>
      </c>
      <c r="O755" s="822" t="n">
        <f aca="false">E755*$E$205*N755</f>
        <v>137.043217425741</v>
      </c>
      <c r="P755" s="823" t="n">
        <f aca="false">P754+O755</f>
        <v>54574.1090083959</v>
      </c>
      <c r="Q755" s="606" t="n">
        <f aca="false">Q754+1</f>
        <v>540</v>
      </c>
      <c r="R755" s="824" t="n">
        <f aca="false">R754-1</f>
        <v>-540</v>
      </c>
      <c r="S755" s="5"/>
      <c r="T755" s="5"/>
      <c r="U755" s="5"/>
      <c r="V755" s="10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02"/>
      <c r="AU755" s="502"/>
      <c r="AV755" s="606"/>
      <c r="AW755" s="502"/>
      <c r="AX755" s="502"/>
      <c r="AY755" s="502"/>
      <c r="AZ755" s="502"/>
      <c r="BA755" s="502"/>
      <c r="BB755" s="502"/>
      <c r="BC755" s="502"/>
      <c r="BD755" s="502"/>
      <c r="BE755" s="502"/>
      <c r="BF755" s="502"/>
      <c r="BG755" s="502"/>
      <c r="BH755" s="502"/>
      <c r="BI755" s="502"/>
      <c r="BJ755" s="502"/>
      <c r="BK755" s="502"/>
      <c r="BL755" s="502"/>
      <c r="BM755" s="502"/>
      <c r="BN755" s="502"/>
      <c r="BO755" s="502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</row>
    <row r="756" s="504" customFormat="true" ht="12.75" hidden="true" customHeight="true" outlineLevel="0" collapsed="false">
      <c r="A756" s="5"/>
      <c r="B756" s="813" t="n">
        <f aca="false">B755+1</f>
        <v>541</v>
      </c>
      <c r="C756" s="814" t="n">
        <f aca="false">C755+D756</f>
        <v>65591.5236305345</v>
      </c>
      <c r="D756" s="815" t="n">
        <f aca="false">E756*$E$205*M756</f>
        <v>164.609540910889</v>
      </c>
      <c r="E756" s="601" t="n">
        <f aca="false">E755+$C$204</f>
        <v>10.4394686016546</v>
      </c>
      <c r="F756" s="816" t="n">
        <f aca="false">F755+1</f>
        <v>541</v>
      </c>
      <c r="G756" s="775" t="n">
        <f aca="false">C756</f>
        <v>65591.5236305345</v>
      </c>
      <c r="H756" s="817" t="n">
        <f aca="false">1000*(E756-E755)</f>
        <v>9.99999999999979</v>
      </c>
      <c r="I756" s="5"/>
      <c r="J756" s="818" t="n">
        <f aca="false">1000*(E756-$E$215)/(B756-$B$215)</f>
        <v>12.9091863744394</v>
      </c>
      <c r="K756" s="732" t="n">
        <f aca="false">AVERAGE($E$216:E756)</f>
        <v>7.72542054250491</v>
      </c>
      <c r="L756" s="819" t="n">
        <f aca="false">L755+1</f>
        <v>541</v>
      </c>
      <c r="M756" s="820" t="n">
        <f aca="false">IF(B756&lt;$E$104,$E$105,$E$106)</f>
        <v>3</v>
      </c>
      <c r="N756" s="821" t="n">
        <f aca="false">IF(B756&lt;$E$104,$E$105,$E$111)</f>
        <v>2.5</v>
      </c>
      <c r="O756" s="822" t="n">
        <f aca="false">E756*$E$205*N756</f>
        <v>137.174617425741</v>
      </c>
      <c r="P756" s="823" t="n">
        <f aca="false">P755+O756</f>
        <v>54711.2836258216</v>
      </c>
      <c r="Q756" s="606" t="n">
        <f aca="false">Q755+1</f>
        <v>541</v>
      </c>
      <c r="R756" s="824" t="n">
        <f aca="false">R755-1</f>
        <v>-541</v>
      </c>
      <c r="S756" s="5"/>
      <c r="T756" s="5"/>
      <c r="U756" s="5"/>
      <c r="V756" s="10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02"/>
      <c r="AU756" s="502"/>
      <c r="AV756" s="606"/>
      <c r="AW756" s="502"/>
      <c r="AX756" s="502"/>
      <c r="AY756" s="502"/>
      <c r="AZ756" s="502"/>
      <c r="BA756" s="502"/>
      <c r="BB756" s="502"/>
      <c r="BC756" s="502"/>
      <c r="BD756" s="502"/>
      <c r="BE756" s="502"/>
      <c r="BF756" s="502"/>
      <c r="BG756" s="502"/>
      <c r="BH756" s="502"/>
      <c r="BI756" s="502"/>
      <c r="BJ756" s="502"/>
      <c r="BK756" s="502"/>
      <c r="BL756" s="502"/>
      <c r="BM756" s="502"/>
      <c r="BN756" s="502"/>
      <c r="BO756" s="502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</row>
    <row r="757" s="504" customFormat="true" ht="12.75" hidden="true" customHeight="true" outlineLevel="0" collapsed="false">
      <c r="A757" s="5"/>
      <c r="B757" s="813" t="n">
        <f aca="false">B756+1</f>
        <v>542</v>
      </c>
      <c r="C757" s="814" t="n">
        <f aca="false">C756+D757</f>
        <v>65756.2908514454</v>
      </c>
      <c r="D757" s="815" t="n">
        <f aca="false">E757*$E$205*M757</f>
        <v>164.767220910889</v>
      </c>
      <c r="E757" s="601" t="n">
        <f aca="false">E756+$C$204</f>
        <v>10.4494686016546</v>
      </c>
      <c r="F757" s="816" t="n">
        <f aca="false">F756+1</f>
        <v>542</v>
      </c>
      <c r="G757" s="775" t="n">
        <f aca="false">C757</f>
        <v>65756.2908514454</v>
      </c>
      <c r="H757" s="817" t="n">
        <f aca="false">1000*(E757-E756)</f>
        <v>9.99999999999979</v>
      </c>
      <c r="I757" s="5"/>
      <c r="J757" s="818" t="n">
        <f aca="false">1000*(E757-$E$215)/(B757-$B$215)</f>
        <v>12.9038188719036</v>
      </c>
      <c r="K757" s="732" t="n">
        <f aca="false">AVERAGE($E$216:E757)</f>
        <v>7.73044646143323</v>
      </c>
      <c r="L757" s="819" t="n">
        <f aca="false">L756+1</f>
        <v>542</v>
      </c>
      <c r="M757" s="820" t="n">
        <f aca="false">IF(B757&lt;$E$104,$E$105,$E$106)</f>
        <v>3</v>
      </c>
      <c r="N757" s="821" t="n">
        <f aca="false">IF(B757&lt;$E$104,$E$105,$E$111)</f>
        <v>2.5</v>
      </c>
      <c r="O757" s="822" t="n">
        <f aca="false">E757*$E$205*N757</f>
        <v>137.306017425741</v>
      </c>
      <c r="P757" s="823" t="n">
        <f aca="false">P756+O757</f>
        <v>54848.5896432473</v>
      </c>
      <c r="Q757" s="606" t="n">
        <f aca="false">Q756+1</f>
        <v>542</v>
      </c>
      <c r="R757" s="824" t="n">
        <f aca="false">R756-1</f>
        <v>-542</v>
      </c>
      <c r="S757" s="5"/>
      <c r="T757" s="5"/>
      <c r="U757" s="5"/>
      <c r="V757" s="10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02"/>
      <c r="AU757" s="502"/>
      <c r="AV757" s="606"/>
      <c r="AW757" s="502"/>
      <c r="AX757" s="502"/>
      <c r="AY757" s="502"/>
      <c r="AZ757" s="502"/>
      <c r="BA757" s="502"/>
      <c r="BB757" s="502"/>
      <c r="BC757" s="502"/>
      <c r="BD757" s="502"/>
      <c r="BE757" s="502"/>
      <c r="BF757" s="502"/>
      <c r="BG757" s="502"/>
      <c r="BH757" s="502"/>
      <c r="BI757" s="502"/>
      <c r="BJ757" s="502"/>
      <c r="BK757" s="502"/>
      <c r="BL757" s="502"/>
      <c r="BM757" s="502"/>
      <c r="BN757" s="502"/>
      <c r="BO757" s="502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</row>
    <row r="758" s="504" customFormat="true" ht="12.75" hidden="true" customHeight="true" outlineLevel="0" collapsed="false">
      <c r="A758" s="5"/>
      <c r="B758" s="813" t="n">
        <f aca="false">B757+1</f>
        <v>543</v>
      </c>
      <c r="C758" s="814" t="n">
        <f aca="false">C757+D758</f>
        <v>65921.2157523563</v>
      </c>
      <c r="D758" s="815" t="n">
        <f aca="false">E758*$E$205*M758</f>
        <v>164.924900910889</v>
      </c>
      <c r="E758" s="601" t="n">
        <f aca="false">E757+$C$204</f>
        <v>10.4594686016546</v>
      </c>
      <c r="F758" s="816" t="n">
        <f aca="false">F757+1</f>
        <v>543</v>
      </c>
      <c r="G758" s="775" t="n">
        <f aca="false">C758</f>
        <v>65921.2157523563</v>
      </c>
      <c r="H758" s="817" t="n">
        <f aca="false">1000*(E758-E757)</f>
        <v>9.99999999999979</v>
      </c>
      <c r="I758" s="5"/>
      <c r="J758" s="818" t="n">
        <f aca="false">1000*(E758-$E$215)/(B758-$B$215)</f>
        <v>12.8984711391745</v>
      </c>
      <c r="K758" s="732" t="n">
        <f aca="false">AVERAGE($E$216:E758)</f>
        <v>7.73547228489588</v>
      </c>
      <c r="L758" s="819" t="n">
        <f aca="false">L757+1</f>
        <v>543</v>
      </c>
      <c r="M758" s="820" t="n">
        <f aca="false">IF(B758&lt;$E$104,$E$105,$E$106)</f>
        <v>3</v>
      </c>
      <c r="N758" s="821" t="n">
        <f aca="false">IF(B758&lt;$E$104,$E$105,$E$111)</f>
        <v>2.5</v>
      </c>
      <c r="O758" s="822" t="n">
        <f aca="false">E758*$E$205*N758</f>
        <v>137.437417425741</v>
      </c>
      <c r="P758" s="823" t="n">
        <f aca="false">P757+O758</f>
        <v>54986.0270606731</v>
      </c>
      <c r="Q758" s="606" t="n">
        <f aca="false">Q757+1</f>
        <v>543</v>
      </c>
      <c r="R758" s="824" t="n">
        <f aca="false">R757-1</f>
        <v>-543</v>
      </c>
      <c r="S758" s="5"/>
      <c r="T758" s="5"/>
      <c r="U758" s="5"/>
      <c r="V758" s="10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02"/>
      <c r="AU758" s="502"/>
      <c r="AV758" s="606"/>
      <c r="AW758" s="502"/>
      <c r="AX758" s="502"/>
      <c r="AY758" s="502"/>
      <c r="AZ758" s="502"/>
      <c r="BA758" s="502"/>
      <c r="BB758" s="502"/>
      <c r="BC758" s="502"/>
      <c r="BD758" s="502"/>
      <c r="BE758" s="502"/>
      <c r="BF758" s="502"/>
      <c r="BG758" s="502"/>
      <c r="BH758" s="502"/>
      <c r="BI758" s="502"/>
      <c r="BJ758" s="502"/>
      <c r="BK758" s="502"/>
      <c r="BL758" s="502"/>
      <c r="BM758" s="502"/>
      <c r="BN758" s="502"/>
      <c r="BO758" s="502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</row>
    <row r="759" s="504" customFormat="true" ht="12.75" hidden="true" customHeight="true" outlineLevel="0" collapsed="false">
      <c r="A759" s="5"/>
      <c r="B759" s="813" t="n">
        <f aca="false">B758+1</f>
        <v>544</v>
      </c>
      <c r="C759" s="814" t="n">
        <f aca="false">C758+D759</f>
        <v>66086.2983332671</v>
      </c>
      <c r="D759" s="815" t="n">
        <f aca="false">E759*$E$205*M759</f>
        <v>165.082580910889</v>
      </c>
      <c r="E759" s="601" t="n">
        <f aca="false">E758+$C$204</f>
        <v>10.4694686016546</v>
      </c>
      <c r="F759" s="816" t="n">
        <f aca="false">F758+1</f>
        <v>544</v>
      </c>
      <c r="G759" s="775" t="n">
        <f aca="false">C759</f>
        <v>66086.2983332671</v>
      </c>
      <c r="H759" s="817" t="n">
        <f aca="false">1000*(E759-E758)</f>
        <v>9.99999999999979</v>
      </c>
      <c r="I759" s="5"/>
      <c r="J759" s="818" t="n">
        <f aca="false">1000*(E759-$E$215)/(B759-$B$215)</f>
        <v>12.8931430672274</v>
      </c>
      <c r="K759" s="732" t="n">
        <f aca="false">AVERAGE($E$216:E759)</f>
        <v>7.74049801341934</v>
      </c>
      <c r="L759" s="819" t="n">
        <f aca="false">L758+1</f>
        <v>544</v>
      </c>
      <c r="M759" s="820" t="n">
        <f aca="false">IF(B759&lt;$E$104,$E$105,$E$106)</f>
        <v>3</v>
      </c>
      <c r="N759" s="821" t="n">
        <f aca="false">IF(B759&lt;$E$104,$E$105,$E$111)</f>
        <v>2.5</v>
      </c>
      <c r="O759" s="822" t="n">
        <f aca="false">E759*$E$205*N759</f>
        <v>137.568817425741</v>
      </c>
      <c r="P759" s="823" t="n">
        <f aca="false">P758+O759</f>
        <v>55123.5958780988</v>
      </c>
      <c r="Q759" s="606" t="n">
        <f aca="false">Q758+1</f>
        <v>544</v>
      </c>
      <c r="R759" s="824" t="n">
        <f aca="false">R758-1</f>
        <v>-544</v>
      </c>
      <c r="S759" s="5"/>
      <c r="T759" s="5"/>
      <c r="U759" s="5"/>
      <c r="V759" s="10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02"/>
      <c r="AU759" s="502"/>
      <c r="AV759" s="606"/>
      <c r="AW759" s="502"/>
      <c r="AX759" s="502"/>
      <c r="AY759" s="502"/>
      <c r="AZ759" s="502"/>
      <c r="BA759" s="502"/>
      <c r="BB759" s="502"/>
      <c r="BC759" s="502"/>
      <c r="BD759" s="502"/>
      <c r="BE759" s="502"/>
      <c r="BF759" s="502"/>
      <c r="BG759" s="502"/>
      <c r="BH759" s="502"/>
      <c r="BI759" s="502"/>
      <c r="BJ759" s="502"/>
      <c r="BK759" s="502"/>
      <c r="BL759" s="502"/>
      <c r="BM759" s="502"/>
      <c r="BN759" s="502"/>
      <c r="BO759" s="502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</row>
    <row r="760" s="504" customFormat="true" ht="12.75" hidden="true" customHeight="true" outlineLevel="0" collapsed="false">
      <c r="A760" s="5"/>
      <c r="B760" s="813" t="n">
        <f aca="false">B759+1</f>
        <v>545</v>
      </c>
      <c r="C760" s="814" t="n">
        <f aca="false">C759+D760</f>
        <v>66251.538594178</v>
      </c>
      <c r="D760" s="815" t="n">
        <f aca="false">E760*$E$205*M760</f>
        <v>165.240260910889</v>
      </c>
      <c r="E760" s="601" t="n">
        <f aca="false">E759+$C$204</f>
        <v>10.4794686016546</v>
      </c>
      <c r="F760" s="816" t="n">
        <f aca="false">F759+1</f>
        <v>545</v>
      </c>
      <c r="G760" s="775" t="n">
        <f aca="false">C760</f>
        <v>66251.538594178</v>
      </c>
      <c r="H760" s="817" t="n">
        <f aca="false">1000*(E760-E759)</f>
        <v>9.99999999999979</v>
      </c>
      <c r="I760" s="5"/>
      <c r="J760" s="818" t="n">
        <f aca="false">1000*(E760-$E$215)/(B760-$B$215)</f>
        <v>12.887834547838</v>
      </c>
      <c r="K760" s="732" t="n">
        <f aca="false">AVERAGE($E$216:E760)</f>
        <v>7.74552364752619</v>
      </c>
      <c r="L760" s="819" t="n">
        <f aca="false">L759+1</f>
        <v>545</v>
      </c>
      <c r="M760" s="820" t="n">
        <f aca="false">IF(B760&lt;$E$104,$E$105,$E$106)</f>
        <v>3</v>
      </c>
      <c r="N760" s="821" t="n">
        <f aca="false">IF(B760&lt;$E$104,$E$105,$E$111)</f>
        <v>2.5</v>
      </c>
      <c r="O760" s="822" t="n">
        <f aca="false">E760*$E$205*N760</f>
        <v>137.700217425741</v>
      </c>
      <c r="P760" s="823" t="n">
        <f aca="false">P759+O760</f>
        <v>55261.2960955246</v>
      </c>
      <c r="Q760" s="606" t="n">
        <f aca="false">Q759+1</f>
        <v>545</v>
      </c>
      <c r="R760" s="824" t="n">
        <f aca="false">R759-1</f>
        <v>-545</v>
      </c>
      <c r="S760" s="5"/>
      <c r="T760" s="5"/>
      <c r="U760" s="5"/>
      <c r="V760" s="10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02"/>
      <c r="AU760" s="502"/>
      <c r="AV760" s="606"/>
      <c r="AW760" s="502"/>
      <c r="AX760" s="502"/>
      <c r="AY760" s="502"/>
      <c r="AZ760" s="502"/>
      <c r="BA760" s="502"/>
      <c r="BB760" s="502"/>
      <c r="BC760" s="502"/>
      <c r="BD760" s="502"/>
      <c r="BE760" s="502"/>
      <c r="BF760" s="502"/>
      <c r="BG760" s="502"/>
      <c r="BH760" s="502"/>
      <c r="BI760" s="502"/>
      <c r="BJ760" s="502"/>
      <c r="BK760" s="502"/>
      <c r="BL760" s="502"/>
      <c r="BM760" s="502"/>
      <c r="BN760" s="502"/>
      <c r="BO760" s="502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</row>
    <row r="761" s="504" customFormat="true" ht="12.75" hidden="true" customHeight="true" outlineLevel="0" collapsed="false">
      <c r="A761" s="5"/>
      <c r="B761" s="813" t="n">
        <f aca="false">B760+1</f>
        <v>546</v>
      </c>
      <c r="C761" s="814" t="n">
        <f aca="false">C760+D761</f>
        <v>66416.9365350889</v>
      </c>
      <c r="D761" s="815" t="n">
        <f aca="false">E761*$E$205*M761</f>
        <v>165.397940910889</v>
      </c>
      <c r="E761" s="601" t="n">
        <f aca="false">E760+$C$204</f>
        <v>10.4894686016546</v>
      </c>
      <c r="F761" s="816" t="n">
        <f aca="false">F760+1</f>
        <v>546</v>
      </c>
      <c r="G761" s="775" t="n">
        <f aca="false">C761</f>
        <v>66416.9365350889</v>
      </c>
      <c r="H761" s="817" t="n">
        <f aca="false">1000*(E761-E760)</f>
        <v>9.99999999999979</v>
      </c>
      <c r="I761" s="5"/>
      <c r="J761" s="818" t="n">
        <f aca="false">1000*(E761-$E$215)/(B761-$B$215)</f>
        <v>12.8825454735746</v>
      </c>
      <c r="K761" s="732" t="n">
        <f aca="false">AVERAGE($E$216:E761)</f>
        <v>7.75054918773522</v>
      </c>
      <c r="L761" s="819" t="n">
        <f aca="false">L760+1</f>
        <v>546</v>
      </c>
      <c r="M761" s="820" t="n">
        <f aca="false">IF(B761&lt;$E$104,$E$105,$E$106)</f>
        <v>3</v>
      </c>
      <c r="N761" s="821" t="n">
        <f aca="false">IF(B761&lt;$E$104,$E$105,$E$111)</f>
        <v>2.5</v>
      </c>
      <c r="O761" s="822" t="n">
        <f aca="false">E761*$E$205*N761</f>
        <v>137.831617425741</v>
      </c>
      <c r="P761" s="823" t="n">
        <f aca="false">P760+O761</f>
        <v>55399.1277129503</v>
      </c>
      <c r="Q761" s="606" t="n">
        <f aca="false">Q760+1</f>
        <v>546</v>
      </c>
      <c r="R761" s="824" t="n">
        <f aca="false">R760-1</f>
        <v>-546</v>
      </c>
      <c r="S761" s="5"/>
      <c r="T761" s="5"/>
      <c r="U761" s="5"/>
      <c r="V761" s="10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02"/>
      <c r="AU761" s="502"/>
      <c r="AV761" s="606"/>
      <c r="AW761" s="502"/>
      <c r="AX761" s="502"/>
      <c r="AY761" s="502"/>
      <c r="AZ761" s="502"/>
      <c r="BA761" s="502"/>
      <c r="BB761" s="502"/>
      <c r="BC761" s="502"/>
      <c r="BD761" s="502"/>
      <c r="BE761" s="502"/>
      <c r="BF761" s="502"/>
      <c r="BG761" s="502"/>
      <c r="BH761" s="502"/>
      <c r="BI761" s="502"/>
      <c r="BJ761" s="502"/>
      <c r="BK761" s="502"/>
      <c r="BL761" s="502"/>
      <c r="BM761" s="502"/>
      <c r="BN761" s="502"/>
      <c r="BO761" s="502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</row>
    <row r="762" s="504" customFormat="true" ht="12.75" hidden="true" customHeight="true" outlineLevel="0" collapsed="false">
      <c r="A762" s="5"/>
      <c r="B762" s="813" t="n">
        <f aca="false">B761+1</f>
        <v>547</v>
      </c>
      <c r="C762" s="814" t="n">
        <f aca="false">C761+D762</f>
        <v>66582.4921559998</v>
      </c>
      <c r="D762" s="815" t="n">
        <f aca="false">E762*$E$205*M762</f>
        <v>165.555620910889</v>
      </c>
      <c r="E762" s="601" t="n">
        <f aca="false">E761+$C$204</f>
        <v>10.4994686016546</v>
      </c>
      <c r="F762" s="816" t="n">
        <f aca="false">F761+1</f>
        <v>547</v>
      </c>
      <c r="G762" s="775" t="n">
        <f aca="false">C762</f>
        <v>66582.4921559998</v>
      </c>
      <c r="H762" s="817" t="n">
        <f aca="false">1000*(E762-E761)</f>
        <v>9.99999999999979</v>
      </c>
      <c r="I762" s="5"/>
      <c r="J762" s="818" t="n">
        <f aca="false">1000*(E762-$E$215)/(B762-$B$215)</f>
        <v>12.8772757377911</v>
      </c>
      <c r="K762" s="732" t="n">
        <f aca="false">AVERAGE($E$216:E762)</f>
        <v>7.7555746345614</v>
      </c>
      <c r="L762" s="819" t="n">
        <f aca="false">L761+1</f>
        <v>547</v>
      </c>
      <c r="M762" s="820" t="n">
        <f aca="false">IF(B762&lt;$E$104,$E$105,$E$106)</f>
        <v>3</v>
      </c>
      <c r="N762" s="821" t="n">
        <f aca="false">IF(B762&lt;$E$104,$E$105,$E$111)</f>
        <v>2.5</v>
      </c>
      <c r="O762" s="822" t="n">
        <f aca="false">E762*$E$205*N762</f>
        <v>137.963017425741</v>
      </c>
      <c r="P762" s="823" t="n">
        <f aca="false">P761+O762</f>
        <v>55537.090730376</v>
      </c>
      <c r="Q762" s="606" t="n">
        <f aca="false">Q761+1</f>
        <v>547</v>
      </c>
      <c r="R762" s="824" t="n">
        <f aca="false">R761-1</f>
        <v>-547</v>
      </c>
      <c r="S762" s="5"/>
      <c r="T762" s="5"/>
      <c r="U762" s="5"/>
      <c r="V762" s="10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02"/>
      <c r="AU762" s="502"/>
      <c r="AV762" s="606"/>
      <c r="AW762" s="502"/>
      <c r="AX762" s="502"/>
      <c r="AY762" s="502"/>
      <c r="AZ762" s="502"/>
      <c r="BA762" s="502"/>
      <c r="BB762" s="502"/>
      <c r="BC762" s="502"/>
      <c r="BD762" s="502"/>
      <c r="BE762" s="502"/>
      <c r="BF762" s="502"/>
      <c r="BG762" s="502"/>
      <c r="BH762" s="502"/>
      <c r="BI762" s="502"/>
      <c r="BJ762" s="502"/>
      <c r="BK762" s="502"/>
      <c r="BL762" s="502"/>
      <c r="BM762" s="502"/>
      <c r="BN762" s="502"/>
      <c r="BO762" s="502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</row>
    <row r="763" s="504" customFormat="true" ht="12.75" hidden="true" customHeight="true" outlineLevel="0" collapsed="false">
      <c r="A763" s="5"/>
      <c r="B763" s="813" t="n">
        <f aca="false">B762+1</f>
        <v>548</v>
      </c>
      <c r="C763" s="814" t="n">
        <f aca="false">C762+D763</f>
        <v>66748.2054569107</v>
      </c>
      <c r="D763" s="815" t="n">
        <f aca="false">E763*$E$205*M763</f>
        <v>165.713300910889</v>
      </c>
      <c r="E763" s="601" t="n">
        <f aca="false">E762+$C$204</f>
        <v>10.5094686016546</v>
      </c>
      <c r="F763" s="816" t="n">
        <f aca="false">F762+1</f>
        <v>548</v>
      </c>
      <c r="G763" s="775" t="n">
        <f aca="false">C763</f>
        <v>66748.2054569107</v>
      </c>
      <c r="H763" s="817" t="n">
        <f aca="false">1000*(E763-E762)</f>
        <v>9.99999999999979</v>
      </c>
      <c r="I763" s="5"/>
      <c r="J763" s="818" t="n">
        <f aca="false">1000*(E763-$E$215)/(B763-$B$215)</f>
        <v>12.8720252346199</v>
      </c>
      <c r="K763" s="732" t="n">
        <f aca="false">AVERAGE($E$216:E763)</f>
        <v>7.76059998851595</v>
      </c>
      <c r="L763" s="819" t="n">
        <f aca="false">L762+1</f>
        <v>548</v>
      </c>
      <c r="M763" s="820" t="n">
        <f aca="false">IF(B763&lt;$E$104,$E$105,$E$106)</f>
        <v>3</v>
      </c>
      <c r="N763" s="821" t="n">
        <f aca="false">IF(B763&lt;$E$104,$E$105,$E$111)</f>
        <v>2.5</v>
      </c>
      <c r="O763" s="822" t="n">
        <f aca="false">E763*$E$205*N763</f>
        <v>138.094417425741</v>
      </c>
      <c r="P763" s="823" t="n">
        <f aca="false">P762+O763</f>
        <v>55675.1851478018</v>
      </c>
      <c r="Q763" s="606" t="n">
        <f aca="false">Q762+1</f>
        <v>548</v>
      </c>
      <c r="R763" s="824" t="n">
        <f aca="false">R762-1</f>
        <v>-548</v>
      </c>
      <c r="S763" s="5"/>
      <c r="T763" s="5"/>
      <c r="U763" s="5"/>
      <c r="V763" s="10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02"/>
      <c r="AU763" s="502"/>
      <c r="AV763" s="606"/>
      <c r="AW763" s="502"/>
      <c r="AX763" s="502"/>
      <c r="AY763" s="502"/>
      <c r="AZ763" s="502"/>
      <c r="BA763" s="502"/>
      <c r="BB763" s="502"/>
      <c r="BC763" s="502"/>
      <c r="BD763" s="502"/>
      <c r="BE763" s="502"/>
      <c r="BF763" s="502"/>
      <c r="BG763" s="502"/>
      <c r="BH763" s="502"/>
      <c r="BI763" s="502"/>
      <c r="BJ763" s="502"/>
      <c r="BK763" s="502"/>
      <c r="BL763" s="502"/>
      <c r="BM763" s="502"/>
      <c r="BN763" s="502"/>
      <c r="BO763" s="502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</row>
    <row r="764" s="504" customFormat="true" ht="12.75" hidden="true" customHeight="true" outlineLevel="0" collapsed="false">
      <c r="A764" s="5"/>
      <c r="B764" s="813" t="n">
        <f aca="false">B763+1</f>
        <v>549</v>
      </c>
      <c r="C764" s="814" t="n">
        <f aca="false">C763+D764</f>
        <v>66914.0764378216</v>
      </c>
      <c r="D764" s="815" t="n">
        <f aca="false">E764*$E$205*M764</f>
        <v>165.870980910889</v>
      </c>
      <c r="E764" s="601" t="n">
        <f aca="false">E763+$C$204</f>
        <v>10.5194686016546</v>
      </c>
      <c r="F764" s="816" t="n">
        <f aca="false">F763+1</f>
        <v>549</v>
      </c>
      <c r="G764" s="775" t="n">
        <f aca="false">C764</f>
        <v>66914.0764378216</v>
      </c>
      <c r="H764" s="817" t="n">
        <f aca="false">1000*(E764-E763)</f>
        <v>9.99999999999979</v>
      </c>
      <c r="I764" s="5"/>
      <c r="J764" s="818" t="n">
        <f aca="false">1000*(E764-$E$215)/(B764-$B$215)</f>
        <v>12.8667938589649</v>
      </c>
      <c r="K764" s="732" t="n">
        <f aca="false">AVERAGE($E$216:E764)</f>
        <v>7.76562525010636</v>
      </c>
      <c r="L764" s="819" t="n">
        <f aca="false">L763+1</f>
        <v>549</v>
      </c>
      <c r="M764" s="820" t="n">
        <f aca="false">IF(B764&lt;$E$104,$E$105,$E$106)</f>
        <v>3</v>
      </c>
      <c r="N764" s="821" t="n">
        <f aca="false">IF(B764&lt;$E$104,$E$105,$E$111)</f>
        <v>2.5</v>
      </c>
      <c r="O764" s="822" t="n">
        <f aca="false">E764*$E$205*N764</f>
        <v>138.225817425741</v>
      </c>
      <c r="P764" s="823" t="n">
        <f aca="false">P763+O764</f>
        <v>55813.4109652275</v>
      </c>
      <c r="Q764" s="606" t="n">
        <f aca="false">Q763+1</f>
        <v>549</v>
      </c>
      <c r="R764" s="824" t="n">
        <f aca="false">R763-1</f>
        <v>-549</v>
      </c>
      <c r="S764" s="5"/>
      <c r="T764" s="5"/>
      <c r="U764" s="5"/>
      <c r="V764" s="10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02"/>
      <c r="AU764" s="502"/>
      <c r="AV764" s="606"/>
      <c r="AW764" s="502"/>
      <c r="AX764" s="502"/>
      <c r="AY764" s="502"/>
      <c r="AZ764" s="502"/>
      <c r="BA764" s="502"/>
      <c r="BB764" s="502"/>
      <c r="BC764" s="502"/>
      <c r="BD764" s="502"/>
      <c r="BE764" s="502"/>
      <c r="BF764" s="502"/>
      <c r="BG764" s="502"/>
      <c r="BH764" s="502"/>
      <c r="BI764" s="502"/>
      <c r="BJ764" s="502"/>
      <c r="BK764" s="502"/>
      <c r="BL764" s="502"/>
      <c r="BM764" s="502"/>
      <c r="BN764" s="502"/>
      <c r="BO764" s="502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</row>
    <row r="765" s="504" customFormat="true" ht="12.75" hidden="true" customHeight="true" outlineLevel="0" collapsed="false">
      <c r="A765" s="5"/>
      <c r="B765" s="813" t="n">
        <f aca="false">B764+1</f>
        <v>550</v>
      </c>
      <c r="C765" s="814" t="n">
        <f aca="false">C764+D765</f>
        <v>67080.1050987325</v>
      </c>
      <c r="D765" s="815" t="n">
        <f aca="false">E765*$E$205*M765</f>
        <v>166.028660910889</v>
      </c>
      <c r="E765" s="601" t="n">
        <f aca="false">E764+$C$204</f>
        <v>10.5294686016546</v>
      </c>
      <c r="F765" s="816" t="n">
        <f aca="false">F764+1</f>
        <v>550</v>
      </c>
      <c r="G765" s="775" t="n">
        <f aca="false">C765</f>
        <v>67080.1050987325</v>
      </c>
      <c r="H765" s="817" t="n">
        <f aca="false">1000*(E765-E764)</f>
        <v>9.99999999999979</v>
      </c>
      <c r="I765" s="5"/>
      <c r="J765" s="818" t="n">
        <f aca="false">1000*(E765-$E$215)/(B765-$B$215)</f>
        <v>12.861581506494</v>
      </c>
      <c r="K765" s="732" t="n">
        <f aca="false">AVERAGE($E$216:E765)</f>
        <v>7.77065041983645</v>
      </c>
      <c r="L765" s="819" t="n">
        <f aca="false">L764+1</f>
        <v>550</v>
      </c>
      <c r="M765" s="820" t="n">
        <f aca="false">IF(B765&lt;$E$104,$E$105,$E$106)</f>
        <v>3</v>
      </c>
      <c r="N765" s="821" t="n">
        <f aca="false">IF(B765&lt;$E$104,$E$105,$E$111)</f>
        <v>2.5</v>
      </c>
      <c r="O765" s="822" t="n">
        <f aca="false">E765*$E$205*N765</f>
        <v>138.357217425741</v>
      </c>
      <c r="P765" s="823" t="n">
        <f aca="false">P764+O765</f>
        <v>55951.7681826533</v>
      </c>
      <c r="Q765" s="606" t="n">
        <f aca="false">Q764+1</f>
        <v>550</v>
      </c>
      <c r="R765" s="824" t="n">
        <f aca="false">R764-1</f>
        <v>-550</v>
      </c>
      <c r="S765" s="5"/>
      <c r="T765" s="5"/>
      <c r="U765" s="5"/>
      <c r="V765" s="10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02"/>
      <c r="AU765" s="502"/>
      <c r="AV765" s="606"/>
      <c r="AW765" s="502"/>
      <c r="AX765" s="502"/>
      <c r="AY765" s="502"/>
      <c r="AZ765" s="502"/>
      <c r="BA765" s="502"/>
      <c r="BB765" s="502"/>
      <c r="BC765" s="502"/>
      <c r="BD765" s="502"/>
      <c r="BE765" s="502"/>
      <c r="BF765" s="502"/>
      <c r="BG765" s="502"/>
      <c r="BH765" s="502"/>
      <c r="BI765" s="502"/>
      <c r="BJ765" s="502"/>
      <c r="BK765" s="502"/>
      <c r="BL765" s="502"/>
      <c r="BM765" s="502"/>
      <c r="BN765" s="502"/>
      <c r="BO765" s="502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</row>
    <row r="766" s="504" customFormat="true" ht="12.75" hidden="true" customHeight="true" outlineLevel="0" collapsed="false">
      <c r="A766" s="5"/>
      <c r="B766" s="813" t="n">
        <f aca="false">B765+1</f>
        <v>551</v>
      </c>
      <c r="C766" s="814" t="n">
        <f aca="false">C765+D766</f>
        <v>67246.2914396434</v>
      </c>
      <c r="D766" s="815" t="n">
        <f aca="false">E766*$E$205*M766</f>
        <v>166.186340910889</v>
      </c>
      <c r="E766" s="601" t="n">
        <f aca="false">E765+$C$204</f>
        <v>10.5394686016546</v>
      </c>
      <c r="F766" s="816" t="n">
        <f aca="false">F765+1</f>
        <v>551</v>
      </c>
      <c r="G766" s="775" t="n">
        <f aca="false">C766</f>
        <v>67246.2914396434</v>
      </c>
      <c r="H766" s="817" t="n">
        <f aca="false">1000*(E766-E765)</f>
        <v>9.99999999999979</v>
      </c>
      <c r="I766" s="5"/>
      <c r="J766" s="818" t="n">
        <f aca="false">1000*(E766-$E$215)/(B766-$B$215)</f>
        <v>12.8563880736329</v>
      </c>
      <c r="K766" s="732" t="n">
        <f aca="false">AVERAGE($E$216:E766)</f>
        <v>7.77567549820636</v>
      </c>
      <c r="L766" s="819" t="n">
        <f aca="false">L765+1</f>
        <v>551</v>
      </c>
      <c r="M766" s="820" t="n">
        <f aca="false">IF(B766&lt;$E$104,$E$105,$E$106)</f>
        <v>3</v>
      </c>
      <c r="N766" s="821" t="n">
        <f aca="false">IF(B766&lt;$E$104,$E$105,$E$111)</f>
        <v>2.5</v>
      </c>
      <c r="O766" s="822" t="n">
        <f aca="false">E766*$E$205*N766</f>
        <v>138.488617425741</v>
      </c>
      <c r="P766" s="823" t="n">
        <f aca="false">P765+O766</f>
        <v>56090.256800079</v>
      </c>
      <c r="Q766" s="606" t="n">
        <f aca="false">Q765+1</f>
        <v>551</v>
      </c>
      <c r="R766" s="824" t="n">
        <f aca="false">R765-1</f>
        <v>-551</v>
      </c>
      <c r="S766" s="5"/>
      <c r="T766" s="5"/>
      <c r="U766" s="5"/>
      <c r="V766" s="10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02"/>
      <c r="AU766" s="502"/>
      <c r="AV766" s="606"/>
      <c r="AW766" s="502"/>
      <c r="AX766" s="502"/>
      <c r="AY766" s="502"/>
      <c r="AZ766" s="502"/>
      <c r="BA766" s="502"/>
      <c r="BB766" s="502"/>
      <c r="BC766" s="502"/>
      <c r="BD766" s="502"/>
      <c r="BE766" s="502"/>
      <c r="BF766" s="502"/>
      <c r="BG766" s="502"/>
      <c r="BH766" s="502"/>
      <c r="BI766" s="502"/>
      <c r="BJ766" s="502"/>
      <c r="BK766" s="502"/>
      <c r="BL766" s="502"/>
      <c r="BM766" s="502"/>
      <c r="BN766" s="502"/>
      <c r="BO766" s="502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</row>
    <row r="767" s="504" customFormat="true" ht="12.75" hidden="true" customHeight="true" outlineLevel="0" collapsed="false">
      <c r="A767" s="5"/>
      <c r="B767" s="813" t="n">
        <f aca="false">B766+1</f>
        <v>552</v>
      </c>
      <c r="C767" s="814" t="n">
        <f aca="false">C766+D767</f>
        <v>67412.6354605543</v>
      </c>
      <c r="D767" s="815" t="n">
        <f aca="false">E767*$E$205*M767</f>
        <v>166.344020910889</v>
      </c>
      <c r="E767" s="601" t="n">
        <f aca="false">E766+$C$204</f>
        <v>10.5494686016546</v>
      </c>
      <c r="F767" s="816" t="n">
        <f aca="false">F766+1</f>
        <v>552</v>
      </c>
      <c r="G767" s="775" t="n">
        <f aca="false">C767</f>
        <v>67412.6354605543</v>
      </c>
      <c r="H767" s="817" t="n">
        <f aca="false">1000*(E767-E766)</f>
        <v>9.99999999999979</v>
      </c>
      <c r="I767" s="5"/>
      <c r="J767" s="818" t="n">
        <f aca="false">1000*(E767-$E$215)/(B767-$B$215)</f>
        <v>12.8512134575575</v>
      </c>
      <c r="K767" s="732" t="n">
        <f aca="false">AVERAGE($E$216:E767)</f>
        <v>7.7807004857126</v>
      </c>
      <c r="L767" s="819" t="n">
        <f aca="false">L766+1</f>
        <v>552</v>
      </c>
      <c r="M767" s="820" t="n">
        <f aca="false">IF(B767&lt;$E$104,$E$105,$E$106)</f>
        <v>3</v>
      </c>
      <c r="N767" s="821" t="n">
        <f aca="false">IF(B767&lt;$E$104,$E$105,$E$111)</f>
        <v>2.5</v>
      </c>
      <c r="O767" s="822" t="n">
        <f aca="false">E767*$E$205*N767</f>
        <v>138.620017425741</v>
      </c>
      <c r="P767" s="823" t="n">
        <f aca="false">P766+O767</f>
        <v>56228.8768175047</v>
      </c>
      <c r="Q767" s="606" t="n">
        <f aca="false">Q766+1</f>
        <v>552</v>
      </c>
      <c r="R767" s="824" t="n">
        <f aca="false">R766-1</f>
        <v>-552</v>
      </c>
      <c r="S767" s="5"/>
      <c r="T767" s="5"/>
      <c r="U767" s="5"/>
      <c r="V767" s="10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02"/>
      <c r="AU767" s="502"/>
      <c r="AV767" s="606"/>
      <c r="AW767" s="502"/>
      <c r="AX767" s="502"/>
      <c r="AY767" s="502"/>
      <c r="AZ767" s="502"/>
      <c r="BA767" s="502"/>
      <c r="BB767" s="502"/>
      <c r="BC767" s="502"/>
      <c r="BD767" s="502"/>
      <c r="BE767" s="502"/>
      <c r="BF767" s="502"/>
      <c r="BG767" s="502"/>
      <c r="BH767" s="502"/>
      <c r="BI767" s="502"/>
      <c r="BJ767" s="502"/>
      <c r="BK767" s="502"/>
      <c r="BL767" s="502"/>
      <c r="BM767" s="502"/>
      <c r="BN767" s="502"/>
      <c r="BO767" s="502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</row>
    <row r="768" s="504" customFormat="true" ht="12.75" hidden="true" customHeight="true" outlineLevel="0" collapsed="false">
      <c r="A768" s="5"/>
      <c r="B768" s="813" t="n">
        <f aca="false">B767+1</f>
        <v>553</v>
      </c>
      <c r="C768" s="814" t="n">
        <f aca="false">C767+D768</f>
        <v>67579.1371614651</v>
      </c>
      <c r="D768" s="815" t="n">
        <f aca="false">E768*$E$205*M768</f>
        <v>166.501700910889</v>
      </c>
      <c r="E768" s="601" t="n">
        <f aca="false">E767+$C$204</f>
        <v>10.5594686016546</v>
      </c>
      <c r="F768" s="816" t="n">
        <f aca="false">F767+1</f>
        <v>553</v>
      </c>
      <c r="G768" s="775" t="n">
        <f aca="false">C768</f>
        <v>67579.1371614651</v>
      </c>
      <c r="H768" s="817" t="n">
        <f aca="false">1000*(E768-E767)</f>
        <v>9.99999999999979</v>
      </c>
      <c r="I768" s="5"/>
      <c r="J768" s="818" t="n">
        <f aca="false">1000*(E768-$E$215)/(B768-$B$215)</f>
        <v>12.8460575561876</v>
      </c>
      <c r="K768" s="732" t="n">
        <f aca="false">AVERAGE($E$216:E768)</f>
        <v>7.78572538284812</v>
      </c>
      <c r="L768" s="819" t="n">
        <f aca="false">L767+1</f>
        <v>553</v>
      </c>
      <c r="M768" s="820" t="n">
        <f aca="false">IF(B768&lt;$E$104,$E$105,$E$106)</f>
        <v>3</v>
      </c>
      <c r="N768" s="821" t="n">
        <f aca="false">IF(B768&lt;$E$104,$E$105,$E$111)</f>
        <v>2.5</v>
      </c>
      <c r="O768" s="822" t="n">
        <f aca="false">E768*$E$205*N768</f>
        <v>138.751417425741</v>
      </c>
      <c r="P768" s="823" t="n">
        <f aca="false">P767+O768</f>
        <v>56367.6282349305</v>
      </c>
      <c r="Q768" s="606" t="n">
        <f aca="false">Q767+1</f>
        <v>553</v>
      </c>
      <c r="R768" s="824" t="n">
        <f aca="false">R767-1</f>
        <v>-553</v>
      </c>
      <c r="S768" s="5"/>
      <c r="T768" s="5"/>
      <c r="U768" s="5"/>
      <c r="V768" s="10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02"/>
      <c r="AU768" s="502"/>
      <c r="AV768" s="606"/>
      <c r="AW768" s="502"/>
      <c r="AX768" s="502"/>
      <c r="AY768" s="502"/>
      <c r="AZ768" s="502"/>
      <c r="BA768" s="502"/>
      <c r="BB768" s="502"/>
      <c r="BC768" s="502"/>
      <c r="BD768" s="502"/>
      <c r="BE768" s="502"/>
      <c r="BF768" s="502"/>
      <c r="BG768" s="502"/>
      <c r="BH768" s="502"/>
      <c r="BI768" s="502"/>
      <c r="BJ768" s="502"/>
      <c r="BK768" s="502"/>
      <c r="BL768" s="502"/>
      <c r="BM768" s="502"/>
      <c r="BN768" s="502"/>
      <c r="BO768" s="502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</row>
    <row r="769" s="504" customFormat="true" ht="12.75" hidden="true" customHeight="true" outlineLevel="0" collapsed="false">
      <c r="A769" s="5"/>
      <c r="B769" s="813" t="n">
        <f aca="false">B768+1</f>
        <v>554</v>
      </c>
      <c r="C769" s="814" t="n">
        <f aca="false">C768+D769</f>
        <v>67745.796542376</v>
      </c>
      <c r="D769" s="815" t="n">
        <f aca="false">E769*$E$205*M769</f>
        <v>166.659380910889</v>
      </c>
      <c r="E769" s="601" t="n">
        <f aca="false">E768+$C$204</f>
        <v>10.5694686016546</v>
      </c>
      <c r="F769" s="816" t="n">
        <f aca="false">F768+1</f>
        <v>554</v>
      </c>
      <c r="G769" s="775" t="n">
        <f aca="false">C769</f>
        <v>67745.796542376</v>
      </c>
      <c r="H769" s="817" t="n">
        <f aca="false">1000*(E769-E768)</f>
        <v>9.99999999999979</v>
      </c>
      <c r="I769" s="5"/>
      <c r="J769" s="818" t="n">
        <f aca="false">1000*(E769-$E$215)/(B769-$B$215)</f>
        <v>12.84092026818</v>
      </c>
      <c r="K769" s="732" t="n">
        <f aca="false">AVERAGE($E$216:E769)</f>
        <v>7.79075019010229</v>
      </c>
      <c r="L769" s="819" t="n">
        <f aca="false">L768+1</f>
        <v>554</v>
      </c>
      <c r="M769" s="820" t="n">
        <f aca="false">IF(B769&lt;$E$104,$E$105,$E$106)</f>
        <v>3</v>
      </c>
      <c r="N769" s="821" t="n">
        <f aca="false">IF(B769&lt;$E$104,$E$105,$E$111)</f>
        <v>2.5</v>
      </c>
      <c r="O769" s="822" t="n">
        <f aca="false">E769*$E$205*N769</f>
        <v>138.882817425741</v>
      </c>
      <c r="P769" s="823" t="n">
        <f aca="false">P768+O769</f>
        <v>56506.5110523562</v>
      </c>
      <c r="Q769" s="606" t="n">
        <f aca="false">Q768+1</f>
        <v>554</v>
      </c>
      <c r="R769" s="824" t="n">
        <f aca="false">R768-1</f>
        <v>-554</v>
      </c>
      <c r="S769" s="5"/>
      <c r="T769" s="5"/>
      <c r="U769" s="5"/>
      <c r="V769" s="10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02"/>
      <c r="AU769" s="502"/>
      <c r="AV769" s="606"/>
      <c r="AW769" s="502"/>
      <c r="AX769" s="502"/>
      <c r="AY769" s="502"/>
      <c r="AZ769" s="502"/>
      <c r="BA769" s="502"/>
      <c r="BB769" s="502"/>
      <c r="BC769" s="502"/>
      <c r="BD769" s="502"/>
      <c r="BE769" s="502"/>
      <c r="BF769" s="502"/>
      <c r="BG769" s="502"/>
      <c r="BH769" s="502"/>
      <c r="BI769" s="502"/>
      <c r="BJ769" s="502"/>
      <c r="BK769" s="502"/>
      <c r="BL769" s="502"/>
      <c r="BM769" s="502"/>
      <c r="BN769" s="502"/>
      <c r="BO769" s="502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</row>
    <row r="770" s="504" customFormat="true" ht="12.75" hidden="true" customHeight="true" outlineLevel="0" collapsed="false">
      <c r="A770" s="5"/>
      <c r="B770" s="813" t="n">
        <f aca="false">B769+1</f>
        <v>555</v>
      </c>
      <c r="C770" s="814" t="n">
        <f aca="false">C769+D770</f>
        <v>67912.6136032869</v>
      </c>
      <c r="D770" s="815" t="n">
        <f aca="false">E770*$E$205*M770</f>
        <v>166.817060910889</v>
      </c>
      <c r="E770" s="601" t="n">
        <f aca="false">E769+$C$204</f>
        <v>10.5794686016546</v>
      </c>
      <c r="F770" s="816" t="n">
        <f aca="false">F769+1</f>
        <v>555</v>
      </c>
      <c r="G770" s="775" t="n">
        <f aca="false">C770</f>
        <v>67912.6136032869</v>
      </c>
      <c r="H770" s="817" t="n">
        <f aca="false">1000*(E770-E769)</f>
        <v>9.99999999999979</v>
      </c>
      <c r="I770" s="5"/>
      <c r="J770" s="818" t="n">
        <f aca="false">1000*(E770-$E$215)/(B770-$B$215)</f>
        <v>12.835801492922</v>
      </c>
      <c r="K770" s="732" t="n">
        <f aca="false">AVERAGE($E$216:E770)</f>
        <v>7.79577490796094</v>
      </c>
      <c r="L770" s="819" t="n">
        <f aca="false">L769+1</f>
        <v>555</v>
      </c>
      <c r="M770" s="820" t="n">
        <f aca="false">IF(B770&lt;$E$104,$E$105,$E$106)</f>
        <v>3</v>
      </c>
      <c r="N770" s="821" t="n">
        <f aca="false">IF(B770&lt;$E$104,$E$105,$E$111)</f>
        <v>2.5</v>
      </c>
      <c r="O770" s="822" t="n">
        <f aca="false">E770*$E$205*N770</f>
        <v>139.014217425741</v>
      </c>
      <c r="P770" s="823" t="n">
        <f aca="false">P769+O770</f>
        <v>56645.525269782</v>
      </c>
      <c r="Q770" s="606" t="n">
        <f aca="false">Q769+1</f>
        <v>555</v>
      </c>
      <c r="R770" s="824" t="n">
        <f aca="false">R769-1</f>
        <v>-555</v>
      </c>
      <c r="S770" s="5"/>
      <c r="T770" s="5"/>
      <c r="U770" s="5"/>
      <c r="V770" s="10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02"/>
      <c r="AU770" s="502"/>
      <c r="AV770" s="606"/>
      <c r="AW770" s="502"/>
      <c r="AX770" s="502"/>
      <c r="AY770" s="502"/>
      <c r="AZ770" s="502"/>
      <c r="BA770" s="502"/>
      <c r="BB770" s="502"/>
      <c r="BC770" s="502"/>
      <c r="BD770" s="502"/>
      <c r="BE770" s="502"/>
      <c r="BF770" s="502"/>
      <c r="BG770" s="502"/>
      <c r="BH770" s="502"/>
      <c r="BI770" s="502"/>
      <c r="BJ770" s="502"/>
      <c r="BK770" s="502"/>
      <c r="BL770" s="502"/>
      <c r="BM770" s="502"/>
      <c r="BN770" s="502"/>
      <c r="BO770" s="502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</row>
    <row r="771" s="504" customFormat="true" ht="12.75" hidden="true" customHeight="true" outlineLevel="0" collapsed="false">
      <c r="A771" s="5"/>
      <c r="B771" s="813" t="n">
        <f aca="false">B770+1</f>
        <v>556</v>
      </c>
      <c r="C771" s="814" t="n">
        <f aca="false">C770+D771</f>
        <v>68079.5883441978</v>
      </c>
      <c r="D771" s="815" t="n">
        <f aca="false">E771*$E$205*M771</f>
        <v>166.974740910889</v>
      </c>
      <c r="E771" s="601" t="n">
        <f aca="false">E770+$C$204</f>
        <v>10.5894686016546</v>
      </c>
      <c r="F771" s="816" t="n">
        <f aca="false">F770+1</f>
        <v>556</v>
      </c>
      <c r="G771" s="775" t="n">
        <f aca="false">C771</f>
        <v>68079.5883441978</v>
      </c>
      <c r="H771" s="817" t="n">
        <f aca="false">1000*(E771-E770)</f>
        <v>9.99999999999979</v>
      </c>
      <c r="I771" s="5"/>
      <c r="J771" s="818" t="n">
        <f aca="false">1000*(E771-$E$215)/(B771-$B$215)</f>
        <v>12.8307011305247</v>
      </c>
      <c r="K771" s="732" t="n">
        <f aca="false">AVERAGE($E$216:E771)</f>
        <v>7.80079953690643</v>
      </c>
      <c r="L771" s="819" t="n">
        <f aca="false">L770+1</f>
        <v>556</v>
      </c>
      <c r="M771" s="820" t="n">
        <f aca="false">IF(B771&lt;$E$104,$E$105,$E$106)</f>
        <v>3</v>
      </c>
      <c r="N771" s="821" t="n">
        <f aca="false">IF(B771&lt;$E$104,$E$105,$E$111)</f>
        <v>2.5</v>
      </c>
      <c r="O771" s="822" t="n">
        <f aca="false">E771*$E$205*N771</f>
        <v>139.145617425741</v>
      </c>
      <c r="P771" s="823" t="n">
        <f aca="false">P770+O771</f>
        <v>56784.6708872077</v>
      </c>
      <c r="Q771" s="606" t="n">
        <f aca="false">Q770+1</f>
        <v>556</v>
      </c>
      <c r="R771" s="824" t="n">
        <f aca="false">R770-1</f>
        <v>-556</v>
      </c>
      <c r="S771" s="5"/>
      <c r="T771" s="5"/>
      <c r="U771" s="5"/>
      <c r="V771" s="10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02"/>
      <c r="AU771" s="502"/>
      <c r="AV771" s="606"/>
      <c r="AW771" s="502"/>
      <c r="AX771" s="502"/>
      <c r="AY771" s="502"/>
      <c r="AZ771" s="502"/>
      <c r="BA771" s="502"/>
      <c r="BB771" s="502"/>
      <c r="BC771" s="502"/>
      <c r="BD771" s="502"/>
      <c r="BE771" s="502"/>
      <c r="BF771" s="502"/>
      <c r="BG771" s="502"/>
      <c r="BH771" s="502"/>
      <c r="BI771" s="502"/>
      <c r="BJ771" s="502"/>
      <c r="BK771" s="502"/>
      <c r="BL771" s="502"/>
      <c r="BM771" s="502"/>
      <c r="BN771" s="502"/>
      <c r="BO771" s="502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</row>
    <row r="772" s="504" customFormat="true" ht="12.75" hidden="true" customHeight="true" outlineLevel="0" collapsed="false">
      <c r="A772" s="5"/>
      <c r="B772" s="813" t="n">
        <f aca="false">B771+1</f>
        <v>557</v>
      </c>
      <c r="C772" s="814" t="n">
        <f aca="false">C771+D772</f>
        <v>68246.7207651087</v>
      </c>
      <c r="D772" s="815" t="n">
        <f aca="false">E772*$E$205*M772</f>
        <v>167.132420910889</v>
      </c>
      <c r="E772" s="601" t="n">
        <f aca="false">E771+$C$204</f>
        <v>10.5994686016546</v>
      </c>
      <c r="F772" s="816" t="n">
        <f aca="false">F771+1</f>
        <v>557</v>
      </c>
      <c r="G772" s="775" t="n">
        <f aca="false">C772</f>
        <v>68246.7207651087</v>
      </c>
      <c r="H772" s="817" t="n">
        <f aca="false">1000*(E772-E771)</f>
        <v>9.99999999999979</v>
      </c>
      <c r="I772" s="5"/>
      <c r="J772" s="818" t="n">
        <f aca="false">1000*(E772-$E$215)/(B772-$B$215)</f>
        <v>12.8256190818164</v>
      </c>
      <c r="K772" s="732" t="n">
        <f aca="false">AVERAGE($E$216:E772)</f>
        <v>7.80582407741765</v>
      </c>
      <c r="L772" s="819" t="n">
        <f aca="false">L771+1</f>
        <v>557</v>
      </c>
      <c r="M772" s="820" t="n">
        <f aca="false">IF(B772&lt;$E$104,$E$105,$E$106)</f>
        <v>3</v>
      </c>
      <c r="N772" s="821" t="n">
        <f aca="false">IF(B772&lt;$E$104,$E$105,$E$111)</f>
        <v>2.5</v>
      </c>
      <c r="O772" s="822" t="n">
        <f aca="false">E772*$E$205*N772</f>
        <v>139.277017425741</v>
      </c>
      <c r="P772" s="823" t="n">
        <f aca="false">P771+O772</f>
        <v>56923.9479046335</v>
      </c>
      <c r="Q772" s="606" t="n">
        <f aca="false">Q771+1</f>
        <v>557</v>
      </c>
      <c r="R772" s="824" t="n">
        <f aca="false">R771-1</f>
        <v>-557</v>
      </c>
      <c r="S772" s="5"/>
      <c r="T772" s="5"/>
      <c r="U772" s="5"/>
      <c r="V772" s="10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02"/>
      <c r="AU772" s="502"/>
      <c r="AV772" s="606"/>
      <c r="AW772" s="502"/>
      <c r="AX772" s="502"/>
      <c r="AY772" s="502"/>
      <c r="AZ772" s="502"/>
      <c r="BA772" s="502"/>
      <c r="BB772" s="502"/>
      <c r="BC772" s="502"/>
      <c r="BD772" s="502"/>
      <c r="BE772" s="502"/>
      <c r="BF772" s="502"/>
      <c r="BG772" s="502"/>
      <c r="BH772" s="502"/>
      <c r="BI772" s="502"/>
      <c r="BJ772" s="502"/>
      <c r="BK772" s="502"/>
      <c r="BL772" s="502"/>
      <c r="BM772" s="502"/>
      <c r="BN772" s="502"/>
      <c r="BO772" s="502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</row>
    <row r="773" s="504" customFormat="true" ht="12.75" hidden="true" customHeight="true" outlineLevel="0" collapsed="false">
      <c r="A773" s="5"/>
      <c r="B773" s="813" t="n">
        <f aca="false">B772+1</f>
        <v>558</v>
      </c>
      <c r="C773" s="814" t="n">
        <f aca="false">C772+D773</f>
        <v>68414.0108660196</v>
      </c>
      <c r="D773" s="815" t="n">
        <f aca="false">E773*$E$205*M773</f>
        <v>167.290100910889</v>
      </c>
      <c r="E773" s="601" t="n">
        <f aca="false">E772+$C$204</f>
        <v>10.6094686016546</v>
      </c>
      <c r="F773" s="816" t="n">
        <f aca="false">F772+1</f>
        <v>558</v>
      </c>
      <c r="G773" s="775" t="n">
        <f aca="false">C773</f>
        <v>68414.0108660196</v>
      </c>
      <c r="H773" s="817" t="n">
        <f aca="false">1000*(E773-E772)</f>
        <v>9.99999999999979</v>
      </c>
      <c r="I773" s="5"/>
      <c r="J773" s="818" t="n">
        <f aca="false">1000*(E773-$E$215)/(B773-$B$215)</f>
        <v>12.8205552483364</v>
      </c>
      <c r="K773" s="732" t="n">
        <f aca="false">AVERAGE($E$216:E773)</f>
        <v>7.81084852997004</v>
      </c>
      <c r="L773" s="819" t="n">
        <f aca="false">L772+1</f>
        <v>558</v>
      </c>
      <c r="M773" s="820" t="n">
        <f aca="false">IF(B773&lt;$E$104,$E$105,$E$106)</f>
        <v>3</v>
      </c>
      <c r="N773" s="821" t="n">
        <f aca="false">IF(B773&lt;$E$104,$E$105,$E$111)</f>
        <v>2.5</v>
      </c>
      <c r="O773" s="822" t="n">
        <f aca="false">E773*$E$205*N773</f>
        <v>139.408417425741</v>
      </c>
      <c r="P773" s="823" t="n">
        <f aca="false">P772+O773</f>
        <v>57063.3563220592</v>
      </c>
      <c r="Q773" s="606" t="n">
        <f aca="false">Q772+1</f>
        <v>558</v>
      </c>
      <c r="R773" s="824" t="n">
        <f aca="false">R772-1</f>
        <v>-558</v>
      </c>
      <c r="S773" s="5"/>
      <c r="T773" s="5"/>
      <c r="U773" s="5"/>
      <c r="V773" s="10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02"/>
      <c r="AU773" s="502"/>
      <c r="AV773" s="606"/>
      <c r="AW773" s="502"/>
      <c r="AX773" s="502"/>
      <c r="AY773" s="502"/>
      <c r="AZ773" s="502"/>
      <c r="BA773" s="502"/>
      <c r="BB773" s="502"/>
      <c r="BC773" s="502"/>
      <c r="BD773" s="502"/>
      <c r="BE773" s="502"/>
      <c r="BF773" s="502"/>
      <c r="BG773" s="502"/>
      <c r="BH773" s="502"/>
      <c r="BI773" s="502"/>
      <c r="BJ773" s="502"/>
      <c r="BK773" s="502"/>
      <c r="BL773" s="502"/>
      <c r="BM773" s="502"/>
      <c r="BN773" s="502"/>
      <c r="BO773" s="502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</row>
    <row r="774" s="504" customFormat="true" ht="12.75" hidden="true" customHeight="true" outlineLevel="0" collapsed="false">
      <c r="A774" s="5"/>
      <c r="B774" s="813" t="n">
        <f aca="false">B773+1</f>
        <v>559</v>
      </c>
      <c r="C774" s="814" t="n">
        <f aca="false">C773+D774</f>
        <v>68581.4586469305</v>
      </c>
      <c r="D774" s="815" t="n">
        <f aca="false">E774*$E$205*M774</f>
        <v>167.447780910889</v>
      </c>
      <c r="E774" s="601" t="n">
        <f aca="false">E773+$C$204</f>
        <v>10.6194686016546</v>
      </c>
      <c r="F774" s="816" t="n">
        <f aca="false">F773+1</f>
        <v>559</v>
      </c>
      <c r="G774" s="775" t="n">
        <f aca="false">C774</f>
        <v>68581.4586469305</v>
      </c>
      <c r="H774" s="817" t="n">
        <f aca="false">1000*(E774-E773)</f>
        <v>9.99999999999979</v>
      </c>
      <c r="I774" s="5"/>
      <c r="J774" s="818" t="n">
        <f aca="false">1000*(E774-$E$215)/(B774-$B$215)</f>
        <v>12.8155095323287</v>
      </c>
      <c r="K774" s="732" t="n">
        <f aca="false">AVERAGE($E$216:E774)</f>
        <v>7.81587289503567</v>
      </c>
      <c r="L774" s="819" t="n">
        <f aca="false">L773+1</f>
        <v>559</v>
      </c>
      <c r="M774" s="820" t="n">
        <f aca="false">IF(B774&lt;$E$104,$E$105,$E$106)</f>
        <v>3</v>
      </c>
      <c r="N774" s="821" t="n">
        <f aca="false">IF(B774&lt;$E$104,$E$105,$E$111)</f>
        <v>2.5</v>
      </c>
      <c r="O774" s="822" t="n">
        <f aca="false">E774*$E$205*N774</f>
        <v>139.539817425741</v>
      </c>
      <c r="P774" s="823" t="n">
        <f aca="false">P773+O774</f>
        <v>57202.8961394849</v>
      </c>
      <c r="Q774" s="606" t="n">
        <f aca="false">Q773+1</f>
        <v>559</v>
      </c>
      <c r="R774" s="824" t="n">
        <f aca="false">R773-1</f>
        <v>-559</v>
      </c>
      <c r="S774" s="5"/>
      <c r="T774" s="5"/>
      <c r="U774" s="5"/>
      <c r="V774" s="10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02"/>
      <c r="AU774" s="502"/>
      <c r="AV774" s="606"/>
      <c r="AW774" s="502"/>
      <c r="AX774" s="502"/>
      <c r="AY774" s="502"/>
      <c r="AZ774" s="502"/>
      <c r="BA774" s="502"/>
      <c r="BB774" s="502"/>
      <c r="BC774" s="502"/>
      <c r="BD774" s="502"/>
      <c r="BE774" s="502"/>
      <c r="BF774" s="502"/>
      <c r="BG774" s="502"/>
      <c r="BH774" s="502"/>
      <c r="BI774" s="502"/>
      <c r="BJ774" s="502"/>
      <c r="BK774" s="502"/>
      <c r="BL774" s="502"/>
      <c r="BM774" s="502"/>
      <c r="BN774" s="502"/>
      <c r="BO774" s="502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</row>
    <row r="775" s="504" customFormat="true" ht="12.75" hidden="true" customHeight="true" outlineLevel="0" collapsed="false">
      <c r="A775" s="5"/>
      <c r="B775" s="813" t="n">
        <f aca="false">B774+1</f>
        <v>560</v>
      </c>
      <c r="C775" s="814" t="n">
        <f aca="false">C774+D775</f>
        <v>68749.0641078414</v>
      </c>
      <c r="D775" s="815" t="n">
        <f aca="false">E775*$E$205*M775</f>
        <v>167.605460910889</v>
      </c>
      <c r="E775" s="601" t="n">
        <f aca="false">E774+$C$204</f>
        <v>10.6294686016546</v>
      </c>
      <c r="F775" s="816" t="n">
        <f aca="false">F774+1</f>
        <v>560</v>
      </c>
      <c r="G775" s="775" t="n">
        <f aca="false">C775</f>
        <v>68749.0641078414</v>
      </c>
      <c r="H775" s="817" t="n">
        <f aca="false">1000*(E775-E774)</f>
        <v>9.99999999999979</v>
      </c>
      <c r="I775" s="5"/>
      <c r="J775" s="818" t="n">
        <f aca="false">1000*(E775-$E$215)/(B775-$B$215)</f>
        <v>12.8104818367352</v>
      </c>
      <c r="K775" s="732" t="n">
        <f aca="false">AVERAGE($E$216:E775)</f>
        <v>7.8208971730832</v>
      </c>
      <c r="L775" s="819" t="n">
        <f aca="false">L774+1</f>
        <v>560</v>
      </c>
      <c r="M775" s="820" t="n">
        <f aca="false">IF(B775&lt;$E$104,$E$105,$E$106)</f>
        <v>3</v>
      </c>
      <c r="N775" s="821" t="n">
        <f aca="false">IF(B775&lt;$E$104,$E$105,$E$111)</f>
        <v>2.5</v>
      </c>
      <c r="O775" s="822" t="n">
        <f aca="false">E775*$E$205*N775</f>
        <v>139.671217425741</v>
      </c>
      <c r="P775" s="823" t="n">
        <f aca="false">P774+O775</f>
        <v>57342.5673569107</v>
      </c>
      <c r="Q775" s="606" t="n">
        <f aca="false">Q774+1</f>
        <v>560</v>
      </c>
      <c r="R775" s="824" t="n">
        <f aca="false">R774-1</f>
        <v>-560</v>
      </c>
      <c r="S775" s="5"/>
      <c r="T775" s="5"/>
      <c r="U775" s="5"/>
      <c r="V775" s="10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02"/>
      <c r="AU775" s="502"/>
      <c r="AV775" s="606"/>
      <c r="AW775" s="502"/>
      <c r="AX775" s="502"/>
      <c r="AY775" s="502"/>
      <c r="AZ775" s="502"/>
      <c r="BA775" s="502"/>
      <c r="BB775" s="502"/>
      <c r="BC775" s="502"/>
      <c r="BD775" s="502"/>
      <c r="BE775" s="502"/>
      <c r="BF775" s="502"/>
      <c r="BG775" s="502"/>
      <c r="BH775" s="502"/>
      <c r="BI775" s="502"/>
      <c r="BJ775" s="502"/>
      <c r="BK775" s="502"/>
      <c r="BL775" s="502"/>
      <c r="BM775" s="502"/>
      <c r="BN775" s="502"/>
      <c r="BO775" s="502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</row>
    <row r="776" s="504" customFormat="true" ht="12.75" hidden="true" customHeight="true" outlineLevel="0" collapsed="false">
      <c r="A776" s="5"/>
      <c r="B776" s="813" t="n">
        <f aca="false">B775+1</f>
        <v>561</v>
      </c>
      <c r="C776" s="814" t="n">
        <f aca="false">C775+D776</f>
        <v>68916.8272487523</v>
      </c>
      <c r="D776" s="815" t="n">
        <f aca="false">E776*$E$205*M776</f>
        <v>167.763140910889</v>
      </c>
      <c r="E776" s="601" t="n">
        <f aca="false">E775+$C$204</f>
        <v>10.6394686016546</v>
      </c>
      <c r="F776" s="816" t="n">
        <f aca="false">F775+1</f>
        <v>561</v>
      </c>
      <c r="G776" s="775" t="n">
        <f aca="false">C776</f>
        <v>68916.8272487523</v>
      </c>
      <c r="H776" s="817" t="n">
        <f aca="false">1000*(E776-E775)</f>
        <v>9.99999999999979</v>
      </c>
      <c r="I776" s="5"/>
      <c r="J776" s="818" t="n">
        <f aca="false">1000*(E776-$E$215)/(B776-$B$215)</f>
        <v>12.8054720651902</v>
      </c>
      <c r="K776" s="732" t="n">
        <f aca="false">AVERAGE($E$216:E776)</f>
        <v>7.82592136457798</v>
      </c>
      <c r="L776" s="819" t="n">
        <f aca="false">L775+1</f>
        <v>561</v>
      </c>
      <c r="M776" s="820" t="n">
        <f aca="false">IF(B776&lt;$E$104,$E$105,$E$106)</f>
        <v>3</v>
      </c>
      <c r="N776" s="821" t="n">
        <f aca="false">IF(B776&lt;$E$104,$E$105,$E$111)</f>
        <v>2.5</v>
      </c>
      <c r="O776" s="822" t="n">
        <f aca="false">E776*$E$205*N776</f>
        <v>139.802617425741</v>
      </c>
      <c r="P776" s="823" t="n">
        <f aca="false">P775+O776</f>
        <v>57482.3699743364</v>
      </c>
      <c r="Q776" s="606" t="n">
        <f aca="false">Q775+1</f>
        <v>561</v>
      </c>
      <c r="R776" s="824" t="n">
        <f aca="false">R775-1</f>
        <v>-561</v>
      </c>
      <c r="S776" s="5"/>
      <c r="T776" s="5"/>
      <c r="U776" s="5"/>
      <c r="V776" s="10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02"/>
      <c r="AU776" s="502"/>
      <c r="AV776" s="606"/>
      <c r="AW776" s="502"/>
      <c r="AX776" s="502"/>
      <c r="AY776" s="502"/>
      <c r="AZ776" s="502"/>
      <c r="BA776" s="502"/>
      <c r="BB776" s="502"/>
      <c r="BC776" s="502"/>
      <c r="BD776" s="502"/>
      <c r="BE776" s="502"/>
      <c r="BF776" s="502"/>
      <c r="BG776" s="502"/>
      <c r="BH776" s="502"/>
      <c r="BI776" s="502"/>
      <c r="BJ776" s="502"/>
      <c r="BK776" s="502"/>
      <c r="BL776" s="502"/>
      <c r="BM776" s="502"/>
      <c r="BN776" s="502"/>
      <c r="BO776" s="502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</row>
    <row r="777" s="504" customFormat="true" ht="12.75" hidden="true" customHeight="true" outlineLevel="0" collapsed="false">
      <c r="A777" s="5"/>
      <c r="B777" s="813" t="n">
        <f aca="false">B776+1</f>
        <v>562</v>
      </c>
      <c r="C777" s="814" t="n">
        <f aca="false">C776+D777</f>
        <v>69084.7480696631</v>
      </c>
      <c r="D777" s="815" t="n">
        <f aca="false">E777*$E$205*M777</f>
        <v>167.920820910889</v>
      </c>
      <c r="E777" s="601" t="n">
        <f aca="false">E776+$C$204</f>
        <v>10.6494686016546</v>
      </c>
      <c r="F777" s="816" t="n">
        <f aca="false">F776+1</f>
        <v>562</v>
      </c>
      <c r="G777" s="775" t="n">
        <f aca="false">C777</f>
        <v>69084.7480696631</v>
      </c>
      <c r="H777" s="817" t="n">
        <f aca="false">1000*(E777-E776)</f>
        <v>9.99999999999979</v>
      </c>
      <c r="I777" s="5"/>
      <c r="J777" s="818" t="n">
        <f aca="false">1000*(E777-$E$215)/(B777-$B$215)</f>
        <v>12.8004801220137</v>
      </c>
      <c r="K777" s="732" t="n">
        <f aca="false">AVERAGE($E$216:E777)</f>
        <v>7.83094546998203</v>
      </c>
      <c r="L777" s="819" t="n">
        <f aca="false">L776+1</f>
        <v>562</v>
      </c>
      <c r="M777" s="820" t="n">
        <f aca="false">IF(B777&lt;$E$104,$E$105,$E$106)</f>
        <v>3</v>
      </c>
      <c r="N777" s="821" t="n">
        <f aca="false">IF(B777&lt;$E$104,$E$105,$E$111)</f>
        <v>2.5</v>
      </c>
      <c r="O777" s="822" t="n">
        <f aca="false">E777*$E$205*N777</f>
        <v>139.934017425741</v>
      </c>
      <c r="P777" s="823" t="n">
        <f aca="false">P776+O777</f>
        <v>57622.3039917622</v>
      </c>
      <c r="Q777" s="606" t="n">
        <f aca="false">Q776+1</f>
        <v>562</v>
      </c>
      <c r="R777" s="824" t="n">
        <f aca="false">R776-1</f>
        <v>-562</v>
      </c>
      <c r="S777" s="5"/>
      <c r="T777" s="5"/>
      <c r="U777" s="5"/>
      <c r="V777" s="10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02"/>
      <c r="AU777" s="502"/>
      <c r="AV777" s="606"/>
      <c r="AW777" s="502"/>
      <c r="AX777" s="502"/>
      <c r="AY777" s="502"/>
      <c r="AZ777" s="502"/>
      <c r="BA777" s="502"/>
      <c r="BB777" s="502"/>
      <c r="BC777" s="502"/>
      <c r="BD777" s="502"/>
      <c r="BE777" s="502"/>
      <c r="BF777" s="502"/>
      <c r="BG777" s="502"/>
      <c r="BH777" s="502"/>
      <c r="BI777" s="502"/>
      <c r="BJ777" s="502"/>
      <c r="BK777" s="502"/>
      <c r="BL777" s="502"/>
      <c r="BM777" s="502"/>
      <c r="BN777" s="502"/>
      <c r="BO777" s="502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</row>
    <row r="778" s="504" customFormat="true" ht="12.75" hidden="true" customHeight="true" outlineLevel="0" collapsed="false">
      <c r="A778" s="5"/>
      <c r="B778" s="813" t="n">
        <f aca="false">B777+1</f>
        <v>563</v>
      </c>
      <c r="C778" s="814" t="n">
        <f aca="false">C777+D778</f>
        <v>69252.826570574</v>
      </c>
      <c r="D778" s="815" t="n">
        <f aca="false">E778*$E$205*M778</f>
        <v>168.078500910889</v>
      </c>
      <c r="E778" s="601" t="n">
        <f aca="false">E777+$C$204</f>
        <v>10.6594686016546</v>
      </c>
      <c r="F778" s="816" t="n">
        <f aca="false">F777+1</f>
        <v>563</v>
      </c>
      <c r="G778" s="775" t="n">
        <f aca="false">C778</f>
        <v>69252.826570574</v>
      </c>
      <c r="H778" s="817" t="n">
        <f aca="false">1000*(E778-E777)</f>
        <v>9.99999999999979</v>
      </c>
      <c r="I778" s="5"/>
      <c r="J778" s="818" t="n">
        <f aca="false">1000*(E778-$E$215)/(B778-$B$215)</f>
        <v>12.7955059122056</v>
      </c>
      <c r="K778" s="732" t="n">
        <f aca="false">AVERAGE($E$216:E778)</f>
        <v>7.8359694897541</v>
      </c>
      <c r="L778" s="819" t="n">
        <f aca="false">L777+1</f>
        <v>563</v>
      </c>
      <c r="M778" s="820" t="n">
        <f aca="false">IF(B778&lt;$E$104,$E$105,$E$106)</f>
        <v>3</v>
      </c>
      <c r="N778" s="821" t="n">
        <f aca="false">IF(B778&lt;$E$104,$E$105,$E$111)</f>
        <v>2.5</v>
      </c>
      <c r="O778" s="822" t="n">
        <f aca="false">E778*$E$205*N778</f>
        <v>140.065417425741</v>
      </c>
      <c r="P778" s="823" t="n">
        <f aca="false">P777+O778</f>
        <v>57762.3694091879</v>
      </c>
      <c r="Q778" s="606" t="n">
        <f aca="false">Q777+1</f>
        <v>563</v>
      </c>
      <c r="R778" s="824" t="n">
        <f aca="false">R777-1</f>
        <v>-563</v>
      </c>
      <c r="S778" s="5"/>
      <c r="T778" s="5"/>
      <c r="U778" s="5"/>
      <c r="V778" s="10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02"/>
      <c r="AU778" s="502"/>
      <c r="AV778" s="606"/>
      <c r="AW778" s="502"/>
      <c r="AX778" s="502"/>
      <c r="AY778" s="502"/>
      <c r="AZ778" s="502"/>
      <c r="BA778" s="502"/>
      <c r="BB778" s="502"/>
      <c r="BC778" s="502"/>
      <c r="BD778" s="502"/>
      <c r="BE778" s="502"/>
      <c r="BF778" s="502"/>
      <c r="BG778" s="502"/>
      <c r="BH778" s="502"/>
      <c r="BI778" s="502"/>
      <c r="BJ778" s="502"/>
      <c r="BK778" s="502"/>
      <c r="BL778" s="502"/>
      <c r="BM778" s="502"/>
      <c r="BN778" s="502"/>
      <c r="BO778" s="502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</row>
    <row r="779" s="504" customFormat="true" ht="12.75" hidden="true" customHeight="true" outlineLevel="0" collapsed="false">
      <c r="A779" s="5"/>
      <c r="B779" s="813" t="n">
        <f aca="false">B778+1</f>
        <v>564</v>
      </c>
      <c r="C779" s="814" t="n">
        <f aca="false">C778+D779</f>
        <v>69421.0627514849</v>
      </c>
      <c r="D779" s="815" t="n">
        <f aca="false">E779*$E$205*M779</f>
        <v>168.236180910889</v>
      </c>
      <c r="E779" s="601" t="n">
        <f aca="false">E778+$C$204</f>
        <v>10.6694686016546</v>
      </c>
      <c r="F779" s="816" t="n">
        <f aca="false">F778+1</f>
        <v>564</v>
      </c>
      <c r="G779" s="775" t="n">
        <f aca="false">C779</f>
        <v>69421.0627514849</v>
      </c>
      <c r="H779" s="817" t="n">
        <f aca="false">1000*(E779-E778)</f>
        <v>9.99999999999979</v>
      </c>
      <c r="I779" s="5"/>
      <c r="J779" s="818" t="n">
        <f aca="false">1000*(E779-$E$215)/(B779-$B$215)</f>
        <v>12.7905493414392</v>
      </c>
      <c r="K779" s="732" t="n">
        <f aca="false">AVERAGE($E$216:E779)</f>
        <v>7.84099342434967</v>
      </c>
      <c r="L779" s="819" t="n">
        <f aca="false">L778+1</f>
        <v>564</v>
      </c>
      <c r="M779" s="820" t="n">
        <f aca="false">IF(B779&lt;$E$104,$E$105,$E$106)</f>
        <v>3</v>
      </c>
      <c r="N779" s="821" t="n">
        <f aca="false">IF(B779&lt;$E$104,$E$105,$E$111)</f>
        <v>2.5</v>
      </c>
      <c r="O779" s="822" t="n">
        <f aca="false">E779*$E$205*N779</f>
        <v>140.196817425741</v>
      </c>
      <c r="P779" s="823" t="n">
        <f aca="false">P778+O779</f>
        <v>57902.5662266136</v>
      </c>
      <c r="Q779" s="606" t="n">
        <f aca="false">Q778+1</f>
        <v>564</v>
      </c>
      <c r="R779" s="824" t="n">
        <f aca="false">R778-1</f>
        <v>-564</v>
      </c>
      <c r="S779" s="5"/>
      <c r="T779" s="5"/>
      <c r="U779" s="5"/>
      <c r="V779" s="10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02"/>
      <c r="AU779" s="502"/>
      <c r="AV779" s="606"/>
      <c r="AW779" s="502"/>
      <c r="AX779" s="502"/>
      <c r="AY779" s="502"/>
      <c r="AZ779" s="502"/>
      <c r="BA779" s="502"/>
      <c r="BB779" s="502"/>
      <c r="BC779" s="502"/>
      <c r="BD779" s="502"/>
      <c r="BE779" s="502"/>
      <c r="BF779" s="502"/>
      <c r="BG779" s="502"/>
      <c r="BH779" s="502"/>
      <c r="BI779" s="502"/>
      <c r="BJ779" s="502"/>
      <c r="BK779" s="502"/>
      <c r="BL779" s="502"/>
      <c r="BM779" s="502"/>
      <c r="BN779" s="502"/>
      <c r="BO779" s="502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</row>
    <row r="780" s="504" customFormat="true" ht="12.75" hidden="true" customHeight="true" outlineLevel="0" collapsed="false">
      <c r="A780" s="5"/>
      <c r="B780" s="813" t="n">
        <f aca="false">B779+1</f>
        <v>565</v>
      </c>
      <c r="C780" s="814" t="n">
        <f aca="false">C779+D780</f>
        <v>69589.4566123958</v>
      </c>
      <c r="D780" s="815" t="n">
        <f aca="false">E780*$E$205*M780</f>
        <v>168.393860910889</v>
      </c>
      <c r="E780" s="601" t="n">
        <f aca="false">E779+$C$204</f>
        <v>10.6794686016546</v>
      </c>
      <c r="F780" s="816" t="n">
        <f aca="false">F779+1</f>
        <v>565</v>
      </c>
      <c r="G780" s="775" t="n">
        <f aca="false">C780</f>
        <v>69589.4566123958</v>
      </c>
      <c r="H780" s="817" t="n">
        <f aca="false">1000*(E780-E779)</f>
        <v>9.99999999999979</v>
      </c>
      <c r="I780" s="5"/>
      <c r="J780" s="818" t="n">
        <f aca="false">1000*(E780-$E$215)/(B780-$B$215)</f>
        <v>12.7856103160561</v>
      </c>
      <c r="K780" s="732" t="n">
        <f aca="false">AVERAGE($E$216:E780)</f>
        <v>7.846017274221</v>
      </c>
      <c r="L780" s="819" t="n">
        <f aca="false">L779+1</f>
        <v>565</v>
      </c>
      <c r="M780" s="820" t="n">
        <f aca="false">IF(B780&lt;$E$104,$E$105,$E$106)</f>
        <v>3</v>
      </c>
      <c r="N780" s="821" t="n">
        <f aca="false">IF(B780&lt;$E$104,$E$105,$E$111)</f>
        <v>2.5</v>
      </c>
      <c r="O780" s="822" t="n">
        <f aca="false">E780*$E$205*N780</f>
        <v>140.328217425741</v>
      </c>
      <c r="P780" s="823" t="n">
        <f aca="false">P779+O780</f>
        <v>58042.8944440394</v>
      </c>
      <c r="Q780" s="606" t="n">
        <f aca="false">Q779+1</f>
        <v>565</v>
      </c>
      <c r="R780" s="824" t="n">
        <f aca="false">R779-1</f>
        <v>-565</v>
      </c>
      <c r="S780" s="5"/>
      <c r="T780" s="5"/>
      <c r="U780" s="5"/>
      <c r="V780" s="10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02"/>
      <c r="AU780" s="502"/>
      <c r="AV780" s="606"/>
      <c r="AW780" s="502"/>
      <c r="AX780" s="502"/>
      <c r="AY780" s="502"/>
      <c r="AZ780" s="502"/>
      <c r="BA780" s="502"/>
      <c r="BB780" s="502"/>
      <c r="BC780" s="502"/>
      <c r="BD780" s="502"/>
      <c r="BE780" s="502"/>
      <c r="BF780" s="502"/>
      <c r="BG780" s="502"/>
      <c r="BH780" s="502"/>
      <c r="BI780" s="502"/>
      <c r="BJ780" s="502"/>
      <c r="BK780" s="502"/>
      <c r="BL780" s="502"/>
      <c r="BM780" s="502"/>
      <c r="BN780" s="502"/>
      <c r="BO780" s="502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</row>
    <row r="781" s="504" customFormat="true" ht="12.75" hidden="true" customHeight="true" outlineLevel="0" collapsed="false">
      <c r="A781" s="5"/>
      <c r="B781" s="813" t="n">
        <f aca="false">B780+1</f>
        <v>566</v>
      </c>
      <c r="C781" s="814" t="n">
        <f aca="false">C780+D781</f>
        <v>69758.0081533067</v>
      </c>
      <c r="D781" s="815" t="n">
        <f aca="false">E781*$E$205*M781</f>
        <v>168.551540910889</v>
      </c>
      <c r="E781" s="601" t="n">
        <f aca="false">E780+$C$204</f>
        <v>10.6894686016546</v>
      </c>
      <c r="F781" s="816" t="n">
        <f aca="false">F780+1</f>
        <v>566</v>
      </c>
      <c r="G781" s="775" t="n">
        <f aca="false">C781</f>
        <v>69758.0081533067</v>
      </c>
      <c r="H781" s="817" t="n">
        <f aca="false">1000*(E781-E780)</f>
        <v>9.99999999999979</v>
      </c>
      <c r="I781" s="5"/>
      <c r="J781" s="818" t="n">
        <f aca="false">1000*(E781-$E$215)/(B781-$B$215)</f>
        <v>12.7806887430596</v>
      </c>
      <c r="K781" s="732" t="n">
        <f aca="false">AVERAGE($E$216:E781)</f>
        <v>7.85104103981718</v>
      </c>
      <c r="L781" s="819" t="n">
        <f aca="false">L780+1</f>
        <v>566</v>
      </c>
      <c r="M781" s="820" t="n">
        <f aca="false">IF(B781&lt;$E$104,$E$105,$E$106)</f>
        <v>3</v>
      </c>
      <c r="N781" s="821" t="n">
        <f aca="false">IF(B781&lt;$E$104,$E$105,$E$111)</f>
        <v>2.5</v>
      </c>
      <c r="O781" s="822" t="n">
        <f aca="false">E781*$E$205*N781</f>
        <v>140.459617425741</v>
      </c>
      <c r="P781" s="823" t="n">
        <f aca="false">P780+O781</f>
        <v>58183.3540614651</v>
      </c>
      <c r="Q781" s="606" t="n">
        <f aca="false">Q780+1</f>
        <v>566</v>
      </c>
      <c r="R781" s="824" t="n">
        <f aca="false">R780-1</f>
        <v>-566</v>
      </c>
      <c r="S781" s="5"/>
      <c r="T781" s="5"/>
      <c r="U781" s="5"/>
      <c r="V781" s="10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02"/>
      <c r="AU781" s="502"/>
      <c r="AV781" s="606"/>
      <c r="AW781" s="502"/>
      <c r="AX781" s="502"/>
      <c r="AY781" s="502"/>
      <c r="AZ781" s="502"/>
      <c r="BA781" s="502"/>
      <c r="BB781" s="502"/>
      <c r="BC781" s="502"/>
      <c r="BD781" s="502"/>
      <c r="BE781" s="502"/>
      <c r="BF781" s="502"/>
      <c r="BG781" s="502"/>
      <c r="BH781" s="502"/>
      <c r="BI781" s="502"/>
      <c r="BJ781" s="502"/>
      <c r="BK781" s="502"/>
      <c r="BL781" s="502"/>
      <c r="BM781" s="502"/>
      <c r="BN781" s="502"/>
      <c r="BO781" s="502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</row>
    <row r="782" s="504" customFormat="true" ht="12.75" hidden="true" customHeight="true" outlineLevel="0" collapsed="false">
      <c r="A782" s="5"/>
      <c r="B782" s="813" t="n">
        <f aca="false">B781+1</f>
        <v>567</v>
      </c>
      <c r="C782" s="814" t="n">
        <f aca="false">C781+D782</f>
        <v>69926.7173742176</v>
      </c>
      <c r="D782" s="815" t="n">
        <f aca="false">E782*$E$205*M782</f>
        <v>168.709220910889</v>
      </c>
      <c r="E782" s="601" t="n">
        <f aca="false">E781+$C$204</f>
        <v>10.6994686016546</v>
      </c>
      <c r="F782" s="816" t="n">
        <f aca="false">F781+1</f>
        <v>567</v>
      </c>
      <c r="G782" s="775" t="n">
        <f aca="false">C782</f>
        <v>69926.7173742176</v>
      </c>
      <c r="H782" s="817" t="n">
        <f aca="false">1000*(E782-E781)</f>
        <v>9.99999999999979</v>
      </c>
      <c r="I782" s="5"/>
      <c r="J782" s="818" t="n">
        <f aca="false">1000*(E782-$E$215)/(B782-$B$215)</f>
        <v>12.7757845301089</v>
      </c>
      <c r="K782" s="732" t="n">
        <f aca="false">AVERAGE($E$216:E782)</f>
        <v>7.85606472158408</v>
      </c>
      <c r="L782" s="819" t="n">
        <f aca="false">L781+1</f>
        <v>567</v>
      </c>
      <c r="M782" s="820" t="n">
        <f aca="false">IF(B782&lt;$E$104,$E$105,$E$106)</f>
        <v>3</v>
      </c>
      <c r="N782" s="821" t="n">
        <f aca="false">IF(B782&lt;$E$104,$E$105,$E$111)</f>
        <v>2.5</v>
      </c>
      <c r="O782" s="822" t="n">
        <f aca="false">E782*$E$205*N782</f>
        <v>140.591017425741</v>
      </c>
      <c r="P782" s="823" t="n">
        <f aca="false">P781+O782</f>
        <v>58323.9450788909</v>
      </c>
      <c r="Q782" s="606" t="n">
        <f aca="false">Q781+1</f>
        <v>567</v>
      </c>
      <c r="R782" s="824" t="n">
        <f aca="false">R781-1</f>
        <v>-567</v>
      </c>
      <c r="S782" s="5"/>
      <c r="T782" s="5"/>
      <c r="U782" s="5"/>
      <c r="V782" s="10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02"/>
      <c r="AU782" s="502"/>
      <c r="AV782" s="606"/>
      <c r="AW782" s="502"/>
      <c r="AX782" s="502"/>
      <c r="AY782" s="502"/>
      <c r="AZ782" s="502"/>
      <c r="BA782" s="502"/>
      <c r="BB782" s="502"/>
      <c r="BC782" s="502"/>
      <c r="BD782" s="502"/>
      <c r="BE782" s="502"/>
      <c r="BF782" s="502"/>
      <c r="BG782" s="502"/>
      <c r="BH782" s="502"/>
      <c r="BI782" s="502"/>
      <c r="BJ782" s="502"/>
      <c r="BK782" s="502"/>
      <c r="BL782" s="502"/>
      <c r="BM782" s="502"/>
      <c r="BN782" s="502"/>
      <c r="BO782" s="502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</row>
    <row r="783" s="504" customFormat="true" ht="12.75" hidden="true" customHeight="true" outlineLevel="0" collapsed="false">
      <c r="A783" s="5"/>
      <c r="B783" s="813" t="n">
        <f aca="false">B782+1</f>
        <v>568</v>
      </c>
      <c r="C783" s="814" t="n">
        <f aca="false">C782+D783</f>
        <v>70095.5842751285</v>
      </c>
      <c r="D783" s="815" t="n">
        <f aca="false">E783*$E$205*M783</f>
        <v>168.866900910889</v>
      </c>
      <c r="E783" s="601" t="n">
        <f aca="false">E782+$C$204</f>
        <v>10.7094686016546</v>
      </c>
      <c r="F783" s="816" t="n">
        <f aca="false">F782+1</f>
        <v>568</v>
      </c>
      <c r="G783" s="775" t="n">
        <f aca="false">C783</f>
        <v>70095.5842751285</v>
      </c>
      <c r="H783" s="817" t="n">
        <f aca="false">1000*(E783-E782)</f>
        <v>9.99999999999979</v>
      </c>
      <c r="I783" s="5"/>
      <c r="J783" s="818" t="n">
        <f aca="false">1000*(E783-$E$215)/(B783-$B$215)</f>
        <v>12.7708975855136</v>
      </c>
      <c r="K783" s="732" t="n">
        <f aca="false">AVERAGE($E$216:E783)</f>
        <v>7.86108831996449</v>
      </c>
      <c r="L783" s="819" t="n">
        <f aca="false">L782+1</f>
        <v>568</v>
      </c>
      <c r="M783" s="820" t="n">
        <f aca="false">IF(B783&lt;$E$104,$E$105,$E$106)</f>
        <v>3</v>
      </c>
      <c r="N783" s="821" t="n">
        <f aca="false">IF(B783&lt;$E$104,$E$105,$E$111)</f>
        <v>2.5</v>
      </c>
      <c r="O783" s="822" t="n">
        <f aca="false">E783*$E$205*N783</f>
        <v>140.722417425741</v>
      </c>
      <c r="P783" s="823" t="n">
        <f aca="false">P782+O783</f>
        <v>58464.6674963166</v>
      </c>
      <c r="Q783" s="606" t="n">
        <f aca="false">Q782+1</f>
        <v>568</v>
      </c>
      <c r="R783" s="824" t="n">
        <f aca="false">R782-1</f>
        <v>-568</v>
      </c>
      <c r="S783" s="5"/>
      <c r="T783" s="5"/>
      <c r="U783" s="5"/>
      <c r="V783" s="10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02"/>
      <c r="AU783" s="502"/>
      <c r="AV783" s="606"/>
      <c r="AW783" s="502"/>
      <c r="AX783" s="502"/>
      <c r="AY783" s="502"/>
      <c r="AZ783" s="502"/>
      <c r="BA783" s="502"/>
      <c r="BB783" s="502"/>
      <c r="BC783" s="502"/>
      <c r="BD783" s="502"/>
      <c r="BE783" s="502"/>
      <c r="BF783" s="502"/>
      <c r="BG783" s="502"/>
      <c r="BH783" s="502"/>
      <c r="BI783" s="502"/>
      <c r="BJ783" s="502"/>
      <c r="BK783" s="502"/>
      <c r="BL783" s="502"/>
      <c r="BM783" s="502"/>
      <c r="BN783" s="502"/>
      <c r="BO783" s="502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</row>
    <row r="784" s="504" customFormat="true" ht="12.75" hidden="true" customHeight="true" outlineLevel="0" collapsed="false">
      <c r="A784" s="5"/>
      <c r="B784" s="813" t="n">
        <f aca="false">B783+1</f>
        <v>569</v>
      </c>
      <c r="C784" s="814" t="n">
        <f aca="false">C783+D784</f>
        <v>70264.6088560394</v>
      </c>
      <c r="D784" s="815" t="n">
        <f aca="false">E784*$E$205*M784</f>
        <v>169.024580910889</v>
      </c>
      <c r="E784" s="601" t="n">
        <f aca="false">E783+$C$204</f>
        <v>10.7194686016546</v>
      </c>
      <c r="F784" s="816" t="n">
        <f aca="false">F783+1</f>
        <v>569</v>
      </c>
      <c r="G784" s="775" t="n">
        <f aca="false">C784</f>
        <v>70264.6088560394</v>
      </c>
      <c r="H784" s="817" t="n">
        <f aca="false">1000*(E784-E783)</f>
        <v>9.99999999999979</v>
      </c>
      <c r="I784" s="5"/>
      <c r="J784" s="818" t="n">
        <f aca="false">1000*(E784-$E$215)/(B784-$B$215)</f>
        <v>12.766027818228</v>
      </c>
      <c r="K784" s="732" t="n">
        <f aca="false">AVERAGE($E$216:E784)</f>
        <v>7.86611183539804</v>
      </c>
      <c r="L784" s="819" t="n">
        <f aca="false">L783+1</f>
        <v>569</v>
      </c>
      <c r="M784" s="820" t="n">
        <f aca="false">IF(B784&lt;$E$104,$E$105,$E$106)</f>
        <v>3</v>
      </c>
      <c r="N784" s="821" t="n">
        <f aca="false">IF(B784&lt;$E$104,$E$105,$E$111)</f>
        <v>2.5</v>
      </c>
      <c r="O784" s="822" t="n">
        <f aca="false">E784*$E$205*N784</f>
        <v>140.853817425741</v>
      </c>
      <c r="P784" s="823" t="n">
        <f aca="false">P783+O784</f>
        <v>58605.5213137423</v>
      </c>
      <c r="Q784" s="606" t="n">
        <f aca="false">Q783+1</f>
        <v>569</v>
      </c>
      <c r="R784" s="824" t="n">
        <f aca="false">R783-1</f>
        <v>-569</v>
      </c>
      <c r="S784" s="5"/>
      <c r="T784" s="5"/>
      <c r="U784" s="5"/>
      <c r="V784" s="10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02"/>
      <c r="AU784" s="502"/>
      <c r="AV784" s="606"/>
      <c r="AW784" s="502"/>
      <c r="AX784" s="502"/>
      <c r="AY784" s="502"/>
      <c r="AZ784" s="502"/>
      <c r="BA784" s="502"/>
      <c r="BB784" s="502"/>
      <c r="BC784" s="502"/>
      <c r="BD784" s="502"/>
      <c r="BE784" s="502"/>
      <c r="BF784" s="502"/>
      <c r="BG784" s="502"/>
      <c r="BH784" s="502"/>
      <c r="BI784" s="502"/>
      <c r="BJ784" s="502"/>
      <c r="BK784" s="502"/>
      <c r="BL784" s="502"/>
      <c r="BM784" s="502"/>
      <c r="BN784" s="502"/>
      <c r="BO784" s="502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</row>
    <row r="785" s="504" customFormat="true" ht="12.75" hidden="true" customHeight="true" outlineLevel="0" collapsed="false">
      <c r="A785" s="5"/>
      <c r="B785" s="813" t="n">
        <f aca="false">B784+1</f>
        <v>570</v>
      </c>
      <c r="C785" s="814" t="n">
        <f aca="false">C784+D785</f>
        <v>70433.7911169503</v>
      </c>
      <c r="D785" s="815" t="n">
        <f aca="false">E785*$E$205*M785</f>
        <v>169.182260910889</v>
      </c>
      <c r="E785" s="601" t="n">
        <f aca="false">E784+$C$204</f>
        <v>10.7294686016546</v>
      </c>
      <c r="F785" s="816" t="n">
        <f aca="false">F784+1</f>
        <v>570</v>
      </c>
      <c r="G785" s="775" t="n">
        <f aca="false">C785</f>
        <v>70433.7911169503</v>
      </c>
      <c r="H785" s="817" t="n">
        <f aca="false">1000*(E785-E784)</f>
        <v>9.99999999999979</v>
      </c>
      <c r="I785" s="5"/>
      <c r="J785" s="818" t="n">
        <f aca="false">1000*(E785-$E$215)/(B785-$B$215)</f>
        <v>12.7611751378451</v>
      </c>
      <c r="K785" s="732" t="n">
        <f aca="false">AVERAGE($E$216:E785)</f>
        <v>7.8711352683213</v>
      </c>
      <c r="L785" s="819" t="n">
        <f aca="false">L784+1</f>
        <v>570</v>
      </c>
      <c r="M785" s="820" t="n">
        <f aca="false">IF(B785&lt;$E$104,$E$105,$E$106)</f>
        <v>3</v>
      </c>
      <c r="N785" s="821" t="n">
        <f aca="false">IF(B785&lt;$E$104,$E$105,$E$111)</f>
        <v>2.5</v>
      </c>
      <c r="O785" s="822" t="n">
        <f aca="false">E785*$E$205*N785</f>
        <v>140.985217425741</v>
      </c>
      <c r="P785" s="823" t="n">
        <f aca="false">P784+O785</f>
        <v>58746.5065311681</v>
      </c>
      <c r="Q785" s="606" t="n">
        <f aca="false">Q784+1</f>
        <v>570</v>
      </c>
      <c r="R785" s="824" t="n">
        <f aca="false">R784-1</f>
        <v>-570</v>
      </c>
      <c r="S785" s="5"/>
      <c r="T785" s="5"/>
      <c r="U785" s="5"/>
      <c r="V785" s="10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02"/>
      <c r="AU785" s="502"/>
      <c r="AV785" s="606"/>
      <c r="AW785" s="502"/>
      <c r="AX785" s="502"/>
      <c r="AY785" s="502"/>
      <c r="AZ785" s="502"/>
      <c r="BA785" s="502"/>
      <c r="BB785" s="502"/>
      <c r="BC785" s="502"/>
      <c r="BD785" s="502"/>
      <c r="BE785" s="502"/>
      <c r="BF785" s="502"/>
      <c r="BG785" s="502"/>
      <c r="BH785" s="502"/>
      <c r="BI785" s="502"/>
      <c r="BJ785" s="502"/>
      <c r="BK785" s="502"/>
      <c r="BL785" s="502"/>
      <c r="BM785" s="502"/>
      <c r="BN785" s="502"/>
      <c r="BO785" s="502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</row>
    <row r="786" s="504" customFormat="true" ht="12.75" hidden="true" customHeight="true" outlineLevel="0" collapsed="false">
      <c r="A786" s="5"/>
      <c r="B786" s="813" t="n">
        <f aca="false">B785+1</f>
        <v>571</v>
      </c>
      <c r="C786" s="814" t="n">
        <f aca="false">C785+D786</f>
        <v>70603.1310578612</v>
      </c>
      <c r="D786" s="815" t="n">
        <f aca="false">E786*$E$205*M786</f>
        <v>169.339940910889</v>
      </c>
      <c r="E786" s="601" t="n">
        <f aca="false">E785+$C$204</f>
        <v>10.7394686016546</v>
      </c>
      <c r="F786" s="816" t="n">
        <f aca="false">F785+1</f>
        <v>571</v>
      </c>
      <c r="G786" s="775" t="n">
        <f aca="false">C786</f>
        <v>70603.1310578612</v>
      </c>
      <c r="H786" s="817" t="n">
        <f aca="false">1000*(E786-E785)</f>
        <v>9.99999999999979</v>
      </c>
      <c r="I786" s="5"/>
      <c r="J786" s="818" t="n">
        <f aca="false">1000*(E786-$E$215)/(B786-$B$215)</f>
        <v>12.7563394545915</v>
      </c>
      <c r="K786" s="732" t="n">
        <f aca="false">AVERAGE($E$216:E786)</f>
        <v>7.87615861916776</v>
      </c>
      <c r="L786" s="819" t="n">
        <f aca="false">L785+1</f>
        <v>571</v>
      </c>
      <c r="M786" s="820" t="n">
        <f aca="false">IF(B786&lt;$E$104,$E$105,$E$106)</f>
        <v>3</v>
      </c>
      <c r="N786" s="821" t="n">
        <f aca="false">IF(B786&lt;$E$104,$E$105,$E$111)</f>
        <v>2.5</v>
      </c>
      <c r="O786" s="822" t="n">
        <f aca="false">E786*$E$205*N786</f>
        <v>141.116617425741</v>
      </c>
      <c r="P786" s="823" t="n">
        <f aca="false">P785+O786</f>
        <v>58887.6231485938</v>
      </c>
      <c r="Q786" s="606" t="n">
        <f aca="false">Q785+1</f>
        <v>571</v>
      </c>
      <c r="R786" s="824" t="n">
        <f aca="false">R785-1</f>
        <v>-571</v>
      </c>
      <c r="S786" s="5"/>
      <c r="T786" s="5"/>
      <c r="U786" s="5"/>
      <c r="V786" s="10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02"/>
      <c r="AU786" s="502"/>
      <c r="AV786" s="606"/>
      <c r="AW786" s="502"/>
      <c r="AX786" s="502"/>
      <c r="AY786" s="502"/>
      <c r="AZ786" s="502"/>
      <c r="BA786" s="502"/>
      <c r="BB786" s="502"/>
      <c r="BC786" s="502"/>
      <c r="BD786" s="502"/>
      <c r="BE786" s="502"/>
      <c r="BF786" s="502"/>
      <c r="BG786" s="502"/>
      <c r="BH786" s="502"/>
      <c r="BI786" s="502"/>
      <c r="BJ786" s="502"/>
      <c r="BK786" s="502"/>
      <c r="BL786" s="502"/>
      <c r="BM786" s="502"/>
      <c r="BN786" s="502"/>
      <c r="BO786" s="502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</row>
    <row r="787" s="504" customFormat="true" ht="12.75" hidden="true" customHeight="true" outlineLevel="0" collapsed="false">
      <c r="A787" s="5"/>
      <c r="B787" s="813" t="n">
        <f aca="false">B786+1</f>
        <v>572</v>
      </c>
      <c r="C787" s="814" t="n">
        <f aca="false">C786+D787</f>
        <v>70772.628678772</v>
      </c>
      <c r="D787" s="815" t="n">
        <f aca="false">E787*$E$205*M787</f>
        <v>169.497620910889</v>
      </c>
      <c r="E787" s="601" t="n">
        <f aca="false">E786+$C$204</f>
        <v>10.7494686016546</v>
      </c>
      <c r="F787" s="816" t="n">
        <f aca="false">F786+1</f>
        <v>572</v>
      </c>
      <c r="G787" s="775" t="n">
        <f aca="false">C787</f>
        <v>70772.628678772</v>
      </c>
      <c r="H787" s="817" t="n">
        <f aca="false">1000*(E787-E786)</f>
        <v>9.99999999999979</v>
      </c>
      <c r="I787" s="5"/>
      <c r="J787" s="818" t="n">
        <f aca="false">1000*(E787-$E$215)/(B787-$B$215)</f>
        <v>12.7515206793212</v>
      </c>
      <c r="K787" s="732" t="n">
        <f aca="false">AVERAGE($E$216:E787)</f>
        <v>7.88118188836792</v>
      </c>
      <c r="L787" s="819" t="n">
        <f aca="false">L786+1</f>
        <v>572</v>
      </c>
      <c r="M787" s="820" t="n">
        <f aca="false">IF(B787&lt;$E$104,$E$105,$E$106)</f>
        <v>3</v>
      </c>
      <c r="N787" s="821" t="n">
        <f aca="false">IF(B787&lt;$E$104,$E$105,$E$111)</f>
        <v>2.5</v>
      </c>
      <c r="O787" s="822" t="n">
        <f aca="false">E787*$E$205*N787</f>
        <v>141.248017425741</v>
      </c>
      <c r="P787" s="823" t="n">
        <f aca="false">P786+O787</f>
        <v>59028.8711660196</v>
      </c>
      <c r="Q787" s="606" t="n">
        <f aca="false">Q786+1</f>
        <v>572</v>
      </c>
      <c r="R787" s="824" t="n">
        <f aca="false">R786-1</f>
        <v>-572</v>
      </c>
      <c r="S787" s="5"/>
      <c r="T787" s="5"/>
      <c r="U787" s="5"/>
      <c r="V787" s="10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02"/>
      <c r="AU787" s="502"/>
      <c r="AV787" s="606"/>
      <c r="AW787" s="502"/>
      <c r="AX787" s="502"/>
      <c r="AY787" s="502"/>
      <c r="AZ787" s="502"/>
      <c r="BA787" s="502"/>
      <c r="BB787" s="502"/>
      <c r="BC787" s="502"/>
      <c r="BD787" s="502"/>
      <c r="BE787" s="502"/>
      <c r="BF787" s="502"/>
      <c r="BG787" s="502"/>
      <c r="BH787" s="502"/>
      <c r="BI787" s="502"/>
      <c r="BJ787" s="502"/>
      <c r="BK787" s="502"/>
      <c r="BL787" s="502"/>
      <c r="BM787" s="502"/>
      <c r="BN787" s="502"/>
      <c r="BO787" s="502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</row>
    <row r="788" s="504" customFormat="true" ht="12.75" hidden="true" customHeight="true" outlineLevel="0" collapsed="false">
      <c r="A788" s="5"/>
      <c r="B788" s="813" t="n">
        <f aca="false">B787+1</f>
        <v>573</v>
      </c>
      <c r="C788" s="814" t="n">
        <f aca="false">C787+D788</f>
        <v>70942.2839796829</v>
      </c>
      <c r="D788" s="815" t="n">
        <f aca="false">E788*$E$205*M788</f>
        <v>169.655300910889</v>
      </c>
      <c r="E788" s="601" t="n">
        <f aca="false">E787+$C$204</f>
        <v>10.7594686016546</v>
      </c>
      <c r="F788" s="816" t="n">
        <f aca="false">F787+1</f>
        <v>573</v>
      </c>
      <c r="G788" s="775" t="n">
        <f aca="false">C788</f>
        <v>70942.2839796829</v>
      </c>
      <c r="H788" s="817" t="n">
        <f aca="false">1000*(E788-E787)</f>
        <v>9.99999999999979</v>
      </c>
      <c r="I788" s="5"/>
      <c r="J788" s="818" t="n">
        <f aca="false">1000*(E788-$E$215)/(B788-$B$215)</f>
        <v>12.7467187235109</v>
      </c>
      <c r="K788" s="732" t="n">
        <f aca="false">AVERAGE($E$216:E788)</f>
        <v>7.88620507634922</v>
      </c>
      <c r="L788" s="819" t="n">
        <f aca="false">L787+1</f>
        <v>573</v>
      </c>
      <c r="M788" s="820" t="n">
        <f aca="false">IF(B788&lt;$E$104,$E$105,$E$106)</f>
        <v>3</v>
      </c>
      <c r="N788" s="821" t="n">
        <f aca="false">IF(B788&lt;$E$104,$E$105,$E$111)</f>
        <v>2.5</v>
      </c>
      <c r="O788" s="822" t="n">
        <f aca="false">E788*$E$205*N788</f>
        <v>141.379417425741</v>
      </c>
      <c r="P788" s="823" t="n">
        <f aca="false">P787+O788</f>
        <v>59170.2505834453</v>
      </c>
      <c r="Q788" s="606" t="n">
        <f aca="false">Q787+1</f>
        <v>573</v>
      </c>
      <c r="R788" s="824" t="n">
        <f aca="false">R787-1</f>
        <v>-573</v>
      </c>
      <c r="S788" s="5"/>
      <c r="T788" s="5"/>
      <c r="U788" s="5"/>
      <c r="V788" s="10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02"/>
      <c r="AU788" s="502"/>
      <c r="AV788" s="606"/>
      <c r="AW788" s="502"/>
      <c r="AX788" s="502"/>
      <c r="AY788" s="502"/>
      <c r="AZ788" s="502"/>
      <c r="BA788" s="502"/>
      <c r="BB788" s="502"/>
      <c r="BC788" s="502"/>
      <c r="BD788" s="502"/>
      <c r="BE788" s="502"/>
      <c r="BF788" s="502"/>
      <c r="BG788" s="502"/>
      <c r="BH788" s="502"/>
      <c r="BI788" s="502"/>
      <c r="BJ788" s="502"/>
      <c r="BK788" s="502"/>
      <c r="BL788" s="502"/>
      <c r="BM788" s="502"/>
      <c r="BN788" s="502"/>
      <c r="BO788" s="502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</row>
    <row r="789" s="504" customFormat="true" ht="12.75" hidden="true" customHeight="true" outlineLevel="0" collapsed="false">
      <c r="A789" s="5"/>
      <c r="B789" s="813" t="n">
        <f aca="false">B788+1</f>
        <v>574</v>
      </c>
      <c r="C789" s="814" t="n">
        <f aca="false">C788+D789</f>
        <v>71112.0969605938</v>
      </c>
      <c r="D789" s="815" t="n">
        <f aca="false">E789*$E$205*M789</f>
        <v>169.812980910889</v>
      </c>
      <c r="E789" s="601" t="n">
        <f aca="false">E788+$C$204</f>
        <v>10.7694686016546</v>
      </c>
      <c r="F789" s="816" t="n">
        <f aca="false">F788+1</f>
        <v>574</v>
      </c>
      <c r="G789" s="775" t="n">
        <f aca="false">C789</f>
        <v>71112.0969605938</v>
      </c>
      <c r="H789" s="817" t="n">
        <f aca="false">1000*(E789-E788)</f>
        <v>9.99999999999979</v>
      </c>
      <c r="I789" s="5"/>
      <c r="J789" s="818" t="n">
        <f aca="false">1000*(E789-$E$215)/(B789-$B$215)</f>
        <v>12.7419334992539</v>
      </c>
      <c r="K789" s="732" t="n">
        <f aca="false">AVERAGE($E$216:E789)</f>
        <v>7.89122818353616</v>
      </c>
      <c r="L789" s="819" t="n">
        <f aca="false">L788+1</f>
        <v>574</v>
      </c>
      <c r="M789" s="820" t="n">
        <f aca="false">IF(B789&lt;$E$104,$E$105,$E$106)</f>
        <v>3</v>
      </c>
      <c r="N789" s="821" t="n">
        <f aca="false">IF(B789&lt;$E$104,$E$105,$E$111)</f>
        <v>2.5</v>
      </c>
      <c r="O789" s="822" t="n">
        <f aca="false">E789*$E$205*N789</f>
        <v>141.510817425741</v>
      </c>
      <c r="P789" s="823" t="n">
        <f aca="false">P788+O789</f>
        <v>59311.761400871</v>
      </c>
      <c r="Q789" s="606" t="n">
        <f aca="false">Q788+1</f>
        <v>574</v>
      </c>
      <c r="R789" s="824" t="n">
        <f aca="false">R788-1</f>
        <v>-574</v>
      </c>
      <c r="S789" s="5"/>
      <c r="T789" s="5"/>
      <c r="U789" s="5"/>
      <c r="V789" s="10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02"/>
      <c r="AU789" s="502"/>
      <c r="AV789" s="606"/>
      <c r="AW789" s="502"/>
      <c r="AX789" s="502"/>
      <c r="AY789" s="502"/>
      <c r="AZ789" s="502"/>
      <c r="BA789" s="502"/>
      <c r="BB789" s="502"/>
      <c r="BC789" s="502"/>
      <c r="BD789" s="502"/>
      <c r="BE789" s="502"/>
      <c r="BF789" s="502"/>
      <c r="BG789" s="502"/>
      <c r="BH789" s="502"/>
      <c r="BI789" s="502"/>
      <c r="BJ789" s="502"/>
      <c r="BK789" s="502"/>
      <c r="BL789" s="502"/>
      <c r="BM789" s="502"/>
      <c r="BN789" s="502"/>
      <c r="BO789" s="502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</row>
    <row r="790" s="504" customFormat="true" ht="12.75" hidden="true" customHeight="true" outlineLevel="0" collapsed="false">
      <c r="A790" s="5"/>
      <c r="B790" s="813" t="n">
        <f aca="false">B789+1</f>
        <v>575</v>
      </c>
      <c r="C790" s="814" t="n">
        <f aca="false">C789+D790</f>
        <v>71282.0676215047</v>
      </c>
      <c r="D790" s="815" t="n">
        <f aca="false">E790*$E$205*M790</f>
        <v>169.970660910889</v>
      </c>
      <c r="E790" s="601" t="n">
        <f aca="false">E789+$C$204</f>
        <v>10.7794686016546</v>
      </c>
      <c r="F790" s="816" t="n">
        <f aca="false">F789+1</f>
        <v>575</v>
      </c>
      <c r="G790" s="775" t="n">
        <f aca="false">C790</f>
        <v>71282.0676215047</v>
      </c>
      <c r="H790" s="817" t="n">
        <f aca="false">1000*(E790-E789)</f>
        <v>9.99999999999979</v>
      </c>
      <c r="I790" s="5"/>
      <c r="J790" s="818" t="n">
        <f aca="false">1000*(E790-$E$215)/(B790-$B$215)</f>
        <v>12.7371649192552</v>
      </c>
      <c r="K790" s="732" t="n">
        <f aca="false">AVERAGE($E$216:E790)</f>
        <v>7.89625121035028</v>
      </c>
      <c r="L790" s="819" t="n">
        <f aca="false">L789+1</f>
        <v>575</v>
      </c>
      <c r="M790" s="820" t="n">
        <f aca="false">IF(B790&lt;$E$104,$E$105,$E$106)</f>
        <v>3</v>
      </c>
      <c r="N790" s="821" t="n">
        <f aca="false">IF(B790&lt;$E$104,$E$105,$E$111)</f>
        <v>2.5</v>
      </c>
      <c r="O790" s="822" t="n">
        <f aca="false">E790*$E$205*N790</f>
        <v>141.642217425741</v>
      </c>
      <c r="P790" s="823" t="n">
        <f aca="false">P789+O790</f>
        <v>59453.4036182968</v>
      </c>
      <c r="Q790" s="606" t="n">
        <f aca="false">Q789+1</f>
        <v>575</v>
      </c>
      <c r="R790" s="824" t="n">
        <f aca="false">R789-1</f>
        <v>-575</v>
      </c>
      <c r="S790" s="5"/>
      <c r="T790" s="5"/>
      <c r="U790" s="5"/>
      <c r="V790" s="10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02"/>
      <c r="AU790" s="502"/>
      <c r="AV790" s="606"/>
      <c r="AW790" s="502"/>
      <c r="AX790" s="502"/>
      <c r="AY790" s="502"/>
      <c r="AZ790" s="502"/>
      <c r="BA790" s="502"/>
      <c r="BB790" s="502"/>
      <c r="BC790" s="502"/>
      <c r="BD790" s="502"/>
      <c r="BE790" s="502"/>
      <c r="BF790" s="502"/>
      <c r="BG790" s="502"/>
      <c r="BH790" s="502"/>
      <c r="BI790" s="502"/>
      <c r="BJ790" s="502"/>
      <c r="BK790" s="502"/>
      <c r="BL790" s="502"/>
      <c r="BM790" s="502"/>
      <c r="BN790" s="502"/>
      <c r="BO790" s="502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</row>
    <row r="791" s="504" customFormat="true" ht="12.75" hidden="true" customHeight="true" outlineLevel="0" collapsed="false">
      <c r="A791" s="5"/>
      <c r="B791" s="813" t="n">
        <f aca="false">B790+1</f>
        <v>576</v>
      </c>
      <c r="C791" s="814" t="n">
        <f aca="false">C790+D791</f>
        <v>71452.1959624156</v>
      </c>
      <c r="D791" s="815" t="n">
        <f aca="false">E791*$E$205*M791</f>
        <v>170.128340910889</v>
      </c>
      <c r="E791" s="601" t="n">
        <f aca="false">E790+$C$204</f>
        <v>10.7894686016546</v>
      </c>
      <c r="F791" s="816" t="n">
        <f aca="false">F790+1</f>
        <v>576</v>
      </c>
      <c r="G791" s="775" t="n">
        <f aca="false">C791</f>
        <v>71452.1959624156</v>
      </c>
      <c r="H791" s="817" t="n">
        <f aca="false">1000*(E791-E790)</f>
        <v>9.99999999999979</v>
      </c>
      <c r="I791" s="5"/>
      <c r="J791" s="818" t="n">
        <f aca="false">1000*(E791-$E$215)/(B791-$B$215)</f>
        <v>12.7324128968259</v>
      </c>
      <c r="K791" s="732" t="n">
        <f aca="false">AVERAGE($E$216:E791)</f>
        <v>7.90127415721018</v>
      </c>
      <c r="L791" s="819" t="n">
        <f aca="false">L790+1</f>
        <v>576</v>
      </c>
      <c r="M791" s="820" t="n">
        <f aca="false">IF(B791&lt;$E$104,$E$105,$E$106)</f>
        <v>3</v>
      </c>
      <c r="N791" s="821" t="n">
        <f aca="false">IF(B791&lt;$E$104,$E$105,$E$111)</f>
        <v>2.5</v>
      </c>
      <c r="O791" s="822" t="n">
        <f aca="false">E791*$E$205*N791</f>
        <v>141.773617425741</v>
      </c>
      <c r="P791" s="823" t="n">
        <f aca="false">P790+O791</f>
        <v>59595.1772357225</v>
      </c>
      <c r="Q791" s="606" t="n">
        <f aca="false">Q790+1</f>
        <v>576</v>
      </c>
      <c r="R791" s="824" t="n">
        <f aca="false">R790-1</f>
        <v>-576</v>
      </c>
      <c r="S791" s="5"/>
      <c r="T791" s="5"/>
      <c r="U791" s="5"/>
      <c r="V791" s="10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02"/>
      <c r="AU791" s="502"/>
      <c r="AV791" s="606"/>
      <c r="AW791" s="502"/>
      <c r="AX791" s="502"/>
      <c r="AY791" s="502"/>
      <c r="AZ791" s="502"/>
      <c r="BA791" s="502"/>
      <c r="BB791" s="502"/>
      <c r="BC791" s="502"/>
      <c r="BD791" s="502"/>
      <c r="BE791" s="502"/>
      <c r="BF791" s="502"/>
      <c r="BG791" s="502"/>
      <c r="BH791" s="502"/>
      <c r="BI791" s="502"/>
      <c r="BJ791" s="502"/>
      <c r="BK791" s="502"/>
      <c r="BL791" s="502"/>
      <c r="BM791" s="502"/>
      <c r="BN791" s="502"/>
      <c r="BO791" s="502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</row>
    <row r="792" s="504" customFormat="true" ht="12.75" hidden="true" customHeight="true" outlineLevel="0" collapsed="false">
      <c r="A792" s="5"/>
      <c r="B792" s="813" t="n">
        <f aca="false">B791+1</f>
        <v>577</v>
      </c>
      <c r="C792" s="814" t="n">
        <f aca="false">C791+D792</f>
        <v>71622.4819833265</v>
      </c>
      <c r="D792" s="815" t="n">
        <f aca="false">E792*$E$205*M792</f>
        <v>170.286020910889</v>
      </c>
      <c r="E792" s="601" t="n">
        <f aca="false">E791+$C$204</f>
        <v>10.7994686016546</v>
      </c>
      <c r="F792" s="816" t="n">
        <f aca="false">F791+1</f>
        <v>577</v>
      </c>
      <c r="G792" s="775" t="n">
        <f aca="false">C792</f>
        <v>71622.4819833265</v>
      </c>
      <c r="H792" s="817" t="n">
        <f aca="false">1000*(E792-E791)</f>
        <v>9.99999999999979</v>
      </c>
      <c r="I792" s="5"/>
      <c r="J792" s="818" t="n">
        <f aca="false">1000*(E792-$E$215)/(B792-$B$215)</f>
        <v>12.7276773458782</v>
      </c>
      <c r="K792" s="732" t="n">
        <f aca="false">AVERAGE($E$216:E792)</f>
        <v>7.90629702453158</v>
      </c>
      <c r="L792" s="819" t="n">
        <f aca="false">L791+1</f>
        <v>577</v>
      </c>
      <c r="M792" s="820" t="n">
        <f aca="false">IF(B792&lt;$E$104,$E$105,$E$106)</f>
        <v>3</v>
      </c>
      <c r="N792" s="821" t="n">
        <f aca="false">IF(B792&lt;$E$104,$E$105,$E$111)</f>
        <v>2.5</v>
      </c>
      <c r="O792" s="822" t="n">
        <f aca="false">E792*$E$205*N792</f>
        <v>141.905017425741</v>
      </c>
      <c r="P792" s="823" t="n">
        <f aca="false">P791+O792</f>
        <v>59737.0822531483</v>
      </c>
      <c r="Q792" s="606" t="n">
        <f aca="false">Q791+1</f>
        <v>577</v>
      </c>
      <c r="R792" s="824" t="n">
        <f aca="false">R791-1</f>
        <v>-577</v>
      </c>
      <c r="S792" s="5"/>
      <c r="T792" s="5"/>
      <c r="U792" s="5"/>
      <c r="V792" s="10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02"/>
      <c r="AU792" s="502"/>
      <c r="AV792" s="606"/>
      <c r="AW792" s="502"/>
      <c r="AX792" s="502"/>
      <c r="AY792" s="502"/>
      <c r="AZ792" s="502"/>
      <c r="BA792" s="502"/>
      <c r="BB792" s="502"/>
      <c r="BC792" s="502"/>
      <c r="BD792" s="502"/>
      <c r="BE792" s="502"/>
      <c r="BF792" s="502"/>
      <c r="BG792" s="502"/>
      <c r="BH792" s="502"/>
      <c r="BI792" s="502"/>
      <c r="BJ792" s="502"/>
      <c r="BK792" s="502"/>
      <c r="BL792" s="502"/>
      <c r="BM792" s="502"/>
      <c r="BN792" s="502"/>
      <c r="BO792" s="502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</row>
    <row r="793" s="504" customFormat="true" ht="12.75" hidden="true" customHeight="true" outlineLevel="0" collapsed="false">
      <c r="A793" s="5"/>
      <c r="B793" s="813" t="n">
        <f aca="false">B792+1</f>
        <v>578</v>
      </c>
      <c r="C793" s="814" t="n">
        <f aca="false">C792+D793</f>
        <v>71792.9256842374</v>
      </c>
      <c r="D793" s="815" t="n">
        <f aca="false">E793*$E$205*M793</f>
        <v>170.443700910889</v>
      </c>
      <c r="E793" s="601" t="n">
        <f aca="false">E792+$C$204</f>
        <v>10.8094686016546</v>
      </c>
      <c r="F793" s="816" t="n">
        <f aca="false">F792+1</f>
        <v>578</v>
      </c>
      <c r="G793" s="775" t="n">
        <f aca="false">C793</f>
        <v>71792.9256842374</v>
      </c>
      <c r="H793" s="817" t="n">
        <f aca="false">1000*(E793-E792)</f>
        <v>9.99999999999979</v>
      </c>
      <c r="I793" s="5"/>
      <c r="J793" s="818" t="n">
        <f aca="false">1000*(E793-$E$215)/(B793-$B$215)</f>
        <v>12.7229581809199</v>
      </c>
      <c r="K793" s="732" t="n">
        <f aca="false">AVERAGE($E$216:E793)</f>
        <v>7.91131981272729</v>
      </c>
      <c r="L793" s="819" t="n">
        <f aca="false">L792+1</f>
        <v>578</v>
      </c>
      <c r="M793" s="820" t="n">
        <f aca="false">IF(B793&lt;$E$104,$E$105,$E$106)</f>
        <v>3</v>
      </c>
      <c r="N793" s="821" t="n">
        <f aca="false">IF(B793&lt;$E$104,$E$105,$E$111)</f>
        <v>2.5</v>
      </c>
      <c r="O793" s="822" t="n">
        <f aca="false">E793*$E$205*N793</f>
        <v>142.036417425741</v>
      </c>
      <c r="P793" s="823" t="n">
        <f aca="false">P792+O793</f>
        <v>59879.118670574</v>
      </c>
      <c r="Q793" s="606" t="n">
        <f aca="false">Q792+1</f>
        <v>578</v>
      </c>
      <c r="R793" s="824" t="n">
        <f aca="false">R792-1</f>
        <v>-578</v>
      </c>
      <c r="S793" s="5"/>
      <c r="T793" s="5"/>
      <c r="U793" s="5"/>
      <c r="V793" s="10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02"/>
      <c r="AU793" s="502"/>
      <c r="AV793" s="606"/>
      <c r="AW793" s="502"/>
      <c r="AX793" s="502"/>
      <c r="AY793" s="502"/>
      <c r="AZ793" s="502"/>
      <c r="BA793" s="502"/>
      <c r="BB793" s="502"/>
      <c r="BC793" s="502"/>
      <c r="BD793" s="502"/>
      <c r="BE793" s="502"/>
      <c r="BF793" s="502"/>
      <c r="BG793" s="502"/>
      <c r="BH793" s="502"/>
      <c r="BI793" s="502"/>
      <c r="BJ793" s="502"/>
      <c r="BK793" s="502"/>
      <c r="BL793" s="502"/>
      <c r="BM793" s="502"/>
      <c r="BN793" s="502"/>
      <c r="BO793" s="502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</row>
    <row r="794" s="504" customFormat="true" ht="12.75" hidden="true" customHeight="true" outlineLevel="0" collapsed="false">
      <c r="A794" s="5"/>
      <c r="B794" s="813" t="n">
        <f aca="false">B793+1</f>
        <v>579</v>
      </c>
      <c r="C794" s="814" t="n">
        <f aca="false">C793+D794</f>
        <v>71963.5270651483</v>
      </c>
      <c r="D794" s="815" t="n">
        <f aca="false">E794*$E$205*M794</f>
        <v>170.601380910889</v>
      </c>
      <c r="E794" s="601" t="n">
        <f aca="false">E793+$C$204</f>
        <v>10.8194686016546</v>
      </c>
      <c r="F794" s="816" t="n">
        <f aca="false">F793+1</f>
        <v>579</v>
      </c>
      <c r="G794" s="775" t="n">
        <f aca="false">C794</f>
        <v>71963.5270651483</v>
      </c>
      <c r="H794" s="817" t="n">
        <f aca="false">1000*(E794-E793)</f>
        <v>9.99999999999979</v>
      </c>
      <c r="I794" s="5"/>
      <c r="J794" s="818" t="n">
        <f aca="false">1000*(E794-$E$215)/(B794-$B$215)</f>
        <v>12.7182553170496</v>
      </c>
      <c r="K794" s="732" t="n">
        <f aca="false">AVERAGE($E$216:E794)</f>
        <v>7.91634252220731</v>
      </c>
      <c r="L794" s="819" t="n">
        <f aca="false">L793+1</f>
        <v>579</v>
      </c>
      <c r="M794" s="820" t="n">
        <f aca="false">IF(B794&lt;$E$104,$E$105,$E$106)</f>
        <v>3</v>
      </c>
      <c r="N794" s="821" t="n">
        <f aca="false">IF(B794&lt;$E$104,$E$105,$E$111)</f>
        <v>2.5</v>
      </c>
      <c r="O794" s="822" t="n">
        <f aca="false">E794*$E$205*N794</f>
        <v>142.167817425741</v>
      </c>
      <c r="P794" s="823" t="n">
        <f aca="false">P793+O794</f>
        <v>60021.2864879998</v>
      </c>
      <c r="Q794" s="606" t="n">
        <f aca="false">Q793+1</f>
        <v>579</v>
      </c>
      <c r="R794" s="824" t="n">
        <f aca="false">R793-1</f>
        <v>-579</v>
      </c>
      <c r="S794" s="5"/>
      <c r="T794" s="5"/>
      <c r="U794" s="5"/>
      <c r="V794" s="10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02"/>
      <c r="AU794" s="502"/>
      <c r="AV794" s="606"/>
      <c r="AW794" s="502"/>
      <c r="AX794" s="502"/>
      <c r="AY794" s="502"/>
      <c r="AZ794" s="502"/>
      <c r="BA794" s="502"/>
      <c r="BB794" s="502"/>
      <c r="BC794" s="502"/>
      <c r="BD794" s="502"/>
      <c r="BE794" s="502"/>
      <c r="BF794" s="502"/>
      <c r="BG794" s="502"/>
      <c r="BH794" s="502"/>
      <c r="BI794" s="502"/>
      <c r="BJ794" s="502"/>
      <c r="BK794" s="502"/>
      <c r="BL794" s="502"/>
      <c r="BM794" s="502"/>
      <c r="BN794" s="502"/>
      <c r="BO794" s="502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</row>
    <row r="795" s="504" customFormat="true" ht="12.75" hidden="true" customHeight="true" outlineLevel="0" collapsed="false">
      <c r="A795" s="5"/>
      <c r="B795" s="813" t="n">
        <f aca="false">B794+1</f>
        <v>580</v>
      </c>
      <c r="C795" s="814" t="n">
        <f aca="false">C794+D795</f>
        <v>72134.2861260592</v>
      </c>
      <c r="D795" s="815" t="n">
        <f aca="false">E795*$E$205*M795</f>
        <v>170.759060910889</v>
      </c>
      <c r="E795" s="601" t="n">
        <f aca="false">E794+$C$204</f>
        <v>10.8294686016546</v>
      </c>
      <c r="F795" s="816" t="n">
        <f aca="false">F794+1</f>
        <v>580</v>
      </c>
      <c r="G795" s="775" t="n">
        <f aca="false">C795</f>
        <v>72134.2861260592</v>
      </c>
      <c r="H795" s="817" t="n">
        <f aca="false">1000*(E795-E794)</f>
        <v>9.99999999999979</v>
      </c>
      <c r="I795" s="5"/>
      <c r="J795" s="818" t="n">
        <f aca="false">1000*(E795-$E$215)/(B795-$B$215)</f>
        <v>12.7135686699512</v>
      </c>
      <c r="K795" s="732" t="n">
        <f aca="false">AVERAGE($E$216:E795)</f>
        <v>7.92136515337877</v>
      </c>
      <c r="L795" s="819" t="n">
        <f aca="false">L794+1</f>
        <v>580</v>
      </c>
      <c r="M795" s="820" t="n">
        <f aca="false">IF(B795&lt;$E$104,$E$105,$E$106)</f>
        <v>3</v>
      </c>
      <c r="N795" s="821" t="n">
        <f aca="false">IF(B795&lt;$E$104,$E$105,$E$111)</f>
        <v>2.5</v>
      </c>
      <c r="O795" s="822" t="n">
        <f aca="false">E795*$E$205*N795</f>
        <v>142.299217425741</v>
      </c>
      <c r="P795" s="823" t="n">
        <f aca="false">P794+O795</f>
        <v>60163.5857054255</v>
      </c>
      <c r="Q795" s="606" t="n">
        <f aca="false">Q794+1</f>
        <v>580</v>
      </c>
      <c r="R795" s="824" t="n">
        <f aca="false">R794-1</f>
        <v>-580</v>
      </c>
      <c r="S795" s="5"/>
      <c r="T795" s="5"/>
      <c r="U795" s="5"/>
      <c r="V795" s="10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02"/>
      <c r="AU795" s="502"/>
      <c r="AV795" s="606"/>
      <c r="AW795" s="502"/>
      <c r="AX795" s="502"/>
      <c r="AY795" s="502"/>
      <c r="AZ795" s="502"/>
      <c r="BA795" s="502"/>
      <c r="BB795" s="502"/>
      <c r="BC795" s="502"/>
      <c r="BD795" s="502"/>
      <c r="BE795" s="502"/>
      <c r="BF795" s="502"/>
      <c r="BG795" s="502"/>
      <c r="BH795" s="502"/>
      <c r="BI795" s="502"/>
      <c r="BJ795" s="502"/>
      <c r="BK795" s="502"/>
      <c r="BL795" s="502"/>
      <c r="BM795" s="502"/>
      <c r="BN795" s="502"/>
      <c r="BO795" s="502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</row>
    <row r="796" s="504" customFormat="true" ht="12.75" hidden="true" customHeight="true" outlineLevel="0" collapsed="false">
      <c r="A796" s="5"/>
      <c r="B796" s="813" t="n">
        <f aca="false">B795+1</f>
        <v>581</v>
      </c>
      <c r="C796" s="814" t="n">
        <f aca="false">C795+D796</f>
        <v>72305.20286697</v>
      </c>
      <c r="D796" s="815" t="n">
        <f aca="false">E796*$E$205*M796</f>
        <v>170.916740910889</v>
      </c>
      <c r="E796" s="601" t="n">
        <f aca="false">E795+$C$204</f>
        <v>10.8394686016546</v>
      </c>
      <c r="F796" s="816" t="n">
        <f aca="false">F795+1</f>
        <v>581</v>
      </c>
      <c r="G796" s="775" t="n">
        <f aca="false">C796</f>
        <v>72305.20286697</v>
      </c>
      <c r="H796" s="817" t="n">
        <f aca="false">1000*(E796-E795)</f>
        <v>9.99999999999979</v>
      </c>
      <c r="I796" s="5"/>
      <c r="J796" s="818" t="n">
        <f aca="false">1000*(E796-$E$215)/(B796-$B$215)</f>
        <v>12.7088981558894</v>
      </c>
      <c r="K796" s="732" t="n">
        <f aca="false">AVERAGE($E$216:E796)</f>
        <v>7.92638770664602</v>
      </c>
      <c r="L796" s="819" t="n">
        <f aca="false">L795+1</f>
        <v>581</v>
      </c>
      <c r="M796" s="820" t="n">
        <f aca="false">IF(B796&lt;$E$104,$E$105,$E$106)</f>
        <v>3</v>
      </c>
      <c r="N796" s="821" t="n">
        <f aca="false">IF(B796&lt;$E$104,$E$105,$E$111)</f>
        <v>2.5</v>
      </c>
      <c r="O796" s="822" t="n">
        <f aca="false">E796*$E$205*N796</f>
        <v>142.430617425741</v>
      </c>
      <c r="P796" s="823" t="n">
        <f aca="false">P795+O796</f>
        <v>60306.0163228512</v>
      </c>
      <c r="Q796" s="606" t="n">
        <f aca="false">Q795+1</f>
        <v>581</v>
      </c>
      <c r="R796" s="824" t="n">
        <f aca="false">R795-1</f>
        <v>-581</v>
      </c>
      <c r="S796" s="5"/>
      <c r="T796" s="5"/>
      <c r="U796" s="5"/>
      <c r="V796" s="10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02"/>
      <c r="AU796" s="502"/>
      <c r="AV796" s="606"/>
      <c r="AW796" s="502"/>
      <c r="AX796" s="502"/>
      <c r="AY796" s="502"/>
      <c r="AZ796" s="502"/>
      <c r="BA796" s="502"/>
      <c r="BB796" s="502"/>
      <c r="BC796" s="502"/>
      <c r="BD796" s="502"/>
      <c r="BE796" s="502"/>
      <c r="BF796" s="502"/>
      <c r="BG796" s="502"/>
      <c r="BH796" s="502"/>
      <c r="BI796" s="502"/>
      <c r="BJ796" s="502"/>
      <c r="BK796" s="502"/>
      <c r="BL796" s="502"/>
      <c r="BM796" s="502"/>
      <c r="BN796" s="502"/>
      <c r="BO796" s="502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</row>
    <row r="797" s="504" customFormat="true" ht="12.75" hidden="true" customHeight="true" outlineLevel="0" collapsed="false">
      <c r="A797" s="5"/>
      <c r="B797" s="813" t="n">
        <f aca="false">B796+1</f>
        <v>582</v>
      </c>
      <c r="C797" s="814" t="n">
        <f aca="false">C796+D797</f>
        <v>72476.2772878809</v>
      </c>
      <c r="D797" s="815" t="n">
        <f aca="false">E797*$E$205*M797</f>
        <v>171.074420910889</v>
      </c>
      <c r="E797" s="601" t="n">
        <f aca="false">E796+$C$204</f>
        <v>10.8494686016546</v>
      </c>
      <c r="F797" s="816" t="n">
        <f aca="false">F796+1</f>
        <v>582</v>
      </c>
      <c r="G797" s="775" t="n">
        <f aca="false">C797</f>
        <v>72476.2772878809</v>
      </c>
      <c r="H797" s="817" t="n">
        <f aca="false">1000*(E797-E796)</f>
        <v>9.99999999999979</v>
      </c>
      <c r="I797" s="5"/>
      <c r="J797" s="818" t="n">
        <f aca="false">1000*(E797-$E$215)/(B797-$B$215)</f>
        <v>12.704243691704</v>
      </c>
      <c r="K797" s="732" t="n">
        <f aca="false">AVERAGE($E$216:E797)</f>
        <v>7.93141018241064</v>
      </c>
      <c r="L797" s="819" t="n">
        <f aca="false">L796+1</f>
        <v>582</v>
      </c>
      <c r="M797" s="820" t="n">
        <f aca="false">IF(B797&lt;$E$104,$E$105,$E$106)</f>
        <v>3</v>
      </c>
      <c r="N797" s="821" t="n">
        <f aca="false">IF(B797&lt;$E$104,$E$105,$E$111)</f>
        <v>2.5</v>
      </c>
      <c r="O797" s="822" t="n">
        <f aca="false">E797*$E$205*N797</f>
        <v>142.562017425741</v>
      </c>
      <c r="P797" s="823" t="n">
        <f aca="false">P796+O797</f>
        <v>60448.578340277</v>
      </c>
      <c r="Q797" s="606" t="n">
        <f aca="false">Q796+1</f>
        <v>582</v>
      </c>
      <c r="R797" s="824" t="n">
        <f aca="false">R796-1</f>
        <v>-582</v>
      </c>
      <c r="S797" s="5"/>
      <c r="T797" s="5"/>
      <c r="U797" s="5"/>
      <c r="V797" s="10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02"/>
      <c r="AU797" s="502"/>
      <c r="AV797" s="606"/>
      <c r="AW797" s="502"/>
      <c r="AX797" s="502"/>
      <c r="AY797" s="502"/>
      <c r="AZ797" s="502"/>
      <c r="BA797" s="502"/>
      <c r="BB797" s="502"/>
      <c r="BC797" s="502"/>
      <c r="BD797" s="502"/>
      <c r="BE797" s="502"/>
      <c r="BF797" s="502"/>
      <c r="BG797" s="502"/>
      <c r="BH797" s="502"/>
      <c r="BI797" s="502"/>
      <c r="BJ797" s="502"/>
      <c r="BK797" s="502"/>
      <c r="BL797" s="502"/>
      <c r="BM797" s="502"/>
      <c r="BN797" s="502"/>
      <c r="BO797" s="502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</row>
    <row r="798" s="504" customFormat="true" ht="12.75" hidden="true" customHeight="true" outlineLevel="0" collapsed="false">
      <c r="A798" s="5"/>
      <c r="B798" s="813" t="n">
        <f aca="false">B797+1</f>
        <v>583</v>
      </c>
      <c r="C798" s="814" t="n">
        <f aca="false">C797+D798</f>
        <v>72647.5093887918</v>
      </c>
      <c r="D798" s="815" t="n">
        <f aca="false">E798*$E$205*M798</f>
        <v>171.232100910889</v>
      </c>
      <c r="E798" s="601" t="n">
        <f aca="false">E797+$C$204</f>
        <v>10.8594686016546</v>
      </c>
      <c r="F798" s="816" t="n">
        <f aca="false">F797+1</f>
        <v>583</v>
      </c>
      <c r="G798" s="775" t="n">
        <f aca="false">C798</f>
        <v>72647.5093887918</v>
      </c>
      <c r="H798" s="817" t="n">
        <f aca="false">1000*(E798-E797)</f>
        <v>9.99999999999979</v>
      </c>
      <c r="I798" s="5"/>
      <c r="J798" s="818" t="n">
        <f aca="false">1000*(E798-$E$215)/(B798-$B$215)</f>
        <v>12.6996051948057</v>
      </c>
      <c r="K798" s="732" t="n">
        <f aca="false">AVERAGE($E$216:E798)</f>
        <v>7.93643258107144</v>
      </c>
      <c r="L798" s="819" t="n">
        <f aca="false">L797+1</f>
        <v>583</v>
      </c>
      <c r="M798" s="820" t="n">
        <f aca="false">IF(B798&lt;$E$104,$E$105,$E$106)</f>
        <v>3</v>
      </c>
      <c r="N798" s="821" t="n">
        <f aca="false">IF(B798&lt;$E$104,$E$105,$E$111)</f>
        <v>2.5</v>
      </c>
      <c r="O798" s="822" t="n">
        <f aca="false">E798*$E$205*N798</f>
        <v>142.693417425741</v>
      </c>
      <c r="P798" s="823" t="n">
        <f aca="false">P797+O798</f>
        <v>60591.2717577027</v>
      </c>
      <c r="Q798" s="606" t="n">
        <f aca="false">Q797+1</f>
        <v>583</v>
      </c>
      <c r="R798" s="824" t="n">
        <f aca="false">R797-1</f>
        <v>-583</v>
      </c>
      <c r="S798" s="5"/>
      <c r="T798" s="5"/>
      <c r="U798" s="5"/>
      <c r="V798" s="10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02"/>
      <c r="AU798" s="502"/>
      <c r="AV798" s="606"/>
      <c r="AW798" s="502"/>
      <c r="AX798" s="502"/>
      <c r="AY798" s="502"/>
      <c r="AZ798" s="502"/>
      <c r="BA798" s="502"/>
      <c r="BB798" s="502"/>
      <c r="BC798" s="502"/>
      <c r="BD798" s="502"/>
      <c r="BE798" s="502"/>
      <c r="BF798" s="502"/>
      <c r="BG798" s="502"/>
      <c r="BH798" s="502"/>
      <c r="BI798" s="502"/>
      <c r="BJ798" s="502"/>
      <c r="BK798" s="502"/>
      <c r="BL798" s="502"/>
      <c r="BM798" s="502"/>
      <c r="BN798" s="502"/>
      <c r="BO798" s="502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</row>
    <row r="799" s="504" customFormat="true" ht="12.75" hidden="true" customHeight="true" outlineLevel="0" collapsed="false">
      <c r="A799" s="5"/>
      <c r="B799" s="813" t="n">
        <f aca="false">B798+1</f>
        <v>584</v>
      </c>
      <c r="C799" s="814" t="n">
        <f aca="false">C798+D799</f>
        <v>72818.8991697027</v>
      </c>
      <c r="D799" s="815" t="n">
        <f aca="false">E799*$E$205*M799</f>
        <v>171.389780910889</v>
      </c>
      <c r="E799" s="601" t="n">
        <f aca="false">E798+$C$204</f>
        <v>10.8694686016546</v>
      </c>
      <c r="F799" s="816" t="n">
        <f aca="false">F798+1</f>
        <v>584</v>
      </c>
      <c r="G799" s="775" t="n">
        <f aca="false">C799</f>
        <v>72818.8991697027</v>
      </c>
      <c r="H799" s="817" t="n">
        <f aca="false">1000*(E799-E798)</f>
        <v>9.99999999999979</v>
      </c>
      <c r="I799" s="5"/>
      <c r="J799" s="818" t="n">
        <f aca="false">1000*(E799-$E$215)/(B799-$B$215)</f>
        <v>12.6949825831708</v>
      </c>
      <c r="K799" s="732" t="n">
        <f aca="false">AVERAGE($E$216:E799)</f>
        <v>7.94145490302449</v>
      </c>
      <c r="L799" s="819" t="n">
        <f aca="false">L798+1</f>
        <v>584</v>
      </c>
      <c r="M799" s="820" t="n">
        <f aca="false">IF(B799&lt;$E$104,$E$105,$E$106)</f>
        <v>3</v>
      </c>
      <c r="N799" s="821" t="n">
        <f aca="false">IF(B799&lt;$E$104,$E$105,$E$111)</f>
        <v>2.5</v>
      </c>
      <c r="O799" s="822" t="n">
        <f aca="false">E799*$E$205*N799</f>
        <v>142.824817425741</v>
      </c>
      <c r="P799" s="823" t="n">
        <f aca="false">P798+O799</f>
        <v>60734.0965751285</v>
      </c>
      <c r="Q799" s="606" t="n">
        <f aca="false">Q798+1</f>
        <v>584</v>
      </c>
      <c r="R799" s="824" t="n">
        <f aca="false">R798-1</f>
        <v>-584</v>
      </c>
      <c r="S799" s="5"/>
      <c r="T799" s="5"/>
      <c r="U799" s="5"/>
      <c r="V799" s="10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02"/>
      <c r="AU799" s="502"/>
      <c r="AV799" s="606"/>
      <c r="AW799" s="502"/>
      <c r="AX799" s="502"/>
      <c r="AY799" s="502"/>
      <c r="AZ799" s="502"/>
      <c r="BA799" s="502"/>
      <c r="BB799" s="502"/>
      <c r="BC799" s="502"/>
      <c r="BD799" s="502"/>
      <c r="BE799" s="502"/>
      <c r="BF799" s="502"/>
      <c r="BG799" s="502"/>
      <c r="BH799" s="502"/>
      <c r="BI799" s="502"/>
      <c r="BJ799" s="502"/>
      <c r="BK799" s="502"/>
      <c r="BL799" s="502"/>
      <c r="BM799" s="502"/>
      <c r="BN799" s="502"/>
      <c r="BO799" s="502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</row>
    <row r="800" s="504" customFormat="true" ht="12.75" hidden="true" customHeight="true" outlineLevel="0" collapsed="false">
      <c r="A800" s="5"/>
      <c r="B800" s="813" t="n">
        <f aca="false">B799+1</f>
        <v>585</v>
      </c>
      <c r="C800" s="814" t="n">
        <f aca="false">C799+D800</f>
        <v>72990.4466306136</v>
      </c>
      <c r="D800" s="815" t="n">
        <f aca="false">E800*$E$205*M800</f>
        <v>171.547460910889</v>
      </c>
      <c r="E800" s="601" t="n">
        <f aca="false">E799+$C$204</f>
        <v>10.8794686016546</v>
      </c>
      <c r="F800" s="816" t="n">
        <f aca="false">F799+1</f>
        <v>585</v>
      </c>
      <c r="G800" s="775" t="n">
        <f aca="false">C800</f>
        <v>72990.4466306136</v>
      </c>
      <c r="H800" s="817" t="n">
        <f aca="false">1000*(E800-E799)</f>
        <v>9.99999999999979</v>
      </c>
      <c r="I800" s="5"/>
      <c r="J800" s="818" t="n">
        <f aca="false">1000*(E800-$E$215)/(B800-$B$215)</f>
        <v>12.6903757753363</v>
      </c>
      <c r="K800" s="732" t="n">
        <f aca="false">AVERAGE($E$216:E800)</f>
        <v>7.94647714866318</v>
      </c>
      <c r="L800" s="819" t="n">
        <f aca="false">L799+1</f>
        <v>585</v>
      </c>
      <c r="M800" s="820" t="n">
        <f aca="false">IF(B800&lt;$E$104,$E$105,$E$106)</f>
        <v>3</v>
      </c>
      <c r="N800" s="821" t="n">
        <f aca="false">IF(B800&lt;$E$104,$E$105,$E$111)</f>
        <v>2.5</v>
      </c>
      <c r="O800" s="822" t="n">
        <f aca="false">E800*$E$205*N800</f>
        <v>142.956217425741</v>
      </c>
      <c r="P800" s="823" t="n">
        <f aca="false">P799+O800</f>
        <v>60877.0527925542</v>
      </c>
      <c r="Q800" s="606" t="n">
        <f aca="false">Q799+1</f>
        <v>585</v>
      </c>
      <c r="R800" s="824" t="n">
        <f aca="false">R799-1</f>
        <v>-585</v>
      </c>
      <c r="S800" s="5"/>
      <c r="T800" s="5"/>
      <c r="U800" s="5"/>
      <c r="V800" s="10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02"/>
      <c r="AU800" s="502"/>
      <c r="AV800" s="606"/>
      <c r="AW800" s="502"/>
      <c r="AX800" s="502"/>
      <c r="AY800" s="502"/>
      <c r="AZ800" s="502"/>
      <c r="BA800" s="502"/>
      <c r="BB800" s="502"/>
      <c r="BC800" s="502"/>
      <c r="BD800" s="502"/>
      <c r="BE800" s="502"/>
      <c r="BF800" s="502"/>
      <c r="BG800" s="502"/>
      <c r="BH800" s="502"/>
      <c r="BI800" s="502"/>
      <c r="BJ800" s="502"/>
      <c r="BK800" s="502"/>
      <c r="BL800" s="502"/>
      <c r="BM800" s="502"/>
      <c r="BN800" s="502"/>
      <c r="BO800" s="502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</row>
    <row r="801" s="504" customFormat="true" ht="12.75" hidden="true" customHeight="true" outlineLevel="0" collapsed="false">
      <c r="A801" s="5"/>
      <c r="B801" s="813" t="n">
        <f aca="false">B800+1</f>
        <v>586</v>
      </c>
      <c r="C801" s="814" t="n">
        <f aca="false">C800+D801</f>
        <v>73162.1517715245</v>
      </c>
      <c r="D801" s="815" t="n">
        <f aca="false">E801*$E$205*M801</f>
        <v>171.705140910889</v>
      </c>
      <c r="E801" s="601" t="n">
        <f aca="false">E800+$C$204</f>
        <v>10.8894686016546</v>
      </c>
      <c r="F801" s="816" t="n">
        <f aca="false">F800+1</f>
        <v>586</v>
      </c>
      <c r="G801" s="775" t="n">
        <f aca="false">C801</f>
        <v>73162.1517715245</v>
      </c>
      <c r="H801" s="817" t="n">
        <f aca="false">1000*(E801-E800)</f>
        <v>9.99999999999979</v>
      </c>
      <c r="I801" s="5"/>
      <c r="J801" s="818" t="n">
        <f aca="false">1000*(E801-$E$215)/(B801-$B$215)</f>
        <v>12.6857846903954</v>
      </c>
      <c r="K801" s="732" t="n">
        <f aca="false">AVERAGE($E$216:E801)</f>
        <v>7.95149931837818</v>
      </c>
      <c r="L801" s="819" t="n">
        <f aca="false">L800+1</f>
        <v>586</v>
      </c>
      <c r="M801" s="820" t="n">
        <f aca="false">IF(B801&lt;$E$104,$E$105,$E$106)</f>
        <v>3</v>
      </c>
      <c r="N801" s="821" t="n">
        <f aca="false">IF(B801&lt;$E$104,$E$105,$E$111)</f>
        <v>2.5</v>
      </c>
      <c r="O801" s="822" t="n">
        <f aca="false">E801*$E$205*N801</f>
        <v>143.087617425741</v>
      </c>
      <c r="P801" s="823" t="n">
        <f aca="false">P800+O801</f>
        <v>61020.1404099799</v>
      </c>
      <c r="Q801" s="606" t="n">
        <f aca="false">Q800+1</f>
        <v>586</v>
      </c>
      <c r="R801" s="824" t="n">
        <f aca="false">R800-1</f>
        <v>-586</v>
      </c>
      <c r="S801" s="5"/>
      <c r="T801" s="5"/>
      <c r="U801" s="5"/>
      <c r="V801" s="10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02"/>
      <c r="AU801" s="502"/>
      <c r="AV801" s="606"/>
      <c r="AW801" s="502"/>
      <c r="AX801" s="502"/>
      <c r="AY801" s="502"/>
      <c r="AZ801" s="502"/>
      <c r="BA801" s="502"/>
      <c r="BB801" s="502"/>
      <c r="BC801" s="502"/>
      <c r="BD801" s="502"/>
      <c r="BE801" s="502"/>
      <c r="BF801" s="502"/>
      <c r="BG801" s="502"/>
      <c r="BH801" s="502"/>
      <c r="BI801" s="502"/>
      <c r="BJ801" s="502"/>
      <c r="BK801" s="502"/>
      <c r="BL801" s="502"/>
      <c r="BM801" s="502"/>
      <c r="BN801" s="502"/>
      <c r="BO801" s="502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</row>
    <row r="802" s="504" customFormat="true" ht="12.75" hidden="true" customHeight="true" outlineLevel="0" collapsed="false">
      <c r="A802" s="5"/>
      <c r="B802" s="813" t="n">
        <f aca="false">B801+1</f>
        <v>587</v>
      </c>
      <c r="C802" s="814" t="n">
        <f aca="false">C801+D802</f>
        <v>73334.0145924354</v>
      </c>
      <c r="D802" s="815" t="n">
        <f aca="false">E802*$E$205*M802</f>
        <v>171.862820910889</v>
      </c>
      <c r="E802" s="601" t="n">
        <f aca="false">E801+$C$204</f>
        <v>10.8994686016546</v>
      </c>
      <c r="F802" s="816" t="n">
        <f aca="false">F801+1</f>
        <v>587</v>
      </c>
      <c r="G802" s="775" t="n">
        <f aca="false">C802</f>
        <v>73334.0145924354</v>
      </c>
      <c r="H802" s="817" t="n">
        <f aca="false">1000*(E802-E801)</f>
        <v>9.99999999999979</v>
      </c>
      <c r="I802" s="5"/>
      <c r="J802" s="818" t="n">
        <f aca="false">1000*(E802-$E$215)/(B802-$B$215)</f>
        <v>12.6812092479927</v>
      </c>
      <c r="K802" s="732" t="n">
        <f aca="false">AVERAGE($E$216:E802)</f>
        <v>7.95652141255752</v>
      </c>
      <c r="L802" s="819" t="n">
        <f aca="false">L801+1</f>
        <v>587</v>
      </c>
      <c r="M802" s="820" t="n">
        <f aca="false">IF(B802&lt;$E$104,$E$105,$E$106)</f>
        <v>3</v>
      </c>
      <c r="N802" s="821" t="n">
        <f aca="false">IF(B802&lt;$E$104,$E$105,$E$111)</f>
        <v>2.5</v>
      </c>
      <c r="O802" s="822" t="n">
        <f aca="false">E802*$E$205*N802</f>
        <v>143.219017425741</v>
      </c>
      <c r="P802" s="823" t="n">
        <f aca="false">P801+O802</f>
        <v>61163.3594274057</v>
      </c>
      <c r="Q802" s="606" t="n">
        <f aca="false">Q801+1</f>
        <v>587</v>
      </c>
      <c r="R802" s="824" t="n">
        <f aca="false">R801-1</f>
        <v>-587</v>
      </c>
      <c r="S802" s="5"/>
      <c r="T802" s="5"/>
      <c r="U802" s="5"/>
      <c r="V802" s="10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02"/>
      <c r="AU802" s="502"/>
      <c r="AV802" s="606"/>
      <c r="AW802" s="502"/>
      <c r="AX802" s="502"/>
      <c r="AY802" s="502"/>
      <c r="AZ802" s="502"/>
      <c r="BA802" s="502"/>
      <c r="BB802" s="502"/>
      <c r="BC802" s="502"/>
      <c r="BD802" s="502"/>
      <c r="BE802" s="502"/>
      <c r="BF802" s="502"/>
      <c r="BG802" s="502"/>
      <c r="BH802" s="502"/>
      <c r="BI802" s="502"/>
      <c r="BJ802" s="502"/>
      <c r="BK802" s="502"/>
      <c r="BL802" s="502"/>
      <c r="BM802" s="502"/>
      <c r="BN802" s="502"/>
      <c r="BO802" s="502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</row>
    <row r="803" s="504" customFormat="true" ht="12.75" hidden="true" customHeight="true" outlineLevel="0" collapsed="false">
      <c r="A803" s="5"/>
      <c r="B803" s="813" t="n">
        <f aca="false">B802+1</f>
        <v>588</v>
      </c>
      <c r="C803" s="814" t="n">
        <f aca="false">C802+D803</f>
        <v>73506.0350933463</v>
      </c>
      <c r="D803" s="815" t="n">
        <f aca="false">E803*$E$205*M803</f>
        <v>172.020500910889</v>
      </c>
      <c r="E803" s="601" t="n">
        <f aca="false">E802+$C$204</f>
        <v>10.9094686016546</v>
      </c>
      <c r="F803" s="816" t="n">
        <f aca="false">F802+1</f>
        <v>588</v>
      </c>
      <c r="G803" s="775" t="n">
        <f aca="false">C803</f>
        <v>73506.0350933463</v>
      </c>
      <c r="H803" s="817" t="n">
        <f aca="false">1000*(E803-E802)</f>
        <v>9.99999999999979</v>
      </c>
      <c r="I803" s="5"/>
      <c r="J803" s="818" t="n">
        <f aca="false">1000*(E803-$E$215)/(B803-$B$215)</f>
        <v>12.6766493683193</v>
      </c>
      <c r="K803" s="732" t="n">
        <f aca="false">AVERAGE($E$216:E803)</f>
        <v>7.9615434315866</v>
      </c>
      <c r="L803" s="819" t="n">
        <f aca="false">L802+1</f>
        <v>588</v>
      </c>
      <c r="M803" s="820" t="n">
        <f aca="false">IF(B803&lt;$E$104,$E$105,$E$106)</f>
        <v>3</v>
      </c>
      <c r="N803" s="821" t="n">
        <f aca="false">IF(B803&lt;$E$104,$E$105,$E$111)</f>
        <v>2.5</v>
      </c>
      <c r="O803" s="822" t="n">
        <f aca="false">E803*$E$205*N803</f>
        <v>143.350417425741</v>
      </c>
      <c r="P803" s="823" t="n">
        <f aca="false">P802+O803</f>
        <v>61306.7098448314</v>
      </c>
      <c r="Q803" s="606" t="n">
        <f aca="false">Q802+1</f>
        <v>588</v>
      </c>
      <c r="R803" s="824" t="n">
        <f aca="false">R802-1</f>
        <v>-588</v>
      </c>
      <c r="S803" s="5"/>
      <c r="T803" s="5"/>
      <c r="U803" s="5"/>
      <c r="V803" s="10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02"/>
      <c r="AU803" s="502"/>
      <c r="AV803" s="606"/>
      <c r="AW803" s="502"/>
      <c r="AX803" s="502"/>
      <c r="AY803" s="502"/>
      <c r="AZ803" s="502"/>
      <c r="BA803" s="502"/>
      <c r="BB803" s="502"/>
      <c r="BC803" s="502"/>
      <c r="BD803" s="502"/>
      <c r="BE803" s="502"/>
      <c r="BF803" s="502"/>
      <c r="BG803" s="502"/>
      <c r="BH803" s="502"/>
      <c r="BI803" s="502"/>
      <c r="BJ803" s="502"/>
      <c r="BK803" s="502"/>
      <c r="BL803" s="502"/>
      <c r="BM803" s="502"/>
      <c r="BN803" s="502"/>
      <c r="BO803" s="502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</row>
    <row r="804" s="504" customFormat="true" ht="12.75" hidden="true" customHeight="true" outlineLevel="0" collapsed="false">
      <c r="A804" s="5"/>
      <c r="B804" s="813" t="n">
        <f aca="false">B803+1</f>
        <v>589</v>
      </c>
      <c r="C804" s="814" t="n">
        <f aca="false">C803+D804</f>
        <v>73678.2132742572</v>
      </c>
      <c r="D804" s="815" t="n">
        <f aca="false">E804*$E$205*M804</f>
        <v>172.178180910889</v>
      </c>
      <c r="E804" s="601" t="n">
        <f aca="false">E803+$C$204</f>
        <v>10.9194686016546</v>
      </c>
      <c r="F804" s="816" t="n">
        <f aca="false">F803+1</f>
        <v>589</v>
      </c>
      <c r="G804" s="775" t="n">
        <f aca="false">C804</f>
        <v>73678.2132742572</v>
      </c>
      <c r="H804" s="817" t="n">
        <f aca="false">1000*(E804-E803)</f>
        <v>9.99999999999979</v>
      </c>
      <c r="I804" s="5"/>
      <c r="J804" s="818" t="n">
        <f aca="false">1000*(E804-$E$215)/(B804-$B$215)</f>
        <v>12.6721049721082</v>
      </c>
      <c r="K804" s="732" t="n">
        <f aca="false">AVERAGE($E$216:E804)</f>
        <v>7.96656537584818</v>
      </c>
      <c r="L804" s="819" t="n">
        <f aca="false">L803+1</f>
        <v>589</v>
      </c>
      <c r="M804" s="820" t="n">
        <f aca="false">IF(B804&lt;$E$104,$E$105,$E$106)</f>
        <v>3</v>
      </c>
      <c r="N804" s="821" t="n">
        <f aca="false">IF(B804&lt;$E$104,$E$105,$E$111)</f>
        <v>2.5</v>
      </c>
      <c r="O804" s="822" t="n">
        <f aca="false">E804*$E$205*N804</f>
        <v>143.481817425741</v>
      </c>
      <c r="P804" s="823" t="n">
        <f aca="false">P803+O804</f>
        <v>61450.1916622572</v>
      </c>
      <c r="Q804" s="606" t="n">
        <f aca="false">Q803+1</f>
        <v>589</v>
      </c>
      <c r="R804" s="824" t="n">
        <f aca="false">R803-1</f>
        <v>-589</v>
      </c>
      <c r="S804" s="5"/>
      <c r="T804" s="5"/>
      <c r="U804" s="5"/>
      <c r="V804" s="10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02"/>
      <c r="AU804" s="502"/>
      <c r="AV804" s="606"/>
      <c r="AW804" s="502"/>
      <c r="AX804" s="502"/>
      <c r="AY804" s="502"/>
      <c r="AZ804" s="502"/>
      <c r="BA804" s="502"/>
      <c r="BB804" s="502"/>
      <c r="BC804" s="502"/>
      <c r="BD804" s="502"/>
      <c r="BE804" s="502"/>
      <c r="BF804" s="502"/>
      <c r="BG804" s="502"/>
      <c r="BH804" s="502"/>
      <c r="BI804" s="502"/>
      <c r="BJ804" s="502"/>
      <c r="BK804" s="502"/>
      <c r="BL804" s="502"/>
      <c r="BM804" s="502"/>
      <c r="BN804" s="502"/>
      <c r="BO804" s="502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</row>
    <row r="805" s="504" customFormat="true" ht="12.75" hidden="true" customHeight="true" outlineLevel="0" collapsed="false">
      <c r="A805" s="5"/>
      <c r="B805" s="813" t="n">
        <f aca="false">B804+1</f>
        <v>590</v>
      </c>
      <c r="C805" s="814" t="n">
        <f aca="false">C804+D805</f>
        <v>73850.549135168</v>
      </c>
      <c r="D805" s="815" t="n">
        <f aca="false">E805*$E$205*M805</f>
        <v>172.335860910889</v>
      </c>
      <c r="E805" s="601" t="n">
        <f aca="false">E804+$C$204</f>
        <v>10.9294686016546</v>
      </c>
      <c r="F805" s="816" t="n">
        <f aca="false">F804+1</f>
        <v>590</v>
      </c>
      <c r="G805" s="775" t="n">
        <f aca="false">C805</f>
        <v>73850.549135168</v>
      </c>
      <c r="H805" s="817" t="n">
        <f aca="false">1000*(E805-E804)</f>
        <v>9.99999999999979</v>
      </c>
      <c r="I805" s="5"/>
      <c r="J805" s="818" t="n">
        <f aca="false">1000*(E805-$E$215)/(B805-$B$215)</f>
        <v>12.66757598063</v>
      </c>
      <c r="K805" s="732" t="n">
        <f aca="false">AVERAGE($E$216:E805)</f>
        <v>7.97158724572242</v>
      </c>
      <c r="L805" s="819" t="n">
        <f aca="false">L804+1</f>
        <v>590</v>
      </c>
      <c r="M805" s="820" t="n">
        <f aca="false">IF(B805&lt;$E$104,$E$105,$E$106)</f>
        <v>3</v>
      </c>
      <c r="N805" s="821" t="n">
        <f aca="false">IF(B805&lt;$E$104,$E$105,$E$111)</f>
        <v>2.5</v>
      </c>
      <c r="O805" s="822" t="n">
        <f aca="false">E805*$E$205*N805</f>
        <v>143.613217425741</v>
      </c>
      <c r="P805" s="823" t="n">
        <f aca="false">P804+O805</f>
        <v>61593.8048796829</v>
      </c>
      <c r="Q805" s="606" t="n">
        <f aca="false">Q804+1</f>
        <v>590</v>
      </c>
      <c r="R805" s="824" t="n">
        <f aca="false">R804-1</f>
        <v>-590</v>
      </c>
      <c r="S805" s="5"/>
      <c r="T805" s="5"/>
      <c r="U805" s="5"/>
      <c r="V805" s="10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02"/>
      <c r="AU805" s="502"/>
      <c r="AV805" s="606"/>
      <c r="AW805" s="502"/>
      <c r="AX805" s="502"/>
      <c r="AY805" s="502"/>
      <c r="AZ805" s="502"/>
      <c r="BA805" s="502"/>
      <c r="BB805" s="502"/>
      <c r="BC805" s="502"/>
      <c r="BD805" s="502"/>
      <c r="BE805" s="502"/>
      <c r="BF805" s="502"/>
      <c r="BG805" s="502"/>
      <c r="BH805" s="502"/>
      <c r="BI805" s="502"/>
      <c r="BJ805" s="502"/>
      <c r="BK805" s="502"/>
      <c r="BL805" s="502"/>
      <c r="BM805" s="502"/>
      <c r="BN805" s="502"/>
      <c r="BO805" s="502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</row>
    <row r="806" s="504" customFormat="true" ht="12.75" hidden="true" customHeight="true" outlineLevel="0" collapsed="false">
      <c r="A806" s="5"/>
      <c r="B806" s="813" t="n">
        <f aca="false">B805+1</f>
        <v>591</v>
      </c>
      <c r="C806" s="814" t="n">
        <f aca="false">C805+D806</f>
        <v>74023.0426760789</v>
      </c>
      <c r="D806" s="815" t="n">
        <f aca="false">E806*$E$205*M806</f>
        <v>172.493540910889</v>
      </c>
      <c r="E806" s="601" t="n">
        <f aca="false">E805+$C$204</f>
        <v>10.9394686016546</v>
      </c>
      <c r="F806" s="816" t="n">
        <f aca="false">F805+1</f>
        <v>591</v>
      </c>
      <c r="G806" s="775" t="n">
        <f aca="false">C806</f>
        <v>74023.0426760789</v>
      </c>
      <c r="H806" s="817" t="n">
        <f aca="false">1000*(E806-E805)</f>
        <v>9.99999999999979</v>
      </c>
      <c r="I806" s="5"/>
      <c r="J806" s="818" t="n">
        <f aca="false">1000*(E806-$E$215)/(B806-$B$215)</f>
        <v>12.6630623156882</v>
      </c>
      <c r="K806" s="732" t="n">
        <f aca="false">AVERAGE($E$216:E806)</f>
        <v>7.97660904158695</v>
      </c>
      <c r="L806" s="819" t="n">
        <f aca="false">L805+1</f>
        <v>591</v>
      </c>
      <c r="M806" s="820" t="n">
        <f aca="false">IF(B806&lt;$E$104,$E$105,$E$106)</f>
        <v>3</v>
      </c>
      <c r="N806" s="821" t="n">
        <f aca="false">IF(B806&lt;$E$104,$E$105,$E$111)</f>
        <v>2.5</v>
      </c>
      <c r="O806" s="822" t="n">
        <f aca="false">E806*$E$205*N806</f>
        <v>143.744617425741</v>
      </c>
      <c r="P806" s="823" t="n">
        <f aca="false">P805+O806</f>
        <v>61737.5494971086</v>
      </c>
      <c r="Q806" s="606" t="n">
        <f aca="false">Q805+1</f>
        <v>591</v>
      </c>
      <c r="R806" s="824" t="n">
        <f aca="false">R805-1</f>
        <v>-591</v>
      </c>
      <c r="S806" s="5"/>
      <c r="T806" s="5"/>
      <c r="U806" s="5"/>
      <c r="V806" s="10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02"/>
      <c r="AU806" s="502"/>
      <c r="AV806" s="606"/>
      <c r="AW806" s="502"/>
      <c r="AX806" s="502"/>
      <c r="AY806" s="502"/>
      <c r="AZ806" s="502"/>
      <c r="BA806" s="502"/>
      <c r="BB806" s="502"/>
      <c r="BC806" s="502"/>
      <c r="BD806" s="502"/>
      <c r="BE806" s="502"/>
      <c r="BF806" s="502"/>
      <c r="BG806" s="502"/>
      <c r="BH806" s="502"/>
      <c r="BI806" s="502"/>
      <c r="BJ806" s="502"/>
      <c r="BK806" s="502"/>
      <c r="BL806" s="502"/>
      <c r="BM806" s="502"/>
      <c r="BN806" s="502"/>
      <c r="BO806" s="502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</row>
    <row r="807" s="504" customFormat="true" ht="12.75" hidden="true" customHeight="true" outlineLevel="0" collapsed="false">
      <c r="A807" s="5"/>
      <c r="B807" s="813" t="n">
        <f aca="false">B806+1</f>
        <v>592</v>
      </c>
      <c r="C807" s="814" t="n">
        <f aca="false">C806+D807</f>
        <v>74195.6938969898</v>
      </c>
      <c r="D807" s="815" t="n">
        <f aca="false">E807*$E$205*M807</f>
        <v>172.651220910889</v>
      </c>
      <c r="E807" s="601" t="n">
        <f aca="false">E806+$C$204</f>
        <v>10.9494686016546</v>
      </c>
      <c r="F807" s="816" t="n">
        <f aca="false">F806+1</f>
        <v>592</v>
      </c>
      <c r="G807" s="775" t="n">
        <f aca="false">C807</f>
        <v>74195.6938969898</v>
      </c>
      <c r="H807" s="817" t="n">
        <f aca="false">1000*(E807-E806)</f>
        <v>9.99999999999979</v>
      </c>
      <c r="I807" s="5"/>
      <c r="J807" s="818" t="n">
        <f aca="false">1000*(E807-$E$215)/(B807-$B$215)</f>
        <v>12.6585638996144</v>
      </c>
      <c r="K807" s="732" t="n">
        <f aca="false">AVERAGE($E$216:E807)</f>
        <v>7.98163076381679</v>
      </c>
      <c r="L807" s="819" t="n">
        <f aca="false">L806+1</f>
        <v>592</v>
      </c>
      <c r="M807" s="820" t="n">
        <f aca="false">IF(B807&lt;$E$104,$E$105,$E$106)</f>
        <v>3</v>
      </c>
      <c r="N807" s="821" t="n">
        <f aca="false">IF(B807&lt;$E$104,$E$105,$E$111)</f>
        <v>2.5</v>
      </c>
      <c r="O807" s="822" t="n">
        <f aca="false">E807*$E$205*N807</f>
        <v>143.876017425741</v>
      </c>
      <c r="P807" s="823" t="n">
        <f aca="false">P806+O807</f>
        <v>61881.4255145344</v>
      </c>
      <c r="Q807" s="606" t="n">
        <f aca="false">Q806+1</f>
        <v>592</v>
      </c>
      <c r="R807" s="824" t="n">
        <f aca="false">R806-1</f>
        <v>-592</v>
      </c>
      <c r="S807" s="5"/>
      <c r="T807" s="5"/>
      <c r="U807" s="5"/>
      <c r="V807" s="10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02"/>
      <c r="AU807" s="502"/>
      <c r="AV807" s="606"/>
      <c r="AW807" s="502"/>
      <c r="AX807" s="502"/>
      <c r="AY807" s="502"/>
      <c r="AZ807" s="502"/>
      <c r="BA807" s="502"/>
      <c r="BB807" s="502"/>
      <c r="BC807" s="502"/>
      <c r="BD807" s="502"/>
      <c r="BE807" s="502"/>
      <c r="BF807" s="502"/>
      <c r="BG807" s="502"/>
      <c r="BH807" s="502"/>
      <c r="BI807" s="502"/>
      <c r="BJ807" s="502"/>
      <c r="BK807" s="502"/>
      <c r="BL807" s="502"/>
      <c r="BM807" s="502"/>
      <c r="BN807" s="502"/>
      <c r="BO807" s="502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</row>
    <row r="808" s="504" customFormat="true" ht="12.75" hidden="true" customHeight="true" outlineLevel="0" collapsed="false">
      <c r="A808" s="5"/>
      <c r="B808" s="813" t="n">
        <f aca="false">B807+1</f>
        <v>593</v>
      </c>
      <c r="C808" s="814" t="n">
        <f aca="false">C807+D808</f>
        <v>74368.5027979007</v>
      </c>
      <c r="D808" s="815" t="n">
        <f aca="false">E808*$E$205*M808</f>
        <v>172.808900910889</v>
      </c>
      <c r="E808" s="601" t="n">
        <f aca="false">E807+$C$204</f>
        <v>10.9594686016546</v>
      </c>
      <c r="F808" s="816" t="n">
        <f aca="false">F807+1</f>
        <v>593</v>
      </c>
      <c r="G808" s="775" t="n">
        <f aca="false">C808</f>
        <v>74368.5027979007</v>
      </c>
      <c r="H808" s="817" t="n">
        <f aca="false">1000*(E808-E807)</f>
        <v>9.99999999999979</v>
      </c>
      <c r="I808" s="5"/>
      <c r="J808" s="818" t="n">
        <f aca="false">1000*(E808-$E$215)/(B808-$B$215)</f>
        <v>12.6540806552643</v>
      </c>
      <c r="K808" s="732" t="n">
        <f aca="false">AVERAGE($E$216:E808)</f>
        <v>7.98665241278447</v>
      </c>
      <c r="L808" s="819" t="n">
        <f aca="false">L807+1</f>
        <v>593</v>
      </c>
      <c r="M808" s="820" t="n">
        <f aca="false">IF(B808&lt;$E$104,$E$105,$E$106)</f>
        <v>3</v>
      </c>
      <c r="N808" s="821" t="n">
        <f aca="false">IF(B808&lt;$E$104,$E$105,$E$111)</f>
        <v>2.5</v>
      </c>
      <c r="O808" s="822" t="n">
        <f aca="false">E808*$E$205*N808</f>
        <v>144.007417425741</v>
      </c>
      <c r="P808" s="823" t="n">
        <f aca="false">P807+O808</f>
        <v>62025.4329319601</v>
      </c>
      <c r="Q808" s="606" t="n">
        <f aca="false">Q807+1</f>
        <v>593</v>
      </c>
      <c r="R808" s="824" t="n">
        <f aca="false">R807-1</f>
        <v>-593</v>
      </c>
      <c r="S808" s="5"/>
      <c r="T808" s="5"/>
      <c r="U808" s="5"/>
      <c r="V808" s="10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02"/>
      <c r="AU808" s="502"/>
      <c r="AV808" s="606"/>
      <c r="AW808" s="502"/>
      <c r="AX808" s="502"/>
      <c r="AY808" s="502"/>
      <c r="AZ808" s="502"/>
      <c r="BA808" s="502"/>
      <c r="BB808" s="502"/>
      <c r="BC808" s="502"/>
      <c r="BD808" s="502"/>
      <c r="BE808" s="502"/>
      <c r="BF808" s="502"/>
      <c r="BG808" s="502"/>
      <c r="BH808" s="502"/>
      <c r="BI808" s="502"/>
      <c r="BJ808" s="502"/>
      <c r="BK808" s="502"/>
      <c r="BL808" s="502"/>
      <c r="BM808" s="502"/>
      <c r="BN808" s="502"/>
      <c r="BO808" s="502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</row>
    <row r="809" s="504" customFormat="true" ht="12.75" hidden="true" customHeight="true" outlineLevel="0" collapsed="false">
      <c r="A809" s="5"/>
      <c r="B809" s="813" t="n">
        <f aca="false">B808+1</f>
        <v>594</v>
      </c>
      <c r="C809" s="814" t="n">
        <f aca="false">C808+D809</f>
        <v>74541.4693788116</v>
      </c>
      <c r="D809" s="815" t="n">
        <f aca="false">E809*$E$205*M809</f>
        <v>172.966580910889</v>
      </c>
      <c r="E809" s="601" t="n">
        <f aca="false">E808+$C$204</f>
        <v>10.9694686016546</v>
      </c>
      <c r="F809" s="816" t="n">
        <f aca="false">F808+1</f>
        <v>594</v>
      </c>
      <c r="G809" s="775" t="n">
        <f aca="false">C809</f>
        <v>74541.4693788116</v>
      </c>
      <c r="H809" s="817" t="n">
        <f aca="false">1000*(E809-E808)</f>
        <v>9.99999999999979</v>
      </c>
      <c r="I809" s="5"/>
      <c r="J809" s="818" t="n">
        <f aca="false">1000*(E809-$E$215)/(B809-$B$215)</f>
        <v>12.649612506013</v>
      </c>
      <c r="K809" s="732" t="n">
        <f aca="false">AVERAGE($E$216:E809)</f>
        <v>7.99167398886001</v>
      </c>
      <c r="L809" s="819" t="n">
        <f aca="false">L808+1</f>
        <v>594</v>
      </c>
      <c r="M809" s="820" t="n">
        <f aca="false">IF(B809&lt;$E$104,$E$105,$E$106)</f>
        <v>3</v>
      </c>
      <c r="N809" s="821" t="n">
        <f aca="false">IF(B809&lt;$E$104,$E$105,$E$111)</f>
        <v>2.5</v>
      </c>
      <c r="O809" s="822" t="n">
        <f aca="false">E809*$E$205*N809</f>
        <v>144.138817425741</v>
      </c>
      <c r="P809" s="823" t="n">
        <f aca="false">P808+O809</f>
        <v>62169.5717493859</v>
      </c>
      <c r="Q809" s="606" t="n">
        <f aca="false">Q808+1</f>
        <v>594</v>
      </c>
      <c r="R809" s="824" t="n">
        <f aca="false">R808-1</f>
        <v>-594</v>
      </c>
      <c r="S809" s="5"/>
      <c r="T809" s="5"/>
      <c r="U809" s="5"/>
      <c r="V809" s="10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02"/>
      <c r="AU809" s="502"/>
      <c r="AV809" s="606"/>
      <c r="AW809" s="502"/>
      <c r="AX809" s="502"/>
      <c r="AY809" s="502"/>
      <c r="AZ809" s="502"/>
      <c r="BA809" s="502"/>
      <c r="BB809" s="502"/>
      <c r="BC809" s="502"/>
      <c r="BD809" s="502"/>
      <c r="BE809" s="502"/>
      <c r="BF809" s="502"/>
      <c r="BG809" s="502"/>
      <c r="BH809" s="502"/>
      <c r="BI809" s="502"/>
      <c r="BJ809" s="502"/>
      <c r="BK809" s="502"/>
      <c r="BL809" s="502"/>
      <c r="BM809" s="502"/>
      <c r="BN809" s="502"/>
      <c r="BO809" s="502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</row>
    <row r="810" s="504" customFormat="true" ht="12.75" hidden="true" customHeight="true" outlineLevel="0" collapsed="false">
      <c r="A810" s="5"/>
      <c r="B810" s="813" t="n">
        <f aca="false">B809+1</f>
        <v>595</v>
      </c>
      <c r="C810" s="814" t="n">
        <f aca="false">C809+D810</f>
        <v>74714.5936397225</v>
      </c>
      <c r="D810" s="815" t="n">
        <f aca="false">E810*$E$205*M810</f>
        <v>173.124260910889</v>
      </c>
      <c r="E810" s="601" t="n">
        <f aca="false">E809+$C$204</f>
        <v>10.9794686016546</v>
      </c>
      <c r="F810" s="816" t="n">
        <f aca="false">F809+1</f>
        <v>595</v>
      </c>
      <c r="G810" s="775" t="n">
        <f aca="false">C810</f>
        <v>74714.5936397225</v>
      </c>
      <c r="H810" s="817" t="n">
        <f aca="false">1000*(E810-E809)</f>
        <v>9.99999999999979</v>
      </c>
      <c r="I810" s="5"/>
      <c r="J810" s="818" t="n">
        <f aca="false">1000*(E810-$E$215)/(B810-$B$215)</f>
        <v>12.6451593757508</v>
      </c>
      <c r="K810" s="732" t="n">
        <f aca="false">AVERAGE($E$216:E810)</f>
        <v>7.99669549241093</v>
      </c>
      <c r="L810" s="819" t="n">
        <f aca="false">L809+1</f>
        <v>595</v>
      </c>
      <c r="M810" s="820" t="n">
        <f aca="false">IF(B810&lt;$E$104,$E$105,$E$106)</f>
        <v>3</v>
      </c>
      <c r="N810" s="821" t="n">
        <f aca="false">IF(B810&lt;$E$104,$E$105,$E$111)</f>
        <v>2.5</v>
      </c>
      <c r="O810" s="822" t="n">
        <f aca="false">E810*$E$205*N810</f>
        <v>144.270217425741</v>
      </c>
      <c r="P810" s="823" t="n">
        <f aca="false">P809+O810</f>
        <v>62313.8419668116</v>
      </c>
      <c r="Q810" s="606" t="n">
        <f aca="false">Q809+1</f>
        <v>595</v>
      </c>
      <c r="R810" s="824" t="n">
        <f aca="false">R809-1</f>
        <v>-595</v>
      </c>
      <c r="S810" s="5"/>
      <c r="T810" s="5"/>
      <c r="U810" s="5"/>
      <c r="V810" s="10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02"/>
      <c r="AU810" s="502"/>
      <c r="AV810" s="606"/>
      <c r="AW810" s="502"/>
      <c r="AX810" s="502"/>
      <c r="AY810" s="502"/>
      <c r="AZ810" s="502"/>
      <c r="BA810" s="502"/>
      <c r="BB810" s="502"/>
      <c r="BC810" s="502"/>
      <c r="BD810" s="502"/>
      <c r="BE810" s="502"/>
      <c r="BF810" s="502"/>
      <c r="BG810" s="502"/>
      <c r="BH810" s="502"/>
      <c r="BI810" s="502"/>
      <c r="BJ810" s="502"/>
      <c r="BK810" s="502"/>
      <c r="BL810" s="502"/>
      <c r="BM810" s="502"/>
      <c r="BN810" s="502"/>
      <c r="BO810" s="502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</row>
    <row r="811" s="504" customFormat="true" ht="12.75" hidden="true" customHeight="true" outlineLevel="0" collapsed="false">
      <c r="A811" s="5"/>
      <c r="B811" s="813" t="n">
        <f aca="false">B810+1</f>
        <v>596</v>
      </c>
      <c r="C811" s="814" t="n">
        <f aca="false">C810+D811</f>
        <v>74887.8755806334</v>
      </c>
      <c r="D811" s="815" t="n">
        <f aca="false">E811*$E$205*M811</f>
        <v>173.281940910889</v>
      </c>
      <c r="E811" s="601" t="n">
        <f aca="false">E810+$C$204</f>
        <v>10.9894686016546</v>
      </c>
      <c r="F811" s="816" t="n">
        <f aca="false">F810+1</f>
        <v>596</v>
      </c>
      <c r="G811" s="775" t="n">
        <f aca="false">C811</f>
        <v>74887.8755806334</v>
      </c>
      <c r="H811" s="817" t="n">
        <f aca="false">1000*(E811-E810)</f>
        <v>9.99999999999979</v>
      </c>
      <c r="I811" s="5"/>
      <c r="J811" s="818" t="n">
        <f aca="false">1000*(E811-$E$215)/(B811-$B$215)</f>
        <v>12.6407211888787</v>
      </c>
      <c r="K811" s="732" t="n">
        <f aca="false">AVERAGE($E$216:E811)</f>
        <v>8.00171692380228</v>
      </c>
      <c r="L811" s="819" t="n">
        <f aca="false">L810+1</f>
        <v>596</v>
      </c>
      <c r="M811" s="820" t="n">
        <f aca="false">IF(B811&lt;$E$104,$E$105,$E$106)</f>
        <v>3</v>
      </c>
      <c r="N811" s="821" t="n">
        <f aca="false">IF(B811&lt;$E$104,$E$105,$E$111)</f>
        <v>2.5</v>
      </c>
      <c r="O811" s="822" t="n">
        <f aca="false">E811*$E$205*N811</f>
        <v>144.401617425741</v>
      </c>
      <c r="P811" s="823" t="n">
        <f aca="false">P810+O811</f>
        <v>62458.2435842374</v>
      </c>
      <c r="Q811" s="606" t="n">
        <f aca="false">Q810+1</f>
        <v>596</v>
      </c>
      <c r="R811" s="824" t="n">
        <f aca="false">R810-1</f>
        <v>-596</v>
      </c>
      <c r="S811" s="5"/>
      <c r="T811" s="5"/>
      <c r="U811" s="5"/>
      <c r="V811" s="10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02"/>
      <c r="AU811" s="502"/>
      <c r="AV811" s="606"/>
      <c r="AW811" s="502"/>
      <c r="AX811" s="502"/>
      <c r="AY811" s="502"/>
      <c r="AZ811" s="502"/>
      <c r="BA811" s="502"/>
      <c r="BB811" s="502"/>
      <c r="BC811" s="502"/>
      <c r="BD811" s="502"/>
      <c r="BE811" s="502"/>
      <c r="BF811" s="502"/>
      <c r="BG811" s="502"/>
      <c r="BH811" s="502"/>
      <c r="BI811" s="502"/>
      <c r="BJ811" s="502"/>
      <c r="BK811" s="502"/>
      <c r="BL811" s="502"/>
      <c r="BM811" s="502"/>
      <c r="BN811" s="502"/>
      <c r="BO811" s="502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</row>
    <row r="812" s="504" customFormat="true" ht="12.75" hidden="true" customHeight="true" outlineLevel="0" collapsed="false">
      <c r="A812" s="5"/>
      <c r="B812" s="813" t="n">
        <f aca="false">B811+1</f>
        <v>597</v>
      </c>
      <c r="C812" s="814" t="n">
        <f aca="false">C811+D812</f>
        <v>75061.3152015443</v>
      </c>
      <c r="D812" s="815" t="n">
        <f aca="false">E812*$E$205*M812</f>
        <v>173.439620910889</v>
      </c>
      <c r="E812" s="601" t="n">
        <f aca="false">E811+$C$204</f>
        <v>10.9994686016546</v>
      </c>
      <c r="F812" s="816" t="n">
        <f aca="false">F811+1</f>
        <v>597</v>
      </c>
      <c r="G812" s="775" t="n">
        <f aca="false">C812</f>
        <v>75061.3152015443</v>
      </c>
      <c r="H812" s="817" t="n">
        <f aca="false">1000*(E812-E811)</f>
        <v>9.99999999999979</v>
      </c>
      <c r="I812" s="5"/>
      <c r="J812" s="818" t="n">
        <f aca="false">1000*(E812-$E$215)/(B812-$B$215)</f>
        <v>12.6362978703044</v>
      </c>
      <c r="K812" s="732" t="n">
        <f aca="false">AVERAGE($E$216:E812)</f>
        <v>8.00673828339667</v>
      </c>
      <c r="L812" s="819" t="n">
        <f aca="false">L811+1</f>
        <v>597</v>
      </c>
      <c r="M812" s="820" t="n">
        <f aca="false">IF(B812&lt;$E$104,$E$105,$E$106)</f>
        <v>3</v>
      </c>
      <c r="N812" s="821" t="n">
        <f aca="false">IF(B812&lt;$E$104,$E$105,$E$111)</f>
        <v>2.5</v>
      </c>
      <c r="O812" s="822" t="n">
        <f aca="false">E812*$E$205*N812</f>
        <v>144.533017425741</v>
      </c>
      <c r="P812" s="823" t="n">
        <f aca="false">P811+O812</f>
        <v>62602.7766016631</v>
      </c>
      <c r="Q812" s="606" t="n">
        <f aca="false">Q811+1</f>
        <v>597</v>
      </c>
      <c r="R812" s="824" t="n">
        <f aca="false">R811-1</f>
        <v>-597</v>
      </c>
      <c r="S812" s="5"/>
      <c r="T812" s="5"/>
      <c r="U812" s="5"/>
      <c r="V812" s="10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02"/>
      <c r="AU812" s="502"/>
      <c r="AV812" s="606"/>
      <c r="AW812" s="502"/>
      <c r="AX812" s="502"/>
      <c r="AY812" s="502"/>
      <c r="AZ812" s="502"/>
      <c r="BA812" s="502"/>
      <c r="BB812" s="502"/>
      <c r="BC812" s="502"/>
      <c r="BD812" s="502"/>
      <c r="BE812" s="502"/>
      <c r="BF812" s="502"/>
      <c r="BG812" s="502"/>
      <c r="BH812" s="502"/>
      <c r="BI812" s="502"/>
      <c r="BJ812" s="502"/>
      <c r="BK812" s="502"/>
      <c r="BL812" s="502"/>
      <c r="BM812" s="502"/>
      <c r="BN812" s="502"/>
      <c r="BO812" s="502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</row>
    <row r="813" s="504" customFormat="true" ht="12.75" hidden="true" customHeight="true" outlineLevel="0" collapsed="false">
      <c r="A813" s="5"/>
      <c r="B813" s="813" t="n">
        <f aca="false">B812+1</f>
        <v>598</v>
      </c>
      <c r="C813" s="814" t="n">
        <f aca="false">C812+D813</f>
        <v>75234.9125024552</v>
      </c>
      <c r="D813" s="815" t="n">
        <f aca="false">E813*$E$205*M813</f>
        <v>173.597300910889</v>
      </c>
      <c r="E813" s="601" t="n">
        <f aca="false">E812+$C$204</f>
        <v>11.0094686016546</v>
      </c>
      <c r="F813" s="816" t="n">
        <f aca="false">F812+1</f>
        <v>598</v>
      </c>
      <c r="G813" s="775" t="n">
        <f aca="false">C813</f>
        <v>75234.9125024552</v>
      </c>
      <c r="H813" s="817" t="n">
        <f aca="false">1000*(E813-E812)</f>
        <v>9.99999999999979</v>
      </c>
      <c r="I813" s="5"/>
      <c r="J813" s="818" t="n">
        <f aca="false">1000*(E813-$E$215)/(B813-$B$215)</f>
        <v>12.6318893454377</v>
      </c>
      <c r="K813" s="732" t="n">
        <f aca="false">AVERAGE($E$216:E813)</f>
        <v>8.01175957155429</v>
      </c>
      <c r="L813" s="819" t="n">
        <f aca="false">L812+1</f>
        <v>598</v>
      </c>
      <c r="M813" s="820" t="n">
        <f aca="false">IF(B813&lt;$E$104,$E$105,$E$106)</f>
        <v>3</v>
      </c>
      <c r="N813" s="821" t="n">
        <f aca="false">IF(B813&lt;$E$104,$E$105,$E$111)</f>
        <v>2.5</v>
      </c>
      <c r="O813" s="822" t="n">
        <f aca="false">E813*$E$205*N813</f>
        <v>144.664417425741</v>
      </c>
      <c r="P813" s="823" t="n">
        <f aca="false">P812+O813</f>
        <v>62747.4410190888</v>
      </c>
      <c r="Q813" s="606" t="n">
        <f aca="false">Q812+1</f>
        <v>598</v>
      </c>
      <c r="R813" s="824" t="n">
        <f aca="false">R812-1</f>
        <v>-598</v>
      </c>
      <c r="S813" s="5"/>
      <c r="T813" s="5"/>
      <c r="U813" s="5"/>
      <c r="V813" s="10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02"/>
      <c r="AU813" s="502"/>
      <c r="AV813" s="606"/>
      <c r="AW813" s="502"/>
      <c r="AX813" s="502"/>
      <c r="AY813" s="502"/>
      <c r="AZ813" s="502"/>
      <c r="BA813" s="502"/>
      <c r="BB813" s="502"/>
      <c r="BC813" s="502"/>
      <c r="BD813" s="502"/>
      <c r="BE813" s="502"/>
      <c r="BF813" s="502"/>
      <c r="BG813" s="502"/>
      <c r="BH813" s="502"/>
      <c r="BI813" s="502"/>
      <c r="BJ813" s="502"/>
      <c r="BK813" s="502"/>
      <c r="BL813" s="502"/>
      <c r="BM813" s="502"/>
      <c r="BN813" s="502"/>
      <c r="BO813" s="502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</row>
    <row r="814" s="504" customFormat="true" ht="12.75" hidden="true" customHeight="true" outlineLevel="0" collapsed="false">
      <c r="A814" s="5"/>
      <c r="B814" s="813" t="n">
        <f aca="false">B813+1</f>
        <v>599</v>
      </c>
      <c r="C814" s="814" t="n">
        <f aca="false">C813+D814</f>
        <v>75408.6674833661</v>
      </c>
      <c r="D814" s="815" t="n">
        <f aca="false">E814*$E$205*M814</f>
        <v>173.754980910889</v>
      </c>
      <c r="E814" s="601" t="n">
        <f aca="false">E813+$C$204</f>
        <v>11.0194686016546</v>
      </c>
      <c r="F814" s="816" t="n">
        <f aca="false">F813+1</f>
        <v>599</v>
      </c>
      <c r="G814" s="775" t="n">
        <f aca="false">C814</f>
        <v>75408.6674833661</v>
      </c>
      <c r="H814" s="817" t="n">
        <f aca="false">1000*(E814-E813)</f>
        <v>9.99999999999979</v>
      </c>
      <c r="I814" s="5"/>
      <c r="J814" s="818" t="n">
        <f aca="false">1000*(E814-$E$215)/(B814-$B$215)</f>
        <v>12.6274955401865</v>
      </c>
      <c r="K814" s="732" t="n">
        <f aca="false">AVERAGE($E$216:E814)</f>
        <v>8.01678078863292</v>
      </c>
      <c r="L814" s="819" t="n">
        <f aca="false">L813+1</f>
        <v>599</v>
      </c>
      <c r="M814" s="820" t="n">
        <f aca="false">IF(B814&lt;$E$104,$E$105,$E$106)</f>
        <v>3</v>
      </c>
      <c r="N814" s="821" t="n">
        <f aca="false">IF(B814&lt;$E$104,$E$105,$E$111)</f>
        <v>2.5</v>
      </c>
      <c r="O814" s="822" t="n">
        <f aca="false">E814*$E$205*N814</f>
        <v>144.795817425741</v>
      </c>
      <c r="P814" s="823" t="n">
        <f aca="false">P813+O814</f>
        <v>62892.2368365146</v>
      </c>
      <c r="Q814" s="606" t="n">
        <f aca="false">Q813+1</f>
        <v>599</v>
      </c>
      <c r="R814" s="824" t="n">
        <f aca="false">R813-1</f>
        <v>-599</v>
      </c>
      <c r="S814" s="5"/>
      <c r="T814" s="5"/>
      <c r="U814" s="5"/>
      <c r="V814" s="10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02"/>
      <c r="AU814" s="502"/>
      <c r="AV814" s="606"/>
      <c r="AW814" s="502"/>
      <c r="AX814" s="502"/>
      <c r="AY814" s="502"/>
      <c r="AZ814" s="502"/>
      <c r="BA814" s="502"/>
      <c r="BB814" s="502"/>
      <c r="BC814" s="502"/>
      <c r="BD814" s="502"/>
      <c r="BE814" s="502"/>
      <c r="BF814" s="502"/>
      <c r="BG814" s="502"/>
      <c r="BH814" s="502"/>
      <c r="BI814" s="502"/>
      <c r="BJ814" s="502"/>
      <c r="BK814" s="502"/>
      <c r="BL814" s="502"/>
      <c r="BM814" s="502"/>
      <c r="BN814" s="502"/>
      <c r="BO814" s="502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</row>
    <row r="815" s="504" customFormat="true" ht="12.75" hidden="true" customHeight="true" outlineLevel="0" collapsed="false">
      <c r="A815" s="5"/>
      <c r="B815" s="827" t="n">
        <f aca="false">B814+1</f>
        <v>600</v>
      </c>
      <c r="C815" s="768" t="n">
        <f aca="false">C814+D815</f>
        <v>75582.5801442769</v>
      </c>
      <c r="D815" s="828" t="n">
        <f aca="false">E815*$E$205*M815</f>
        <v>173.912660910889</v>
      </c>
      <c r="E815" s="787" t="n">
        <f aca="false">E814+$C$204</f>
        <v>11.0294686016546</v>
      </c>
      <c r="F815" s="829" t="n">
        <f aca="false">F814+1</f>
        <v>600</v>
      </c>
      <c r="G815" s="830" t="n">
        <f aca="false">C815</f>
        <v>75582.5801442769</v>
      </c>
      <c r="H815" s="831" t="n">
        <f aca="false">1000*(E815-E814)</f>
        <v>9.99999999999979</v>
      </c>
      <c r="I815" s="785"/>
      <c r="J815" s="832" t="n">
        <f aca="false">1000*(E815-$E$215)/(B815-$B$215)</f>
        <v>12.6231163809529</v>
      </c>
      <c r="K815" s="787" t="n">
        <f aca="false">AVERAGE($E$216:E815)</f>
        <v>8.02180193498796</v>
      </c>
      <c r="L815" s="833" t="n">
        <f aca="false">L814+1</f>
        <v>600</v>
      </c>
      <c r="M815" s="834" t="n">
        <f aca="false">IF(B815&lt;$E$104,$E$105,$E$106)</f>
        <v>3</v>
      </c>
      <c r="N815" s="835" t="n">
        <f aca="false">IF(B815&lt;$E$104,$E$105,$E$111)</f>
        <v>2.5</v>
      </c>
      <c r="O815" s="836" t="n">
        <f aca="false">E815*$E$205*N815</f>
        <v>144.927217425741</v>
      </c>
      <c r="P815" s="837" t="n">
        <f aca="false">P814+O815</f>
        <v>63037.1640539403</v>
      </c>
      <c r="Q815" s="742" t="n">
        <f aca="false">Q814+1</f>
        <v>600</v>
      </c>
      <c r="R815" s="838" t="n">
        <f aca="false">R814-1</f>
        <v>-600</v>
      </c>
      <c r="S815" s="5"/>
      <c r="T815" s="5"/>
      <c r="U815" s="5"/>
      <c r="V815" s="10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02"/>
      <c r="AU815" s="502"/>
      <c r="AV815" s="606"/>
      <c r="AW815" s="502"/>
      <c r="AX815" s="502"/>
      <c r="AY815" s="502"/>
      <c r="AZ815" s="502"/>
      <c r="BA815" s="502"/>
      <c r="BB815" s="502"/>
      <c r="BC815" s="502"/>
      <c r="BD815" s="502"/>
      <c r="BE815" s="502"/>
      <c r="BF815" s="502"/>
      <c r="BG815" s="502"/>
      <c r="BH815" s="502"/>
      <c r="BI815" s="502"/>
      <c r="BJ815" s="502"/>
      <c r="BK815" s="502"/>
      <c r="BL815" s="502"/>
      <c r="BM815" s="502"/>
      <c r="BN815" s="502"/>
      <c r="BO815" s="502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</row>
    <row r="816" s="504" customFormat="true" ht="12.75" hidden="true" customHeight="true" outlineLevel="0" collapsed="false">
      <c r="A816" s="5"/>
      <c r="B816" s="813" t="n">
        <f aca="false">B815+1</f>
        <v>601</v>
      </c>
      <c r="C816" s="814" t="n">
        <f aca="false">C815+D816</f>
        <v>75756.6504851878</v>
      </c>
      <c r="D816" s="815" t="n">
        <f aca="false">E816*$E$205*M816</f>
        <v>174.070340910889</v>
      </c>
      <c r="E816" s="601" t="n">
        <f aca="false">E815+$C$204</f>
        <v>11.0394686016546</v>
      </c>
      <c r="F816" s="816" t="n">
        <f aca="false">F815+1</f>
        <v>601</v>
      </c>
      <c r="G816" s="775" t="n">
        <f aca="false">C816</f>
        <v>75756.6504851878</v>
      </c>
      <c r="H816" s="817" t="n">
        <f aca="false">1000*(E816-E815)</f>
        <v>9.99999999999979</v>
      </c>
      <c r="I816" s="5"/>
      <c r="J816" s="818" t="n">
        <f aca="false">1000*(E816-$E$215)/(B816-$B$215)</f>
        <v>12.6187517946285</v>
      </c>
      <c r="K816" s="732" t="n">
        <f aca="false">AVERAGE($E$216:E816)</f>
        <v>8.02682301097243</v>
      </c>
      <c r="L816" s="819" t="n">
        <f aca="false">L815+1</f>
        <v>601</v>
      </c>
      <c r="M816" s="820" t="n">
        <f aca="false">IF(B816&lt;$E$104,$E$105,$E$106)</f>
        <v>3</v>
      </c>
      <c r="N816" s="821" t="n">
        <f aca="false">IF(B816&lt;$E$104,$E$105,$E$111)</f>
        <v>2.5</v>
      </c>
      <c r="O816" s="822" t="n">
        <f aca="false">E816*$E$205*N816</f>
        <v>145.058617425741</v>
      </c>
      <c r="P816" s="823" t="n">
        <f aca="false">P815+O816</f>
        <v>63182.2226713661</v>
      </c>
      <c r="Q816" s="606" t="n">
        <f aca="false">Q815+1</f>
        <v>601</v>
      </c>
      <c r="R816" s="824" t="n">
        <f aca="false">R815-1</f>
        <v>-601</v>
      </c>
      <c r="S816" s="5"/>
      <c r="T816" s="5"/>
      <c r="U816" s="5"/>
      <c r="V816" s="10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02"/>
      <c r="AU816" s="502"/>
      <c r="AV816" s="606"/>
      <c r="AW816" s="502"/>
      <c r="AX816" s="502"/>
      <c r="AY816" s="502"/>
      <c r="AZ816" s="502"/>
      <c r="BA816" s="502"/>
      <c r="BB816" s="502"/>
      <c r="BC816" s="502"/>
      <c r="BD816" s="502"/>
      <c r="BE816" s="502"/>
      <c r="BF816" s="502"/>
      <c r="BG816" s="502"/>
      <c r="BH816" s="502"/>
      <c r="BI816" s="502"/>
      <c r="BJ816" s="502"/>
      <c r="BK816" s="502"/>
      <c r="BL816" s="502"/>
      <c r="BM816" s="502"/>
      <c r="BN816" s="502"/>
      <c r="BO816" s="502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</row>
    <row r="817" s="504" customFormat="true" ht="12.75" hidden="true" customHeight="true" outlineLevel="0" collapsed="false">
      <c r="A817" s="5"/>
      <c r="B817" s="813" t="n">
        <f aca="false">B816+1</f>
        <v>602</v>
      </c>
      <c r="C817" s="814" t="n">
        <f aca="false">C816+D817</f>
        <v>75930.8785060987</v>
      </c>
      <c r="D817" s="815" t="n">
        <f aca="false">E817*$E$205*M817</f>
        <v>174.228020910889</v>
      </c>
      <c r="E817" s="601" t="n">
        <f aca="false">E816+$C$204</f>
        <v>11.0494686016546</v>
      </c>
      <c r="F817" s="816" t="n">
        <f aca="false">F816+1</f>
        <v>602</v>
      </c>
      <c r="G817" s="775" t="n">
        <f aca="false">C817</f>
        <v>75930.8785060987</v>
      </c>
      <c r="H817" s="817" t="n">
        <f aca="false">1000*(E817-E816)</f>
        <v>9.99999999999979</v>
      </c>
      <c r="I817" s="5"/>
      <c r="J817" s="818" t="n">
        <f aca="false">1000*(E817-$E$215)/(B817-$B$215)</f>
        <v>12.6144017085909</v>
      </c>
      <c r="K817" s="732" t="n">
        <f aca="false">AVERAGE($E$216:E817)</f>
        <v>8.03184401693702</v>
      </c>
      <c r="L817" s="819" t="n">
        <f aca="false">L816+1</f>
        <v>602</v>
      </c>
      <c r="M817" s="820" t="n">
        <f aca="false">IF(B817&lt;$E$104,$E$105,$E$106)</f>
        <v>3</v>
      </c>
      <c r="N817" s="821" t="n">
        <f aca="false">IF(B817&lt;$E$104,$E$105,$E$111)</f>
        <v>2.5</v>
      </c>
      <c r="O817" s="822" t="n">
        <f aca="false">E817*$E$205*N817</f>
        <v>145.190017425741</v>
      </c>
      <c r="P817" s="823" t="n">
        <f aca="false">P816+O817</f>
        <v>63327.4126887918</v>
      </c>
      <c r="Q817" s="606" t="n">
        <f aca="false">Q816+1</f>
        <v>602</v>
      </c>
      <c r="R817" s="824" t="n">
        <f aca="false">R816-1</f>
        <v>-602</v>
      </c>
      <c r="S817" s="5"/>
      <c r="T817" s="5"/>
      <c r="U817" s="5"/>
      <c r="V817" s="10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02"/>
      <c r="AU817" s="502"/>
      <c r="AV817" s="606"/>
      <c r="AW817" s="502"/>
      <c r="AX817" s="502"/>
      <c r="AY817" s="502"/>
      <c r="AZ817" s="502"/>
      <c r="BA817" s="502"/>
      <c r="BB817" s="502"/>
      <c r="BC817" s="502"/>
      <c r="BD817" s="502"/>
      <c r="BE817" s="502"/>
      <c r="BF817" s="502"/>
      <c r="BG817" s="502"/>
      <c r="BH817" s="502"/>
      <c r="BI817" s="502"/>
      <c r="BJ817" s="502"/>
      <c r="BK817" s="502"/>
      <c r="BL817" s="502"/>
      <c r="BM817" s="502"/>
      <c r="BN817" s="502"/>
      <c r="BO817" s="502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</row>
    <row r="818" s="504" customFormat="true" ht="12.75" hidden="true" customHeight="true" outlineLevel="0" collapsed="false">
      <c r="A818" s="5"/>
      <c r="B818" s="813" t="n">
        <f aca="false">B817+1</f>
        <v>603</v>
      </c>
      <c r="C818" s="814" t="n">
        <f aca="false">C817+D818</f>
        <v>76105.2642070096</v>
      </c>
      <c r="D818" s="815" t="n">
        <f aca="false">E818*$E$205*M818</f>
        <v>174.385700910889</v>
      </c>
      <c r="E818" s="601" t="n">
        <f aca="false">E817+$C$204</f>
        <v>11.0594686016546</v>
      </c>
      <c r="F818" s="816" t="n">
        <f aca="false">F817+1</f>
        <v>603</v>
      </c>
      <c r="G818" s="775" t="n">
        <f aca="false">C818</f>
        <v>76105.2642070096</v>
      </c>
      <c r="H818" s="817" t="n">
        <f aca="false">1000*(E818-E817)</f>
        <v>9.99999999999979</v>
      </c>
      <c r="I818" s="5"/>
      <c r="J818" s="818" t="n">
        <f aca="false">1000*(E818-$E$215)/(B818-$B$215)</f>
        <v>12.6100660506994</v>
      </c>
      <c r="K818" s="732" t="n">
        <f aca="false">AVERAGE($E$216:E818)</f>
        <v>8.03686495323008</v>
      </c>
      <c r="L818" s="819" t="n">
        <f aca="false">L817+1</f>
        <v>603</v>
      </c>
      <c r="M818" s="820" t="n">
        <f aca="false">IF(B818&lt;$E$104,$E$105,$E$106)</f>
        <v>3</v>
      </c>
      <c r="N818" s="821" t="n">
        <f aca="false">IF(B818&lt;$E$104,$E$105,$E$111)</f>
        <v>2.5</v>
      </c>
      <c r="O818" s="822" t="n">
        <f aca="false">E818*$E$205*N818</f>
        <v>145.321417425741</v>
      </c>
      <c r="P818" s="823" t="n">
        <f aca="false">P817+O818</f>
        <v>63472.7341062175</v>
      </c>
      <c r="Q818" s="606" t="n">
        <f aca="false">Q817+1</f>
        <v>603</v>
      </c>
      <c r="R818" s="824" t="n">
        <f aca="false">R817-1</f>
        <v>-603</v>
      </c>
      <c r="S818" s="5"/>
      <c r="T818" s="5"/>
      <c r="U818" s="5"/>
      <c r="V818" s="10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02"/>
      <c r="AU818" s="502"/>
      <c r="AV818" s="606"/>
      <c r="AW818" s="502"/>
      <c r="AX818" s="502"/>
      <c r="AY818" s="502"/>
      <c r="AZ818" s="502"/>
      <c r="BA818" s="502"/>
      <c r="BB818" s="502"/>
      <c r="BC818" s="502"/>
      <c r="BD818" s="502"/>
      <c r="BE818" s="502"/>
      <c r="BF818" s="502"/>
      <c r="BG818" s="502"/>
      <c r="BH818" s="502"/>
      <c r="BI818" s="502"/>
      <c r="BJ818" s="502"/>
      <c r="BK818" s="502"/>
      <c r="BL818" s="502"/>
      <c r="BM818" s="502"/>
      <c r="BN818" s="502"/>
      <c r="BO818" s="502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</row>
    <row r="819" s="504" customFormat="true" ht="12.75" hidden="true" customHeight="true" outlineLevel="0" collapsed="false">
      <c r="A819" s="5"/>
      <c r="B819" s="813" t="n">
        <f aca="false">B818+1</f>
        <v>604</v>
      </c>
      <c r="C819" s="814" t="n">
        <f aca="false">C818+D819</f>
        <v>76279.8075879205</v>
      </c>
      <c r="D819" s="815" t="n">
        <f aca="false">E819*$E$205*M819</f>
        <v>174.543380910889</v>
      </c>
      <c r="E819" s="601" t="n">
        <f aca="false">E818+$C$204</f>
        <v>11.0694686016546</v>
      </c>
      <c r="F819" s="816" t="n">
        <f aca="false">F818+1</f>
        <v>604</v>
      </c>
      <c r="G819" s="775" t="n">
        <f aca="false">C819</f>
        <v>76279.8075879205</v>
      </c>
      <c r="H819" s="817" t="n">
        <f aca="false">1000*(E819-E818)</f>
        <v>9.99999999999979</v>
      </c>
      <c r="I819" s="5"/>
      <c r="J819" s="818" t="n">
        <f aca="false">1000*(E819-$E$215)/(B819-$B$215)</f>
        <v>12.6057447492909</v>
      </c>
      <c r="K819" s="732" t="n">
        <f aca="false">AVERAGE($E$216:E819)</f>
        <v>8.04188582019767</v>
      </c>
      <c r="L819" s="819" t="n">
        <f aca="false">L818+1</f>
        <v>604</v>
      </c>
      <c r="M819" s="820" t="n">
        <f aca="false">IF(B819&lt;$E$104,$E$105,$E$106)</f>
        <v>3</v>
      </c>
      <c r="N819" s="821" t="n">
        <f aca="false">IF(B819&lt;$E$104,$E$105,$E$111)</f>
        <v>2.5</v>
      </c>
      <c r="O819" s="822" t="n">
        <f aca="false">E819*$E$205*N819</f>
        <v>145.452817425741</v>
      </c>
      <c r="P819" s="823" t="n">
        <f aca="false">P818+O819</f>
        <v>63618.1869236433</v>
      </c>
      <c r="Q819" s="606" t="n">
        <f aca="false">Q818+1</f>
        <v>604</v>
      </c>
      <c r="R819" s="824" t="n">
        <f aca="false">R818-1</f>
        <v>-604</v>
      </c>
      <c r="S819" s="5"/>
      <c r="T819" s="5"/>
      <c r="U819" s="5"/>
      <c r="V819" s="10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02"/>
      <c r="AU819" s="502"/>
      <c r="AV819" s="606"/>
      <c r="AW819" s="502"/>
      <c r="AX819" s="502"/>
      <c r="AY819" s="502"/>
      <c r="AZ819" s="502"/>
      <c r="BA819" s="502"/>
      <c r="BB819" s="502"/>
      <c r="BC819" s="502"/>
      <c r="BD819" s="502"/>
      <c r="BE819" s="502"/>
      <c r="BF819" s="502"/>
      <c r="BG819" s="502"/>
      <c r="BH819" s="502"/>
      <c r="BI819" s="502"/>
      <c r="BJ819" s="502"/>
      <c r="BK819" s="502"/>
      <c r="BL819" s="502"/>
      <c r="BM819" s="502"/>
      <c r="BN819" s="502"/>
      <c r="BO819" s="502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  <c r="DE819" s="5"/>
      <c r="DF819" s="5"/>
      <c r="DG819" s="5"/>
      <c r="DH819" s="5"/>
      <c r="DI819" s="5"/>
      <c r="DJ819" s="5"/>
      <c r="DK819" s="5"/>
      <c r="DL819" s="5"/>
      <c r="DM819" s="5"/>
      <c r="DN819" s="5"/>
      <c r="DO819" s="5"/>
      <c r="DP819" s="5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</row>
    <row r="820" s="504" customFormat="true" ht="12.75" hidden="true" customHeight="true" outlineLevel="0" collapsed="false">
      <c r="A820" s="5"/>
      <c r="B820" s="813" t="n">
        <f aca="false">B819+1</f>
        <v>605</v>
      </c>
      <c r="C820" s="814" t="n">
        <f aca="false">C819+D820</f>
        <v>76454.5086488314</v>
      </c>
      <c r="D820" s="815" t="n">
        <f aca="false">E820*$E$205*M820</f>
        <v>174.701060910889</v>
      </c>
      <c r="E820" s="601" t="n">
        <f aca="false">E819+$C$204</f>
        <v>11.0794686016546</v>
      </c>
      <c r="F820" s="816" t="n">
        <f aca="false">F819+1</f>
        <v>605</v>
      </c>
      <c r="G820" s="775" t="n">
        <f aca="false">C820</f>
        <v>76454.5086488314</v>
      </c>
      <c r="H820" s="817" t="n">
        <f aca="false">1000*(E820-E819)</f>
        <v>9.99999999999979</v>
      </c>
      <c r="I820" s="5"/>
      <c r="J820" s="818" t="n">
        <f aca="false">1000*(E820-$E$215)/(B820-$B$215)</f>
        <v>12.6014377331764</v>
      </c>
      <c r="K820" s="732" t="n">
        <f aca="false">AVERAGE($E$216:E820)</f>
        <v>8.04690661818355</v>
      </c>
      <c r="L820" s="819" t="n">
        <f aca="false">L819+1</f>
        <v>605</v>
      </c>
      <c r="M820" s="820" t="n">
        <f aca="false">IF(B820&lt;$E$104,$E$105,$E$106)</f>
        <v>3</v>
      </c>
      <c r="N820" s="821" t="n">
        <f aca="false">IF(B820&lt;$E$104,$E$105,$E$111)</f>
        <v>2.5</v>
      </c>
      <c r="O820" s="822" t="n">
        <f aca="false">E820*$E$205*N820</f>
        <v>145.584217425741</v>
      </c>
      <c r="P820" s="823" t="n">
        <f aca="false">P819+O820</f>
        <v>63763.771141069</v>
      </c>
      <c r="Q820" s="606" t="n">
        <f aca="false">Q819+1</f>
        <v>605</v>
      </c>
      <c r="R820" s="824" t="n">
        <f aca="false">R819-1</f>
        <v>-605</v>
      </c>
      <c r="S820" s="5"/>
      <c r="T820" s="5"/>
      <c r="U820" s="5"/>
      <c r="V820" s="10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02"/>
      <c r="AU820" s="502"/>
      <c r="AV820" s="606"/>
      <c r="AW820" s="502"/>
      <c r="AX820" s="502"/>
      <c r="AY820" s="502"/>
      <c r="AZ820" s="502"/>
      <c r="BA820" s="502"/>
      <c r="BB820" s="502"/>
      <c r="BC820" s="502"/>
      <c r="BD820" s="502"/>
      <c r="BE820" s="502"/>
      <c r="BF820" s="502"/>
      <c r="BG820" s="502"/>
      <c r="BH820" s="502"/>
      <c r="BI820" s="502"/>
      <c r="BJ820" s="502"/>
      <c r="BK820" s="502"/>
      <c r="BL820" s="502"/>
      <c r="BM820" s="502"/>
      <c r="BN820" s="502"/>
      <c r="BO820" s="502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</row>
    <row r="821" s="504" customFormat="true" ht="12.75" hidden="true" customHeight="true" outlineLevel="0" collapsed="false">
      <c r="A821" s="5"/>
      <c r="B821" s="813" t="n">
        <f aca="false">B820+1</f>
        <v>606</v>
      </c>
      <c r="C821" s="814" t="n">
        <f aca="false">C820+D821</f>
        <v>76629.3673897423</v>
      </c>
      <c r="D821" s="815" t="n">
        <f aca="false">E821*$E$205*M821</f>
        <v>174.858740910889</v>
      </c>
      <c r="E821" s="601" t="n">
        <f aca="false">E820+$C$204</f>
        <v>11.0894686016546</v>
      </c>
      <c r="F821" s="816" t="n">
        <f aca="false">F820+1</f>
        <v>606</v>
      </c>
      <c r="G821" s="775" t="n">
        <f aca="false">C821</f>
        <v>76629.3673897423</v>
      </c>
      <c r="H821" s="817" t="n">
        <f aca="false">1000*(E821-E820)</f>
        <v>9.99999999999979</v>
      </c>
      <c r="I821" s="5"/>
      <c r="J821" s="818" t="n">
        <f aca="false">1000*(E821-$E$215)/(B821-$B$215)</f>
        <v>12.5971449316365</v>
      </c>
      <c r="K821" s="732" t="n">
        <f aca="false">AVERAGE($E$216:E821)</f>
        <v>8.05192734752921</v>
      </c>
      <c r="L821" s="819" t="n">
        <f aca="false">L820+1</f>
        <v>606</v>
      </c>
      <c r="M821" s="820" t="n">
        <f aca="false">IF(B821&lt;$E$104,$E$105,$E$106)</f>
        <v>3</v>
      </c>
      <c r="N821" s="821" t="n">
        <f aca="false">IF(B821&lt;$E$104,$E$105,$E$111)</f>
        <v>2.5</v>
      </c>
      <c r="O821" s="822" t="n">
        <f aca="false">E821*$E$205*N821</f>
        <v>145.715617425741</v>
      </c>
      <c r="P821" s="823" t="n">
        <f aca="false">P820+O821</f>
        <v>63909.4867584948</v>
      </c>
      <c r="Q821" s="606" t="n">
        <f aca="false">Q820+1</f>
        <v>606</v>
      </c>
      <c r="R821" s="824" t="n">
        <f aca="false">R820-1</f>
        <v>-606</v>
      </c>
      <c r="S821" s="5"/>
      <c r="T821" s="5"/>
      <c r="U821" s="5"/>
      <c r="V821" s="10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02"/>
      <c r="AU821" s="502"/>
      <c r="AV821" s="606"/>
      <c r="AW821" s="502"/>
      <c r="AX821" s="502"/>
      <c r="AY821" s="502"/>
      <c r="AZ821" s="502"/>
      <c r="BA821" s="502"/>
      <c r="BB821" s="502"/>
      <c r="BC821" s="502"/>
      <c r="BD821" s="502"/>
      <c r="BE821" s="502"/>
      <c r="BF821" s="502"/>
      <c r="BG821" s="502"/>
      <c r="BH821" s="502"/>
      <c r="BI821" s="502"/>
      <c r="BJ821" s="502"/>
      <c r="BK821" s="502"/>
      <c r="BL821" s="502"/>
      <c r="BM821" s="502"/>
      <c r="BN821" s="502"/>
      <c r="BO821" s="502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  <c r="DE821" s="5"/>
      <c r="DF821" s="5"/>
      <c r="DG821" s="5"/>
      <c r="DH821" s="5"/>
      <c r="DI821" s="5"/>
      <c r="DJ821" s="5"/>
      <c r="DK821" s="5"/>
      <c r="DL821" s="5"/>
      <c r="DM821" s="5"/>
      <c r="DN821" s="5"/>
      <c r="DO821" s="5"/>
      <c r="DP821" s="5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</row>
    <row r="822" s="504" customFormat="true" ht="12.75" hidden="true" customHeight="true" outlineLevel="0" collapsed="false">
      <c r="A822" s="5"/>
      <c r="B822" s="813" t="n">
        <f aca="false">B821+1</f>
        <v>607</v>
      </c>
      <c r="C822" s="814" t="n">
        <f aca="false">C821+D822</f>
        <v>76804.3838106532</v>
      </c>
      <c r="D822" s="815" t="n">
        <f aca="false">E822*$E$205*M822</f>
        <v>175.016420910889</v>
      </c>
      <c r="E822" s="601" t="n">
        <f aca="false">E821+$C$204</f>
        <v>11.0994686016546</v>
      </c>
      <c r="F822" s="816" t="n">
        <f aca="false">F821+1</f>
        <v>607</v>
      </c>
      <c r="G822" s="775" t="n">
        <f aca="false">C822</f>
        <v>76804.3838106532</v>
      </c>
      <c r="H822" s="817" t="n">
        <f aca="false">1000*(E822-E821)</f>
        <v>9.99999999999979</v>
      </c>
      <c r="I822" s="5"/>
      <c r="J822" s="818" t="n">
        <f aca="false">1000*(E822-$E$215)/(B822-$B$215)</f>
        <v>12.592866274418</v>
      </c>
      <c r="K822" s="732" t="n">
        <f aca="false">AVERAGE($E$216:E822)</f>
        <v>8.0569480085739</v>
      </c>
      <c r="L822" s="819" t="n">
        <f aca="false">L821+1</f>
        <v>607</v>
      </c>
      <c r="M822" s="820" t="n">
        <f aca="false">IF(B822&lt;$E$104,$E$105,$E$106)</f>
        <v>3</v>
      </c>
      <c r="N822" s="821" t="n">
        <f aca="false">IF(B822&lt;$E$104,$E$105,$E$111)</f>
        <v>2.5</v>
      </c>
      <c r="O822" s="822" t="n">
        <f aca="false">E822*$E$205*N822</f>
        <v>145.847017425741</v>
      </c>
      <c r="P822" s="823" t="n">
        <f aca="false">P821+O822</f>
        <v>64055.3337759205</v>
      </c>
      <c r="Q822" s="606" t="n">
        <f aca="false">Q821+1</f>
        <v>607</v>
      </c>
      <c r="R822" s="824" t="n">
        <f aca="false">R821-1</f>
        <v>-607</v>
      </c>
      <c r="S822" s="5"/>
      <c r="T822" s="5"/>
      <c r="U822" s="5"/>
      <c r="V822" s="10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02"/>
      <c r="AU822" s="502"/>
      <c r="AV822" s="606"/>
      <c r="AW822" s="502"/>
      <c r="AX822" s="502"/>
      <c r="AY822" s="502"/>
      <c r="AZ822" s="502"/>
      <c r="BA822" s="502"/>
      <c r="BB822" s="502"/>
      <c r="BC822" s="502"/>
      <c r="BD822" s="502"/>
      <c r="BE822" s="502"/>
      <c r="BF822" s="502"/>
      <c r="BG822" s="502"/>
      <c r="BH822" s="502"/>
      <c r="BI822" s="502"/>
      <c r="BJ822" s="502"/>
      <c r="BK822" s="502"/>
      <c r="BL822" s="502"/>
      <c r="BM822" s="502"/>
      <c r="BN822" s="502"/>
      <c r="BO822" s="502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</row>
    <row r="823" s="504" customFormat="true" ht="12.75" hidden="true" customHeight="true" outlineLevel="0" collapsed="false">
      <c r="A823" s="5"/>
      <c r="B823" s="813" t="n">
        <f aca="false">B822+1</f>
        <v>608</v>
      </c>
      <c r="C823" s="814" t="n">
        <f aca="false">C822+D823</f>
        <v>76979.5579115641</v>
      </c>
      <c r="D823" s="815" t="n">
        <f aca="false">E823*$E$205*M823</f>
        <v>175.174100910889</v>
      </c>
      <c r="E823" s="601" t="n">
        <f aca="false">E822+$C$204</f>
        <v>11.1094686016546</v>
      </c>
      <c r="F823" s="816" t="n">
        <f aca="false">F822+1</f>
        <v>608</v>
      </c>
      <c r="G823" s="775" t="n">
        <f aca="false">C823</f>
        <v>76979.5579115641</v>
      </c>
      <c r="H823" s="817" t="n">
        <f aca="false">1000*(E823-E822)</f>
        <v>9.99999999999979</v>
      </c>
      <c r="I823" s="5"/>
      <c r="J823" s="818" t="n">
        <f aca="false">1000*(E823-$E$215)/(B823-$B$215)</f>
        <v>12.5886016917298</v>
      </c>
      <c r="K823" s="732" t="n">
        <f aca="false">AVERAGE($E$216:E823)</f>
        <v>8.06196860165463</v>
      </c>
      <c r="L823" s="819" t="n">
        <f aca="false">L822+1</f>
        <v>608</v>
      </c>
      <c r="M823" s="820" t="n">
        <f aca="false">IF(B823&lt;$E$104,$E$105,$E$106)</f>
        <v>3</v>
      </c>
      <c r="N823" s="821" t="n">
        <f aca="false">IF(B823&lt;$E$104,$E$105,$E$111)</f>
        <v>2.5</v>
      </c>
      <c r="O823" s="822" t="n">
        <f aca="false">E823*$E$205*N823</f>
        <v>145.978417425741</v>
      </c>
      <c r="P823" s="823" t="n">
        <f aca="false">P822+O823</f>
        <v>64201.3121933463</v>
      </c>
      <c r="Q823" s="606" t="n">
        <f aca="false">Q822+1</f>
        <v>608</v>
      </c>
      <c r="R823" s="824" t="n">
        <f aca="false">R822-1</f>
        <v>-608</v>
      </c>
      <c r="S823" s="5"/>
      <c r="T823" s="5"/>
      <c r="U823" s="5"/>
      <c r="V823" s="10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02"/>
      <c r="AU823" s="502"/>
      <c r="AV823" s="606"/>
      <c r="AW823" s="502"/>
      <c r="AX823" s="502"/>
      <c r="AY823" s="502"/>
      <c r="AZ823" s="502"/>
      <c r="BA823" s="502"/>
      <c r="BB823" s="502"/>
      <c r="BC823" s="502"/>
      <c r="BD823" s="502"/>
      <c r="BE823" s="502"/>
      <c r="BF823" s="502"/>
      <c r="BG823" s="502"/>
      <c r="BH823" s="502"/>
      <c r="BI823" s="502"/>
      <c r="BJ823" s="502"/>
      <c r="BK823" s="502"/>
      <c r="BL823" s="502"/>
      <c r="BM823" s="502"/>
      <c r="BN823" s="502"/>
      <c r="BO823" s="502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</row>
    <row r="824" s="504" customFormat="true" ht="12.75" hidden="true" customHeight="true" outlineLevel="0" collapsed="false">
      <c r="A824" s="5"/>
      <c r="B824" s="813" t="n">
        <f aca="false">B823+1</f>
        <v>609</v>
      </c>
      <c r="C824" s="814" t="n">
        <f aca="false">C823+D824</f>
        <v>77154.8896924749</v>
      </c>
      <c r="D824" s="815" t="n">
        <f aca="false">E824*$E$205*M824</f>
        <v>175.331780910889</v>
      </c>
      <c r="E824" s="601" t="n">
        <f aca="false">E823+$C$204</f>
        <v>11.1194686016546</v>
      </c>
      <c r="F824" s="816" t="n">
        <f aca="false">F823+1</f>
        <v>609</v>
      </c>
      <c r="G824" s="775" t="n">
        <f aca="false">C824</f>
        <v>77154.8896924749</v>
      </c>
      <c r="H824" s="817" t="n">
        <f aca="false">1000*(E824-E823)</f>
        <v>9.99999999999979</v>
      </c>
      <c r="I824" s="5"/>
      <c r="J824" s="818" t="n">
        <f aca="false">1000*(E824-$E$215)/(B824-$B$215)</f>
        <v>12.5843511142393</v>
      </c>
      <c r="K824" s="732" t="n">
        <f aca="false">AVERAGE($E$216:E824)</f>
        <v>8.06698912710618</v>
      </c>
      <c r="L824" s="819" t="n">
        <f aca="false">L823+1</f>
        <v>609</v>
      </c>
      <c r="M824" s="820" t="n">
        <f aca="false">IF(B824&lt;$E$104,$E$105,$E$106)</f>
        <v>3</v>
      </c>
      <c r="N824" s="821" t="n">
        <f aca="false">IF(B824&lt;$E$104,$E$105,$E$111)</f>
        <v>2.5</v>
      </c>
      <c r="O824" s="822" t="n">
        <f aca="false">E824*$E$205*N824</f>
        <v>146.109817425741</v>
      </c>
      <c r="P824" s="823" t="n">
        <f aca="false">P823+O824</f>
        <v>64347.422010772</v>
      </c>
      <c r="Q824" s="606" t="n">
        <f aca="false">Q823+1</f>
        <v>609</v>
      </c>
      <c r="R824" s="824" t="n">
        <f aca="false">R823-1</f>
        <v>-609</v>
      </c>
      <c r="S824" s="5"/>
      <c r="T824" s="5"/>
      <c r="U824" s="5"/>
      <c r="V824" s="10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02"/>
      <c r="AU824" s="502"/>
      <c r="AV824" s="606"/>
      <c r="AW824" s="502"/>
      <c r="AX824" s="502"/>
      <c r="AY824" s="502"/>
      <c r="AZ824" s="502"/>
      <c r="BA824" s="502"/>
      <c r="BB824" s="502"/>
      <c r="BC824" s="502"/>
      <c r="BD824" s="502"/>
      <c r="BE824" s="502"/>
      <c r="BF824" s="502"/>
      <c r="BG824" s="502"/>
      <c r="BH824" s="502"/>
      <c r="BI824" s="502"/>
      <c r="BJ824" s="502"/>
      <c r="BK824" s="502"/>
      <c r="BL824" s="502"/>
      <c r="BM824" s="502"/>
      <c r="BN824" s="502"/>
      <c r="BO824" s="502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</row>
    <row r="825" s="504" customFormat="true" ht="12.75" hidden="true" customHeight="true" outlineLevel="0" collapsed="false">
      <c r="A825" s="5"/>
      <c r="B825" s="813" t="n">
        <f aca="false">B824+1</f>
        <v>610</v>
      </c>
      <c r="C825" s="814" t="n">
        <f aca="false">C824+D825</f>
        <v>77330.3791533858</v>
      </c>
      <c r="D825" s="815" t="n">
        <f aca="false">E825*$E$205*M825</f>
        <v>175.489460910889</v>
      </c>
      <c r="E825" s="601" t="n">
        <f aca="false">E824+$C$204</f>
        <v>11.1294686016546</v>
      </c>
      <c r="F825" s="816" t="n">
        <f aca="false">F824+1</f>
        <v>610</v>
      </c>
      <c r="G825" s="775" t="n">
        <f aca="false">C825</f>
        <v>77330.3791533858</v>
      </c>
      <c r="H825" s="817" t="n">
        <f aca="false">1000*(E825-E824)</f>
        <v>9.99999999999979</v>
      </c>
      <c r="I825" s="5"/>
      <c r="J825" s="818" t="n">
        <f aca="false">1000*(E825-$E$215)/(B825-$B$215)</f>
        <v>12.5801144730684</v>
      </c>
      <c r="K825" s="732" t="n">
        <f aca="false">AVERAGE($E$216:E825)</f>
        <v>8.07200958526118</v>
      </c>
      <c r="L825" s="819" t="n">
        <f aca="false">L824+1</f>
        <v>610</v>
      </c>
      <c r="M825" s="820" t="n">
        <f aca="false">IF(B825&lt;$E$104,$E$105,$E$106)</f>
        <v>3</v>
      </c>
      <c r="N825" s="821" t="n">
        <f aca="false">IF(B825&lt;$E$104,$E$105,$E$111)</f>
        <v>2.5</v>
      </c>
      <c r="O825" s="822" t="n">
        <f aca="false">E825*$E$205*N825</f>
        <v>146.241217425741</v>
      </c>
      <c r="P825" s="823" t="n">
        <f aca="false">P824+O825</f>
        <v>64493.6632281977</v>
      </c>
      <c r="Q825" s="606" t="n">
        <f aca="false">Q824+1</f>
        <v>610</v>
      </c>
      <c r="R825" s="824" t="n">
        <f aca="false">R824-1</f>
        <v>-610</v>
      </c>
      <c r="S825" s="5"/>
      <c r="T825" s="5"/>
      <c r="U825" s="5"/>
      <c r="V825" s="10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02"/>
      <c r="AU825" s="502"/>
      <c r="AV825" s="606"/>
      <c r="AW825" s="502"/>
      <c r="AX825" s="502"/>
      <c r="AY825" s="502"/>
      <c r="AZ825" s="502"/>
      <c r="BA825" s="502"/>
      <c r="BB825" s="502"/>
      <c r="BC825" s="502"/>
      <c r="BD825" s="502"/>
      <c r="BE825" s="502"/>
      <c r="BF825" s="502"/>
      <c r="BG825" s="502"/>
      <c r="BH825" s="502"/>
      <c r="BI825" s="502"/>
      <c r="BJ825" s="502"/>
      <c r="BK825" s="502"/>
      <c r="BL825" s="502"/>
      <c r="BM825" s="502"/>
      <c r="BN825" s="502"/>
      <c r="BO825" s="502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</row>
    <row r="826" s="504" customFormat="true" ht="12.75" hidden="true" customHeight="true" outlineLevel="0" collapsed="false">
      <c r="A826" s="5"/>
      <c r="B826" s="813" t="n">
        <f aca="false">B825+1</f>
        <v>611</v>
      </c>
      <c r="C826" s="814" t="n">
        <f aca="false">C825+D826</f>
        <v>77506.0262942967</v>
      </c>
      <c r="D826" s="815" t="n">
        <f aca="false">E826*$E$205*M826</f>
        <v>175.647140910889</v>
      </c>
      <c r="E826" s="601" t="n">
        <f aca="false">E825+$C$204</f>
        <v>11.1394686016546</v>
      </c>
      <c r="F826" s="816" t="n">
        <f aca="false">F825+1</f>
        <v>611</v>
      </c>
      <c r="G826" s="775" t="n">
        <f aca="false">C826</f>
        <v>77506.0262942967</v>
      </c>
      <c r="H826" s="817" t="n">
        <f aca="false">1000*(E826-E825)</f>
        <v>9.99999999999979</v>
      </c>
      <c r="I826" s="5"/>
      <c r="J826" s="818" t="n">
        <f aca="false">1000*(E826-$E$215)/(B826-$B$215)</f>
        <v>12.57589169979</v>
      </c>
      <c r="K826" s="732" t="n">
        <f aca="false">AVERAGE($E$216:E826)</f>
        <v>8.07702997645004</v>
      </c>
      <c r="L826" s="819" t="n">
        <f aca="false">L825+1</f>
        <v>611</v>
      </c>
      <c r="M826" s="820" t="n">
        <f aca="false">IF(B826&lt;$E$104,$E$105,$E$106)</f>
        <v>3</v>
      </c>
      <c r="N826" s="821" t="n">
        <f aca="false">IF(B826&lt;$E$104,$E$105,$E$111)</f>
        <v>2.5</v>
      </c>
      <c r="O826" s="822" t="n">
        <f aca="false">E826*$E$205*N826</f>
        <v>146.372617425741</v>
      </c>
      <c r="P826" s="823" t="n">
        <f aca="false">P825+O826</f>
        <v>64640.0358456235</v>
      </c>
      <c r="Q826" s="606" t="n">
        <f aca="false">Q825+1</f>
        <v>611</v>
      </c>
      <c r="R826" s="824" t="n">
        <f aca="false">R825-1</f>
        <v>-611</v>
      </c>
      <c r="S826" s="5"/>
      <c r="T826" s="5"/>
      <c r="U826" s="5"/>
      <c r="V826" s="10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02"/>
      <c r="AU826" s="502"/>
      <c r="AV826" s="606"/>
      <c r="AW826" s="502"/>
      <c r="AX826" s="502"/>
      <c r="AY826" s="502"/>
      <c r="AZ826" s="502"/>
      <c r="BA826" s="502"/>
      <c r="BB826" s="502"/>
      <c r="BC826" s="502"/>
      <c r="BD826" s="502"/>
      <c r="BE826" s="502"/>
      <c r="BF826" s="502"/>
      <c r="BG826" s="502"/>
      <c r="BH826" s="502"/>
      <c r="BI826" s="502"/>
      <c r="BJ826" s="502"/>
      <c r="BK826" s="502"/>
      <c r="BL826" s="502"/>
      <c r="BM826" s="502"/>
      <c r="BN826" s="502"/>
      <c r="BO826" s="502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</row>
    <row r="827" s="504" customFormat="true" ht="12.75" hidden="true" customHeight="true" outlineLevel="0" collapsed="false">
      <c r="A827" s="5"/>
      <c r="B827" s="813" t="n">
        <f aca="false">B826+1</f>
        <v>612</v>
      </c>
      <c r="C827" s="814" t="n">
        <f aca="false">C826+D827</f>
        <v>77681.8311152076</v>
      </c>
      <c r="D827" s="815" t="n">
        <f aca="false">E827*$E$205*M827</f>
        <v>175.804820910889</v>
      </c>
      <c r="E827" s="601" t="n">
        <f aca="false">E826+$C$204</f>
        <v>11.1494686016546</v>
      </c>
      <c r="F827" s="816" t="n">
        <f aca="false">F826+1</f>
        <v>612</v>
      </c>
      <c r="G827" s="775" t="n">
        <f aca="false">C827</f>
        <v>77681.8311152076</v>
      </c>
      <c r="H827" s="817" t="n">
        <f aca="false">1000*(E827-E826)</f>
        <v>9.99999999999979</v>
      </c>
      <c r="I827" s="5"/>
      <c r="J827" s="818" t="n">
        <f aca="false">1000*(E827-$E$215)/(B827-$B$215)</f>
        <v>12.5716827264244</v>
      </c>
      <c r="K827" s="732" t="n">
        <f aca="false">AVERAGE($E$216:E827)</f>
        <v>8.08205030100103</v>
      </c>
      <c r="L827" s="819" t="n">
        <f aca="false">L826+1</f>
        <v>612</v>
      </c>
      <c r="M827" s="820" t="n">
        <f aca="false">IF(B827&lt;$E$104,$E$105,$E$106)</f>
        <v>3</v>
      </c>
      <c r="N827" s="821" t="n">
        <f aca="false">IF(B827&lt;$E$104,$E$105,$E$111)</f>
        <v>2.5</v>
      </c>
      <c r="O827" s="822" t="n">
        <f aca="false">E827*$E$205*N827</f>
        <v>146.504017425741</v>
      </c>
      <c r="P827" s="823" t="n">
        <f aca="false">P826+O827</f>
        <v>64786.5398630492</v>
      </c>
      <c r="Q827" s="606" t="n">
        <f aca="false">Q826+1</f>
        <v>612</v>
      </c>
      <c r="R827" s="824" t="n">
        <f aca="false">R826-1</f>
        <v>-612</v>
      </c>
      <c r="S827" s="5"/>
      <c r="T827" s="5"/>
      <c r="U827" s="5"/>
      <c r="V827" s="10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02"/>
      <c r="AU827" s="502"/>
      <c r="AV827" s="606"/>
      <c r="AW827" s="502"/>
      <c r="AX827" s="502"/>
      <c r="AY827" s="502"/>
      <c r="AZ827" s="502"/>
      <c r="BA827" s="502"/>
      <c r="BB827" s="502"/>
      <c r="BC827" s="502"/>
      <c r="BD827" s="502"/>
      <c r="BE827" s="502"/>
      <c r="BF827" s="502"/>
      <c r="BG827" s="502"/>
      <c r="BH827" s="502"/>
      <c r="BI827" s="502"/>
      <c r="BJ827" s="502"/>
      <c r="BK827" s="502"/>
      <c r="BL827" s="502"/>
      <c r="BM827" s="502"/>
      <c r="BN827" s="502"/>
      <c r="BO827" s="502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</row>
    <row r="828" s="504" customFormat="true" ht="12.75" hidden="true" customHeight="true" outlineLevel="0" collapsed="false">
      <c r="A828" s="5"/>
      <c r="B828" s="813" t="n">
        <f aca="false">B827+1</f>
        <v>613</v>
      </c>
      <c r="C828" s="814" t="n">
        <f aca="false">C827+D828</f>
        <v>77857.7936161185</v>
      </c>
      <c r="D828" s="815" t="n">
        <f aca="false">E828*$E$205*M828</f>
        <v>175.962500910889</v>
      </c>
      <c r="E828" s="601" t="n">
        <f aca="false">E827+$C$204</f>
        <v>11.1594686016546</v>
      </c>
      <c r="F828" s="816" t="n">
        <f aca="false">F827+1</f>
        <v>613</v>
      </c>
      <c r="G828" s="775" t="n">
        <f aca="false">C828</f>
        <v>77857.7936161185</v>
      </c>
      <c r="H828" s="817" t="n">
        <f aca="false">1000*(E828-E827)</f>
        <v>9.99999999999979</v>
      </c>
      <c r="I828" s="5"/>
      <c r="J828" s="818" t="n">
        <f aca="false">1000*(E828-$E$215)/(B828-$B$215)</f>
        <v>12.5674874854351</v>
      </c>
      <c r="K828" s="732" t="n">
        <f aca="false">AVERAGE($E$216:E828)</f>
        <v>8.08707055924027</v>
      </c>
      <c r="L828" s="819" t="n">
        <f aca="false">L827+1</f>
        <v>613</v>
      </c>
      <c r="M828" s="820" t="n">
        <f aca="false">IF(B828&lt;$E$104,$E$105,$E$106)</f>
        <v>3</v>
      </c>
      <c r="N828" s="821" t="n">
        <f aca="false">IF(B828&lt;$E$104,$E$105,$E$111)</f>
        <v>2.5</v>
      </c>
      <c r="O828" s="822" t="n">
        <f aca="false">E828*$E$205*N828</f>
        <v>146.635417425741</v>
      </c>
      <c r="P828" s="823" t="n">
        <f aca="false">P827+O828</f>
        <v>64933.175280475</v>
      </c>
      <c r="Q828" s="606" t="n">
        <f aca="false">Q827+1</f>
        <v>613</v>
      </c>
      <c r="R828" s="824" t="n">
        <f aca="false">R827-1</f>
        <v>-613</v>
      </c>
      <c r="S828" s="5"/>
      <c r="T828" s="5"/>
      <c r="U828" s="5"/>
      <c r="V828" s="10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02"/>
      <c r="AU828" s="502"/>
      <c r="AV828" s="606"/>
      <c r="AW828" s="502"/>
      <c r="AX828" s="502"/>
      <c r="AY828" s="502"/>
      <c r="AZ828" s="502"/>
      <c r="BA828" s="502"/>
      <c r="BB828" s="502"/>
      <c r="BC828" s="502"/>
      <c r="BD828" s="502"/>
      <c r="BE828" s="502"/>
      <c r="BF828" s="502"/>
      <c r="BG828" s="502"/>
      <c r="BH828" s="502"/>
      <c r="BI828" s="502"/>
      <c r="BJ828" s="502"/>
      <c r="BK828" s="502"/>
      <c r="BL828" s="502"/>
      <c r="BM828" s="502"/>
      <c r="BN828" s="502"/>
      <c r="BO828" s="502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</row>
    <row r="829" s="504" customFormat="true" ht="12.75" hidden="true" customHeight="true" outlineLevel="0" collapsed="false">
      <c r="A829" s="5"/>
      <c r="B829" s="813" t="n">
        <f aca="false">B828+1</f>
        <v>614</v>
      </c>
      <c r="C829" s="814" t="n">
        <f aca="false">C828+D829</f>
        <v>78033.9137970294</v>
      </c>
      <c r="D829" s="815" t="n">
        <f aca="false">E829*$E$205*M829</f>
        <v>176.120180910889</v>
      </c>
      <c r="E829" s="601" t="n">
        <f aca="false">E828+$C$204</f>
        <v>11.1694686016546</v>
      </c>
      <c r="F829" s="816" t="n">
        <f aca="false">F828+1</f>
        <v>614</v>
      </c>
      <c r="G829" s="775" t="n">
        <f aca="false">C829</f>
        <v>78033.9137970294</v>
      </c>
      <c r="H829" s="817" t="n">
        <f aca="false">1000*(E829-E828)</f>
        <v>9.99999999999979</v>
      </c>
      <c r="I829" s="5"/>
      <c r="J829" s="818" t="n">
        <f aca="false">1000*(E829-$E$215)/(B829-$B$215)</f>
        <v>12.5633059097259</v>
      </c>
      <c r="K829" s="732" t="n">
        <f aca="false">AVERAGE($E$216:E829)</f>
        <v>8.09209075149176</v>
      </c>
      <c r="L829" s="819" t="n">
        <f aca="false">L828+1</f>
        <v>614</v>
      </c>
      <c r="M829" s="820" t="n">
        <f aca="false">IF(B829&lt;$E$104,$E$105,$E$106)</f>
        <v>3</v>
      </c>
      <c r="N829" s="821" t="n">
        <f aca="false">IF(B829&lt;$E$104,$E$105,$E$111)</f>
        <v>2.5</v>
      </c>
      <c r="O829" s="822" t="n">
        <f aca="false">E829*$E$205*N829</f>
        <v>146.766817425741</v>
      </c>
      <c r="P829" s="823" t="n">
        <f aca="false">P828+O829</f>
        <v>65079.9420979007</v>
      </c>
      <c r="Q829" s="606" t="n">
        <f aca="false">Q828+1</f>
        <v>614</v>
      </c>
      <c r="R829" s="824" t="n">
        <f aca="false">R828-1</f>
        <v>-614</v>
      </c>
      <c r="S829" s="5"/>
      <c r="T829" s="5"/>
      <c r="U829" s="5"/>
      <c r="V829" s="10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02"/>
      <c r="AU829" s="502"/>
      <c r="AV829" s="606"/>
      <c r="AW829" s="502"/>
      <c r="AX829" s="502"/>
      <c r="AY829" s="502"/>
      <c r="AZ829" s="502"/>
      <c r="BA829" s="502"/>
      <c r="BB829" s="502"/>
      <c r="BC829" s="502"/>
      <c r="BD829" s="502"/>
      <c r="BE829" s="502"/>
      <c r="BF829" s="502"/>
      <c r="BG829" s="502"/>
      <c r="BH829" s="502"/>
      <c r="BI829" s="502"/>
      <c r="BJ829" s="502"/>
      <c r="BK829" s="502"/>
      <c r="BL829" s="502"/>
      <c r="BM829" s="502"/>
      <c r="BN829" s="502"/>
      <c r="BO829" s="502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</row>
    <row r="830" s="504" customFormat="true" ht="12.75" hidden="true" customHeight="true" outlineLevel="0" collapsed="false">
      <c r="A830" s="5"/>
      <c r="B830" s="813" t="n">
        <f aca="false">B829+1</f>
        <v>615</v>
      </c>
      <c r="C830" s="814" t="n">
        <f aca="false">C829+D830</f>
        <v>78210.1916579403</v>
      </c>
      <c r="D830" s="815" t="n">
        <f aca="false">E830*$E$205*M830</f>
        <v>176.277860910889</v>
      </c>
      <c r="E830" s="601" t="n">
        <f aca="false">E829+$C$204</f>
        <v>11.1794686016546</v>
      </c>
      <c r="F830" s="816" t="n">
        <f aca="false">F829+1</f>
        <v>615</v>
      </c>
      <c r="G830" s="775" t="n">
        <f aca="false">C830</f>
        <v>78210.1916579403</v>
      </c>
      <c r="H830" s="817" t="n">
        <f aca="false">1000*(E830-E829)</f>
        <v>9.99999999999979</v>
      </c>
      <c r="I830" s="5"/>
      <c r="J830" s="818" t="n">
        <f aca="false">1000*(E830-$E$215)/(B830-$B$215)</f>
        <v>12.5591379326369</v>
      </c>
      <c r="K830" s="732" t="n">
        <f aca="false">AVERAGE($E$216:E830)</f>
        <v>8.09711087807739</v>
      </c>
      <c r="L830" s="819" t="n">
        <f aca="false">L829+1</f>
        <v>615</v>
      </c>
      <c r="M830" s="820" t="n">
        <f aca="false">IF(B830&lt;$E$104,$E$105,$E$106)</f>
        <v>3</v>
      </c>
      <c r="N830" s="821" t="n">
        <f aca="false">IF(B830&lt;$E$104,$E$105,$E$111)</f>
        <v>2.5</v>
      </c>
      <c r="O830" s="822" t="n">
        <f aca="false">E830*$E$205*N830</f>
        <v>146.898217425741</v>
      </c>
      <c r="P830" s="823" t="n">
        <f aca="false">P829+O830</f>
        <v>65226.8403153264</v>
      </c>
      <c r="Q830" s="606" t="n">
        <f aca="false">Q829+1</f>
        <v>615</v>
      </c>
      <c r="R830" s="824" t="n">
        <f aca="false">R829-1</f>
        <v>-615</v>
      </c>
      <c r="S830" s="5"/>
      <c r="T830" s="5"/>
      <c r="U830" s="5"/>
      <c r="V830" s="10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02"/>
      <c r="AU830" s="502"/>
      <c r="AV830" s="606"/>
      <c r="AW830" s="502"/>
      <c r="AX830" s="502"/>
      <c r="AY830" s="502"/>
      <c r="AZ830" s="502"/>
      <c r="BA830" s="502"/>
      <c r="BB830" s="502"/>
      <c r="BC830" s="502"/>
      <c r="BD830" s="502"/>
      <c r="BE830" s="502"/>
      <c r="BF830" s="502"/>
      <c r="BG830" s="502"/>
      <c r="BH830" s="502"/>
      <c r="BI830" s="502"/>
      <c r="BJ830" s="502"/>
      <c r="BK830" s="502"/>
      <c r="BL830" s="502"/>
      <c r="BM830" s="502"/>
      <c r="BN830" s="502"/>
      <c r="BO830" s="502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</row>
    <row r="831" s="504" customFormat="true" ht="12.75" hidden="true" customHeight="true" outlineLevel="0" collapsed="false">
      <c r="A831" s="5"/>
      <c r="B831" s="813" t="n">
        <f aca="false">B830+1</f>
        <v>616</v>
      </c>
      <c r="C831" s="814" t="n">
        <f aca="false">C830+D831</f>
        <v>78386.6271988512</v>
      </c>
      <c r="D831" s="815" t="n">
        <f aca="false">E831*$E$205*M831</f>
        <v>176.435540910889</v>
      </c>
      <c r="E831" s="601" t="n">
        <f aca="false">E830+$C$204</f>
        <v>11.1894686016546</v>
      </c>
      <c r="F831" s="816" t="n">
        <f aca="false">F830+1</f>
        <v>616</v>
      </c>
      <c r="G831" s="775" t="n">
        <f aca="false">C831</f>
        <v>78386.6271988512</v>
      </c>
      <c r="H831" s="817" t="n">
        <f aca="false">1000*(E831-E830)</f>
        <v>9.99999999999979</v>
      </c>
      <c r="I831" s="5"/>
      <c r="J831" s="818" t="n">
        <f aca="false">1000*(E831-$E$215)/(B831-$B$215)</f>
        <v>12.5549834879411</v>
      </c>
      <c r="K831" s="732" t="n">
        <f aca="false">AVERAGE($E$216:E831)</f>
        <v>8.10213093931696</v>
      </c>
      <c r="L831" s="819" t="n">
        <f aca="false">L830+1</f>
        <v>616</v>
      </c>
      <c r="M831" s="820" t="n">
        <f aca="false">IF(B831&lt;$E$104,$E$105,$E$106)</f>
        <v>3</v>
      </c>
      <c r="N831" s="821" t="n">
        <f aca="false">IF(B831&lt;$E$104,$E$105,$E$111)</f>
        <v>2.5</v>
      </c>
      <c r="O831" s="822" t="n">
        <f aca="false">E831*$E$205*N831</f>
        <v>147.029617425741</v>
      </c>
      <c r="P831" s="823" t="n">
        <f aca="false">P830+O831</f>
        <v>65373.8699327522</v>
      </c>
      <c r="Q831" s="606" t="n">
        <f aca="false">Q830+1</f>
        <v>616</v>
      </c>
      <c r="R831" s="824" t="n">
        <f aca="false">R830-1</f>
        <v>-616</v>
      </c>
      <c r="S831" s="5"/>
      <c r="T831" s="5"/>
      <c r="U831" s="5"/>
      <c r="V831" s="10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02"/>
      <c r="AU831" s="502"/>
      <c r="AV831" s="606"/>
      <c r="AW831" s="502"/>
      <c r="AX831" s="502"/>
      <c r="AY831" s="502"/>
      <c r="AZ831" s="502"/>
      <c r="BA831" s="502"/>
      <c r="BB831" s="502"/>
      <c r="BC831" s="502"/>
      <c r="BD831" s="502"/>
      <c r="BE831" s="502"/>
      <c r="BF831" s="502"/>
      <c r="BG831" s="502"/>
      <c r="BH831" s="502"/>
      <c r="BI831" s="502"/>
      <c r="BJ831" s="502"/>
      <c r="BK831" s="502"/>
      <c r="BL831" s="502"/>
      <c r="BM831" s="502"/>
      <c r="BN831" s="502"/>
      <c r="BO831" s="502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</row>
    <row r="832" s="504" customFormat="true" ht="12.75" hidden="true" customHeight="true" outlineLevel="0" collapsed="false">
      <c r="A832" s="5"/>
      <c r="B832" s="813" t="n">
        <f aca="false">B831+1</f>
        <v>617</v>
      </c>
      <c r="C832" s="814" t="n">
        <f aca="false">C831+D832</f>
        <v>78563.220419762</v>
      </c>
      <c r="D832" s="815" t="n">
        <f aca="false">E832*$E$205*M832</f>
        <v>176.593220910889</v>
      </c>
      <c r="E832" s="601" t="n">
        <f aca="false">E831+$C$204</f>
        <v>11.1994686016546</v>
      </c>
      <c r="F832" s="816" t="n">
        <f aca="false">F831+1</f>
        <v>617</v>
      </c>
      <c r="G832" s="775" t="n">
        <f aca="false">C832</f>
        <v>78563.220419762</v>
      </c>
      <c r="H832" s="817" t="n">
        <f aca="false">1000*(E832-E831)</f>
        <v>9.99999999999979</v>
      </c>
      <c r="I832" s="5"/>
      <c r="J832" s="818" t="n">
        <f aca="false">1000*(E832-$E$215)/(B832-$B$215)</f>
        <v>12.5508425098407</v>
      </c>
      <c r="K832" s="732" t="n">
        <f aca="false">AVERAGE($E$216:E832)</f>
        <v>8.10715093552821</v>
      </c>
      <c r="L832" s="819" t="n">
        <f aca="false">L831+1</f>
        <v>617</v>
      </c>
      <c r="M832" s="820" t="n">
        <f aca="false">IF(B832&lt;$E$104,$E$105,$E$106)</f>
        <v>3</v>
      </c>
      <c r="N832" s="821" t="n">
        <f aca="false">IF(B832&lt;$E$104,$E$105,$E$111)</f>
        <v>2.5</v>
      </c>
      <c r="O832" s="822" t="n">
        <f aca="false">E832*$E$205*N832</f>
        <v>147.161017425741</v>
      </c>
      <c r="P832" s="823" t="n">
        <f aca="false">P831+O832</f>
        <v>65521.0309501779</v>
      </c>
      <c r="Q832" s="606" t="n">
        <f aca="false">Q831+1</f>
        <v>617</v>
      </c>
      <c r="R832" s="824" t="n">
        <f aca="false">R831-1</f>
        <v>-617</v>
      </c>
      <c r="S832" s="5"/>
      <c r="T832" s="5"/>
      <c r="U832" s="5"/>
      <c r="V832" s="10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02"/>
      <c r="AU832" s="502"/>
      <c r="AV832" s="606"/>
      <c r="AW832" s="502"/>
      <c r="AX832" s="502"/>
      <c r="AY832" s="502"/>
      <c r="AZ832" s="502"/>
      <c r="BA832" s="502"/>
      <c r="BB832" s="502"/>
      <c r="BC832" s="502"/>
      <c r="BD832" s="502"/>
      <c r="BE832" s="502"/>
      <c r="BF832" s="502"/>
      <c r="BG832" s="502"/>
      <c r="BH832" s="502"/>
      <c r="BI832" s="502"/>
      <c r="BJ832" s="502"/>
      <c r="BK832" s="502"/>
      <c r="BL832" s="502"/>
      <c r="BM832" s="502"/>
      <c r="BN832" s="502"/>
      <c r="BO832" s="502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</row>
    <row r="833" s="504" customFormat="true" ht="12.75" hidden="true" customHeight="true" outlineLevel="0" collapsed="false">
      <c r="A833" s="5"/>
      <c r="B833" s="813" t="n">
        <f aca="false">B832+1</f>
        <v>618</v>
      </c>
      <c r="C833" s="814" t="n">
        <f aca="false">C832+D833</f>
        <v>78739.9713206729</v>
      </c>
      <c r="D833" s="815" t="n">
        <f aca="false">E833*$E$205*M833</f>
        <v>176.750900910889</v>
      </c>
      <c r="E833" s="601" t="n">
        <f aca="false">E832+$C$204</f>
        <v>11.2094686016546</v>
      </c>
      <c r="F833" s="816" t="n">
        <f aca="false">F832+1</f>
        <v>618</v>
      </c>
      <c r="G833" s="775" t="n">
        <f aca="false">C833</f>
        <v>78739.9713206729</v>
      </c>
      <c r="H833" s="817" t="n">
        <f aca="false">1000*(E833-E832)</f>
        <v>9.99999999999979</v>
      </c>
      <c r="I833" s="5"/>
      <c r="J833" s="818" t="n">
        <f aca="false">1000*(E833-$E$215)/(B833-$B$215)</f>
        <v>12.5467149329639</v>
      </c>
      <c r="K833" s="732" t="n">
        <f aca="false">AVERAGE($E$216:E833)</f>
        <v>8.11217086702679</v>
      </c>
      <c r="L833" s="819" t="n">
        <f aca="false">L832+1</f>
        <v>618</v>
      </c>
      <c r="M833" s="820" t="n">
        <f aca="false">IF(B833&lt;$E$104,$E$105,$E$106)</f>
        <v>3</v>
      </c>
      <c r="N833" s="821" t="n">
        <f aca="false">IF(B833&lt;$E$104,$E$105,$E$111)</f>
        <v>2.5</v>
      </c>
      <c r="O833" s="822" t="n">
        <f aca="false">E833*$E$205*N833</f>
        <v>147.292417425741</v>
      </c>
      <c r="P833" s="823" t="n">
        <f aca="false">P832+O833</f>
        <v>65668.3233676036</v>
      </c>
      <c r="Q833" s="606" t="n">
        <f aca="false">Q832+1</f>
        <v>618</v>
      </c>
      <c r="R833" s="824" t="n">
        <f aca="false">R832-1</f>
        <v>-618</v>
      </c>
      <c r="S833" s="5"/>
      <c r="T833" s="5"/>
      <c r="U833" s="5"/>
      <c r="V833" s="10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02"/>
      <c r="AU833" s="502"/>
      <c r="AV833" s="606"/>
      <c r="AW833" s="502"/>
      <c r="AX833" s="502"/>
      <c r="AY833" s="502"/>
      <c r="AZ833" s="502"/>
      <c r="BA833" s="502"/>
      <c r="BB833" s="502"/>
      <c r="BC833" s="502"/>
      <c r="BD833" s="502"/>
      <c r="BE833" s="502"/>
      <c r="BF833" s="502"/>
      <c r="BG833" s="502"/>
      <c r="BH833" s="502"/>
      <c r="BI833" s="502"/>
      <c r="BJ833" s="502"/>
      <c r="BK833" s="502"/>
      <c r="BL833" s="502"/>
      <c r="BM833" s="502"/>
      <c r="BN833" s="502"/>
      <c r="BO833" s="502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</row>
    <row r="834" s="504" customFormat="true" ht="12.75" hidden="true" customHeight="true" outlineLevel="0" collapsed="false">
      <c r="A834" s="5"/>
      <c r="B834" s="813" t="n">
        <f aca="false">B833+1</f>
        <v>619</v>
      </c>
      <c r="C834" s="814" t="n">
        <f aca="false">C833+D834</f>
        <v>78916.8799015838</v>
      </c>
      <c r="D834" s="815" t="n">
        <f aca="false">E834*$E$205*M834</f>
        <v>176.908580910889</v>
      </c>
      <c r="E834" s="601" t="n">
        <f aca="false">E833+$C$204</f>
        <v>11.2194686016546</v>
      </c>
      <c r="F834" s="816" t="n">
        <f aca="false">F833+1</f>
        <v>619</v>
      </c>
      <c r="G834" s="775" t="n">
        <f aca="false">C834</f>
        <v>78916.8799015838</v>
      </c>
      <c r="H834" s="817" t="n">
        <f aca="false">1000*(E834-E833)</f>
        <v>9.99999999999979</v>
      </c>
      <c r="I834" s="5"/>
      <c r="J834" s="818" t="n">
        <f aca="false">1000*(E834-$E$215)/(B834-$B$215)</f>
        <v>12.5426006923614</v>
      </c>
      <c r="K834" s="732" t="n">
        <f aca="false">AVERAGE($E$216:E834)</f>
        <v>8.11719073412635</v>
      </c>
      <c r="L834" s="819" t="n">
        <f aca="false">L833+1</f>
        <v>619</v>
      </c>
      <c r="M834" s="820" t="n">
        <f aca="false">IF(B834&lt;$E$104,$E$105,$E$106)</f>
        <v>3</v>
      </c>
      <c r="N834" s="821" t="n">
        <f aca="false">IF(B834&lt;$E$104,$E$105,$E$111)</f>
        <v>2.5</v>
      </c>
      <c r="O834" s="822" t="n">
        <f aca="false">E834*$E$205*N834</f>
        <v>147.423817425741</v>
      </c>
      <c r="P834" s="823" t="n">
        <f aca="false">P833+O834</f>
        <v>65815.7471850294</v>
      </c>
      <c r="Q834" s="606" t="n">
        <f aca="false">Q833+1</f>
        <v>619</v>
      </c>
      <c r="R834" s="824" t="n">
        <f aca="false">R833-1</f>
        <v>-619</v>
      </c>
      <c r="S834" s="5"/>
      <c r="T834" s="5"/>
      <c r="U834" s="5"/>
      <c r="V834" s="10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02"/>
      <c r="AU834" s="502"/>
      <c r="AV834" s="606"/>
      <c r="AW834" s="502"/>
      <c r="AX834" s="502"/>
      <c r="AY834" s="502"/>
      <c r="AZ834" s="502"/>
      <c r="BA834" s="502"/>
      <c r="BB834" s="502"/>
      <c r="BC834" s="502"/>
      <c r="BD834" s="502"/>
      <c r="BE834" s="502"/>
      <c r="BF834" s="502"/>
      <c r="BG834" s="502"/>
      <c r="BH834" s="502"/>
      <c r="BI834" s="502"/>
      <c r="BJ834" s="502"/>
      <c r="BK834" s="502"/>
      <c r="BL834" s="502"/>
      <c r="BM834" s="502"/>
      <c r="BN834" s="502"/>
      <c r="BO834" s="502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</row>
    <row r="835" s="504" customFormat="true" ht="12.75" hidden="true" customHeight="true" outlineLevel="0" collapsed="false">
      <c r="A835" s="5"/>
      <c r="B835" s="813" t="n">
        <f aca="false">B834+1</f>
        <v>620</v>
      </c>
      <c r="C835" s="814" t="n">
        <f aca="false">C834+D835</f>
        <v>79093.9461624947</v>
      </c>
      <c r="D835" s="815" t="n">
        <f aca="false">E835*$E$205*M835</f>
        <v>177.066260910889</v>
      </c>
      <c r="E835" s="601" t="n">
        <f aca="false">E834+$C$204</f>
        <v>11.2294686016546</v>
      </c>
      <c r="F835" s="816" t="n">
        <f aca="false">F834+1</f>
        <v>620</v>
      </c>
      <c r="G835" s="775" t="n">
        <f aca="false">C835</f>
        <v>79093.9461624947</v>
      </c>
      <c r="H835" s="817" t="n">
        <f aca="false">1000*(E835-E834)</f>
        <v>9.99999999999979</v>
      </c>
      <c r="I835" s="5"/>
      <c r="J835" s="818" t="n">
        <f aca="false">1000*(E835-$E$215)/(B835-$B$215)</f>
        <v>12.5384997235028</v>
      </c>
      <c r="K835" s="732" t="n">
        <f aca="false">AVERAGE($E$216:E835)</f>
        <v>8.12221053713849</v>
      </c>
      <c r="L835" s="819" t="n">
        <f aca="false">L834+1</f>
        <v>620</v>
      </c>
      <c r="M835" s="820" t="n">
        <f aca="false">IF(B835&lt;$E$104,$E$105,$E$106)</f>
        <v>3</v>
      </c>
      <c r="N835" s="821" t="n">
        <f aca="false">IF(B835&lt;$E$104,$E$105,$E$111)</f>
        <v>2.5</v>
      </c>
      <c r="O835" s="822" t="n">
        <f aca="false">E835*$E$205*N835</f>
        <v>147.555217425741</v>
      </c>
      <c r="P835" s="823" t="n">
        <f aca="false">P834+O835</f>
        <v>65963.3024024551</v>
      </c>
      <c r="Q835" s="606" t="n">
        <f aca="false">Q834+1</f>
        <v>620</v>
      </c>
      <c r="R835" s="824" t="n">
        <f aca="false">R834-1</f>
        <v>-620</v>
      </c>
      <c r="S835" s="5"/>
      <c r="T835" s="5"/>
      <c r="U835" s="5"/>
      <c r="V835" s="10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02"/>
      <c r="AU835" s="502"/>
      <c r="AV835" s="606"/>
      <c r="AW835" s="502"/>
      <c r="AX835" s="502"/>
      <c r="AY835" s="502"/>
      <c r="AZ835" s="502"/>
      <c r="BA835" s="502"/>
      <c r="BB835" s="502"/>
      <c r="BC835" s="502"/>
      <c r="BD835" s="502"/>
      <c r="BE835" s="502"/>
      <c r="BF835" s="502"/>
      <c r="BG835" s="502"/>
      <c r="BH835" s="502"/>
      <c r="BI835" s="502"/>
      <c r="BJ835" s="502"/>
      <c r="BK835" s="502"/>
      <c r="BL835" s="502"/>
      <c r="BM835" s="502"/>
      <c r="BN835" s="502"/>
      <c r="BO835" s="502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</row>
    <row r="836" s="504" customFormat="true" ht="12.75" hidden="true" customHeight="true" outlineLevel="0" collapsed="false">
      <c r="A836" s="5"/>
      <c r="B836" s="813" t="n">
        <f aca="false">B835+1</f>
        <v>621</v>
      </c>
      <c r="C836" s="814" t="n">
        <f aca="false">C835+D836</f>
        <v>79271.1701034056</v>
      </c>
      <c r="D836" s="815" t="n">
        <f aca="false">E836*$E$205*M836</f>
        <v>177.223940910889</v>
      </c>
      <c r="E836" s="601" t="n">
        <f aca="false">E835+$C$204</f>
        <v>11.2394686016546</v>
      </c>
      <c r="F836" s="816" t="n">
        <f aca="false">F835+1</f>
        <v>621</v>
      </c>
      <c r="G836" s="775" t="n">
        <f aca="false">C836</f>
        <v>79271.1701034056</v>
      </c>
      <c r="H836" s="817" t="n">
        <f aca="false">1000*(E836-E835)</f>
        <v>9.99999999999979</v>
      </c>
      <c r="I836" s="5"/>
      <c r="J836" s="818" t="n">
        <f aca="false">1000*(E836-$E$215)/(B836-$B$215)</f>
        <v>12.5344119622733</v>
      </c>
      <c r="K836" s="732" t="n">
        <f aca="false">AVERAGE($E$216:E836)</f>
        <v>8.12723027637282</v>
      </c>
      <c r="L836" s="819" t="n">
        <f aca="false">L835+1</f>
        <v>621</v>
      </c>
      <c r="M836" s="820" t="n">
        <f aca="false">IF(B836&lt;$E$104,$E$105,$E$106)</f>
        <v>3</v>
      </c>
      <c r="N836" s="821" t="n">
        <f aca="false">IF(B836&lt;$E$104,$E$105,$E$111)</f>
        <v>2.5</v>
      </c>
      <c r="O836" s="822" t="n">
        <f aca="false">E836*$E$205*N836</f>
        <v>147.686617425741</v>
      </c>
      <c r="P836" s="823" t="n">
        <f aca="false">P835+O836</f>
        <v>66110.9890198809</v>
      </c>
      <c r="Q836" s="606" t="n">
        <f aca="false">Q835+1</f>
        <v>621</v>
      </c>
      <c r="R836" s="824" t="n">
        <f aca="false">R835-1</f>
        <v>-621</v>
      </c>
      <c r="S836" s="5"/>
      <c r="T836" s="5"/>
      <c r="U836" s="5"/>
      <c r="V836" s="10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02"/>
      <c r="AU836" s="502"/>
      <c r="AV836" s="606"/>
      <c r="AW836" s="502"/>
      <c r="AX836" s="502"/>
      <c r="AY836" s="502"/>
      <c r="AZ836" s="502"/>
      <c r="BA836" s="502"/>
      <c r="BB836" s="502"/>
      <c r="BC836" s="502"/>
      <c r="BD836" s="502"/>
      <c r="BE836" s="502"/>
      <c r="BF836" s="502"/>
      <c r="BG836" s="502"/>
      <c r="BH836" s="502"/>
      <c r="BI836" s="502"/>
      <c r="BJ836" s="502"/>
      <c r="BK836" s="502"/>
      <c r="BL836" s="502"/>
      <c r="BM836" s="502"/>
      <c r="BN836" s="502"/>
      <c r="BO836" s="502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</row>
    <row r="837" s="504" customFormat="true" ht="12.75" hidden="true" customHeight="true" outlineLevel="0" collapsed="false">
      <c r="A837" s="5"/>
      <c r="B837" s="813" t="n">
        <f aca="false">B836+1</f>
        <v>622</v>
      </c>
      <c r="C837" s="814" t="n">
        <f aca="false">C836+D837</f>
        <v>79448.5517243165</v>
      </c>
      <c r="D837" s="815" t="n">
        <f aca="false">E837*$E$205*M837</f>
        <v>177.381620910889</v>
      </c>
      <c r="E837" s="601" t="n">
        <f aca="false">E836+$C$204</f>
        <v>11.2494686016546</v>
      </c>
      <c r="F837" s="816" t="n">
        <f aca="false">F836+1</f>
        <v>622</v>
      </c>
      <c r="G837" s="775" t="n">
        <f aca="false">C837</f>
        <v>79448.5517243165</v>
      </c>
      <c r="H837" s="817" t="n">
        <f aca="false">1000*(E837-E836)</f>
        <v>9.99999999999979</v>
      </c>
      <c r="I837" s="5"/>
      <c r="J837" s="818" t="n">
        <f aca="false">1000*(E837-$E$215)/(B837-$B$215)</f>
        <v>12.5303373449706</v>
      </c>
      <c r="K837" s="732" t="n">
        <f aca="false">AVERAGE($E$216:E837)</f>
        <v>8.13224995213694</v>
      </c>
      <c r="L837" s="819" t="n">
        <f aca="false">L836+1</f>
        <v>622</v>
      </c>
      <c r="M837" s="820" t="n">
        <f aca="false">IF(B837&lt;$E$104,$E$105,$E$106)</f>
        <v>3</v>
      </c>
      <c r="N837" s="821" t="n">
        <f aca="false">IF(B837&lt;$E$104,$E$105,$E$111)</f>
        <v>2.5</v>
      </c>
      <c r="O837" s="822" t="n">
        <f aca="false">E837*$E$205*N837</f>
        <v>147.818017425741</v>
      </c>
      <c r="P837" s="823" t="n">
        <f aca="false">P836+O837</f>
        <v>66258.8070373066</v>
      </c>
      <c r="Q837" s="606" t="n">
        <f aca="false">Q836+1</f>
        <v>622</v>
      </c>
      <c r="R837" s="824" t="n">
        <f aca="false">R836-1</f>
        <v>-622</v>
      </c>
      <c r="S837" s="5"/>
      <c r="T837" s="5"/>
      <c r="U837" s="5"/>
      <c r="V837" s="10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02"/>
      <c r="AU837" s="502"/>
      <c r="AV837" s="606"/>
      <c r="AW837" s="502"/>
      <c r="AX837" s="502"/>
      <c r="AY837" s="502"/>
      <c r="AZ837" s="502"/>
      <c r="BA837" s="502"/>
      <c r="BB837" s="502"/>
      <c r="BC837" s="502"/>
      <c r="BD837" s="502"/>
      <c r="BE837" s="502"/>
      <c r="BF837" s="502"/>
      <c r="BG837" s="502"/>
      <c r="BH837" s="502"/>
      <c r="BI837" s="502"/>
      <c r="BJ837" s="502"/>
      <c r="BK837" s="502"/>
      <c r="BL837" s="502"/>
      <c r="BM837" s="502"/>
      <c r="BN837" s="502"/>
      <c r="BO837" s="502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</row>
    <row r="838" s="504" customFormat="true" ht="12.75" hidden="true" customHeight="true" outlineLevel="0" collapsed="false">
      <c r="A838" s="5"/>
      <c r="B838" s="813" t="n">
        <f aca="false">B837+1</f>
        <v>623</v>
      </c>
      <c r="C838" s="814" t="n">
        <f aca="false">C837+D838</f>
        <v>79626.0910252274</v>
      </c>
      <c r="D838" s="815" t="n">
        <f aca="false">E838*$E$205*M838</f>
        <v>177.539300910889</v>
      </c>
      <c r="E838" s="601" t="n">
        <f aca="false">E837+$C$204</f>
        <v>11.2594686016546</v>
      </c>
      <c r="F838" s="816" t="n">
        <f aca="false">F837+1</f>
        <v>623</v>
      </c>
      <c r="G838" s="775" t="n">
        <f aca="false">C838</f>
        <v>79626.0910252274</v>
      </c>
      <c r="H838" s="817" t="n">
        <f aca="false">1000*(E838-E837)</f>
        <v>9.99999999999979</v>
      </c>
      <c r="I838" s="5"/>
      <c r="J838" s="818" t="n">
        <f aca="false">1000*(E838-$E$215)/(B838-$B$215)</f>
        <v>12.5262758083013</v>
      </c>
      <c r="K838" s="732" t="n">
        <f aca="false">AVERAGE($E$216:E838)</f>
        <v>8.13726956473649</v>
      </c>
      <c r="L838" s="819" t="n">
        <f aca="false">L837+1</f>
        <v>623</v>
      </c>
      <c r="M838" s="820" t="n">
        <f aca="false">IF(B838&lt;$E$104,$E$105,$E$106)</f>
        <v>3</v>
      </c>
      <c r="N838" s="821" t="n">
        <f aca="false">IF(B838&lt;$E$104,$E$105,$E$111)</f>
        <v>2.5</v>
      </c>
      <c r="O838" s="822" t="n">
        <f aca="false">E838*$E$205*N838</f>
        <v>147.949417425741</v>
      </c>
      <c r="P838" s="823" t="n">
        <f aca="false">P837+O838</f>
        <v>66406.7564547324</v>
      </c>
      <c r="Q838" s="606" t="n">
        <f aca="false">Q837+1</f>
        <v>623</v>
      </c>
      <c r="R838" s="824" t="n">
        <f aca="false">R837-1</f>
        <v>-623</v>
      </c>
      <c r="S838" s="5"/>
      <c r="T838" s="5"/>
      <c r="U838" s="5"/>
      <c r="V838" s="10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02"/>
      <c r="AU838" s="502"/>
      <c r="AV838" s="606"/>
      <c r="AW838" s="502"/>
      <c r="AX838" s="502"/>
      <c r="AY838" s="502"/>
      <c r="AZ838" s="502"/>
      <c r="BA838" s="502"/>
      <c r="BB838" s="502"/>
      <c r="BC838" s="502"/>
      <c r="BD838" s="502"/>
      <c r="BE838" s="502"/>
      <c r="BF838" s="502"/>
      <c r="BG838" s="502"/>
      <c r="BH838" s="502"/>
      <c r="BI838" s="502"/>
      <c r="BJ838" s="502"/>
      <c r="BK838" s="502"/>
      <c r="BL838" s="502"/>
      <c r="BM838" s="502"/>
      <c r="BN838" s="502"/>
      <c r="BO838" s="502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</row>
    <row r="839" s="504" customFormat="true" ht="12.75" hidden="true" customHeight="true" outlineLevel="0" collapsed="false">
      <c r="A839" s="5"/>
      <c r="B839" s="813" t="n">
        <f aca="false">B838+1</f>
        <v>624</v>
      </c>
      <c r="C839" s="814" t="n">
        <f aca="false">C838+D839</f>
        <v>79803.7880061383</v>
      </c>
      <c r="D839" s="815" t="n">
        <f aca="false">E839*$E$205*M839</f>
        <v>177.696980910889</v>
      </c>
      <c r="E839" s="601" t="n">
        <f aca="false">E838+$C$204</f>
        <v>11.2694686016546</v>
      </c>
      <c r="F839" s="816" t="n">
        <f aca="false">F838+1</f>
        <v>624</v>
      </c>
      <c r="G839" s="775" t="n">
        <f aca="false">C839</f>
        <v>79803.7880061383</v>
      </c>
      <c r="H839" s="817" t="n">
        <f aca="false">1000*(E839-E838)</f>
        <v>9.99999999999979</v>
      </c>
      <c r="I839" s="5"/>
      <c r="J839" s="818" t="n">
        <f aca="false">1000*(E839-$E$215)/(B839-$B$215)</f>
        <v>12.5222272893777</v>
      </c>
      <c r="K839" s="732" t="n">
        <f aca="false">AVERAGE($E$216:E839)</f>
        <v>8.14228911447514</v>
      </c>
      <c r="L839" s="819" t="n">
        <f aca="false">L838+1</f>
        <v>624</v>
      </c>
      <c r="M839" s="820" t="n">
        <f aca="false">IF(B839&lt;$E$104,$E$105,$E$106)</f>
        <v>3</v>
      </c>
      <c r="N839" s="821" t="n">
        <f aca="false">IF(B839&lt;$E$104,$E$105,$E$111)</f>
        <v>2.5</v>
      </c>
      <c r="O839" s="822" t="n">
        <f aca="false">E839*$E$205*N839</f>
        <v>148.080817425741</v>
      </c>
      <c r="P839" s="823" t="n">
        <f aca="false">P838+O839</f>
        <v>66554.8372721581</v>
      </c>
      <c r="Q839" s="606" t="n">
        <f aca="false">Q838+1</f>
        <v>624</v>
      </c>
      <c r="R839" s="824" t="n">
        <f aca="false">R838-1</f>
        <v>-624</v>
      </c>
      <c r="S839" s="5"/>
      <c r="T839" s="5"/>
      <c r="U839" s="5"/>
      <c r="V839" s="10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02"/>
      <c r="AU839" s="502"/>
      <c r="AV839" s="606"/>
      <c r="AW839" s="502"/>
      <c r="AX839" s="502"/>
      <c r="AY839" s="502"/>
      <c r="AZ839" s="502"/>
      <c r="BA839" s="502"/>
      <c r="BB839" s="502"/>
      <c r="BC839" s="502"/>
      <c r="BD839" s="502"/>
      <c r="BE839" s="502"/>
      <c r="BF839" s="502"/>
      <c r="BG839" s="502"/>
      <c r="BH839" s="502"/>
      <c r="BI839" s="502"/>
      <c r="BJ839" s="502"/>
      <c r="BK839" s="502"/>
      <c r="BL839" s="502"/>
      <c r="BM839" s="502"/>
      <c r="BN839" s="502"/>
      <c r="BO839" s="502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</row>
    <row r="840" s="504" customFormat="true" ht="12.75" hidden="true" customHeight="true" outlineLevel="0" collapsed="false">
      <c r="A840" s="5"/>
      <c r="B840" s="813" t="n">
        <f aca="false">B839+1</f>
        <v>625</v>
      </c>
      <c r="C840" s="814" t="n">
        <f aca="false">C839+D840</f>
        <v>79981.6426670492</v>
      </c>
      <c r="D840" s="815" t="n">
        <f aca="false">E840*$E$205*M840</f>
        <v>177.854660910889</v>
      </c>
      <c r="E840" s="601" t="n">
        <f aca="false">E839+$C$204</f>
        <v>11.2794686016546</v>
      </c>
      <c r="F840" s="816" t="n">
        <f aca="false">F839+1</f>
        <v>625</v>
      </c>
      <c r="G840" s="775" t="n">
        <f aca="false">C840</f>
        <v>79981.6426670492</v>
      </c>
      <c r="H840" s="817" t="n">
        <f aca="false">1000*(E840-E839)</f>
        <v>9.99999999999979</v>
      </c>
      <c r="I840" s="5"/>
      <c r="J840" s="818" t="n">
        <f aca="false">1000*(E840-$E$215)/(B840-$B$215)</f>
        <v>12.5181917257147</v>
      </c>
      <c r="K840" s="732" t="n">
        <f aca="false">AVERAGE($E$216:E840)</f>
        <v>8.14730860165462</v>
      </c>
      <c r="L840" s="819" t="n">
        <f aca="false">L839+1</f>
        <v>625</v>
      </c>
      <c r="M840" s="820" t="n">
        <f aca="false">IF(B840&lt;$E$104,$E$105,$E$106)</f>
        <v>3</v>
      </c>
      <c r="N840" s="821" t="n">
        <f aca="false">IF(B840&lt;$E$104,$E$105,$E$111)</f>
        <v>2.5</v>
      </c>
      <c r="O840" s="822" t="n">
        <f aca="false">E840*$E$205*N840</f>
        <v>148.212217425741</v>
      </c>
      <c r="P840" s="823" t="n">
        <f aca="false">P839+O840</f>
        <v>66703.0494895838</v>
      </c>
      <c r="Q840" s="606" t="n">
        <f aca="false">Q839+1</f>
        <v>625</v>
      </c>
      <c r="R840" s="824" t="n">
        <f aca="false">R839-1</f>
        <v>-625</v>
      </c>
      <c r="S840" s="5"/>
      <c r="T840" s="5"/>
      <c r="U840" s="5"/>
      <c r="V840" s="10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02"/>
      <c r="AU840" s="502"/>
      <c r="AV840" s="606"/>
      <c r="AW840" s="502"/>
      <c r="AX840" s="502"/>
      <c r="AY840" s="502"/>
      <c r="AZ840" s="502"/>
      <c r="BA840" s="502"/>
      <c r="BB840" s="502"/>
      <c r="BC840" s="502"/>
      <c r="BD840" s="502"/>
      <c r="BE840" s="502"/>
      <c r="BF840" s="502"/>
      <c r="BG840" s="502"/>
      <c r="BH840" s="502"/>
      <c r="BI840" s="502"/>
      <c r="BJ840" s="502"/>
      <c r="BK840" s="502"/>
      <c r="BL840" s="502"/>
      <c r="BM840" s="502"/>
      <c r="BN840" s="502"/>
      <c r="BO840" s="502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</row>
    <row r="841" s="504" customFormat="true" ht="12.75" hidden="true" customHeight="true" outlineLevel="0" collapsed="false">
      <c r="A841" s="5"/>
      <c r="B841" s="813" t="n">
        <f aca="false">B840+1</f>
        <v>626</v>
      </c>
      <c r="C841" s="814" t="n">
        <f aca="false">C840+D841</f>
        <v>80159.6550079601</v>
      </c>
      <c r="D841" s="815" t="n">
        <f aca="false">E841*$E$205*M841</f>
        <v>178.012340910889</v>
      </c>
      <c r="E841" s="601" t="n">
        <f aca="false">E840+$C$204</f>
        <v>11.2894686016546</v>
      </c>
      <c r="F841" s="816" t="n">
        <f aca="false">F840+1</f>
        <v>626</v>
      </c>
      <c r="G841" s="775" t="n">
        <f aca="false">C841</f>
        <v>80159.6550079601</v>
      </c>
      <c r="H841" s="817" t="n">
        <f aca="false">1000*(E841-E840)</f>
        <v>9.99999999999979</v>
      </c>
      <c r="I841" s="5"/>
      <c r="J841" s="818" t="n">
        <f aca="false">1000*(E841-$E$215)/(B841-$B$215)</f>
        <v>12.5141690552264</v>
      </c>
      <c r="K841" s="732" t="n">
        <f aca="false">AVERAGE($E$216:E841)</f>
        <v>8.15232802657475</v>
      </c>
      <c r="L841" s="819" t="n">
        <f aca="false">L840+1</f>
        <v>626</v>
      </c>
      <c r="M841" s="820" t="n">
        <f aca="false">IF(B841&lt;$E$104,$E$105,$E$106)</f>
        <v>3</v>
      </c>
      <c r="N841" s="821" t="n">
        <f aca="false">IF(B841&lt;$E$104,$E$105,$E$111)</f>
        <v>2.5</v>
      </c>
      <c r="O841" s="822" t="n">
        <f aca="false">E841*$E$205*N841</f>
        <v>148.343617425741</v>
      </c>
      <c r="P841" s="823" t="n">
        <f aca="false">P840+O841</f>
        <v>66851.3931070096</v>
      </c>
      <c r="Q841" s="606" t="n">
        <f aca="false">Q840+1</f>
        <v>626</v>
      </c>
      <c r="R841" s="824" t="n">
        <f aca="false">R840-1</f>
        <v>-626</v>
      </c>
      <c r="S841" s="5"/>
      <c r="T841" s="5"/>
      <c r="U841" s="5"/>
      <c r="V841" s="10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02"/>
      <c r="AU841" s="502"/>
      <c r="AV841" s="606"/>
      <c r="AW841" s="502"/>
      <c r="AX841" s="502"/>
      <c r="AY841" s="502"/>
      <c r="AZ841" s="502"/>
      <c r="BA841" s="502"/>
      <c r="BB841" s="502"/>
      <c r="BC841" s="502"/>
      <c r="BD841" s="502"/>
      <c r="BE841" s="502"/>
      <c r="BF841" s="502"/>
      <c r="BG841" s="502"/>
      <c r="BH841" s="502"/>
      <c r="BI841" s="502"/>
      <c r="BJ841" s="502"/>
      <c r="BK841" s="502"/>
      <c r="BL841" s="502"/>
      <c r="BM841" s="502"/>
      <c r="BN841" s="502"/>
      <c r="BO841" s="502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</row>
    <row r="842" s="504" customFormat="true" ht="12.75" hidden="true" customHeight="true" outlineLevel="0" collapsed="false">
      <c r="A842" s="5"/>
      <c r="B842" s="813" t="n">
        <f aca="false">B841+1</f>
        <v>627</v>
      </c>
      <c r="C842" s="814" t="n">
        <f aca="false">C841+D842</f>
        <v>80337.8250288709</v>
      </c>
      <c r="D842" s="815" t="n">
        <f aca="false">E842*$E$205*M842</f>
        <v>178.170020910889</v>
      </c>
      <c r="E842" s="601" t="n">
        <f aca="false">E841+$C$204</f>
        <v>11.2994686016546</v>
      </c>
      <c r="F842" s="816" t="n">
        <f aca="false">F841+1</f>
        <v>627</v>
      </c>
      <c r="G842" s="775" t="n">
        <f aca="false">C842</f>
        <v>80337.8250288709</v>
      </c>
      <c r="H842" s="817" t="n">
        <f aca="false">1000*(E842-E841)</f>
        <v>9.99999999999979</v>
      </c>
      <c r="I842" s="5"/>
      <c r="J842" s="818" t="n">
        <f aca="false">1000*(E842-$E$215)/(B842-$B$215)</f>
        <v>12.5101592162228</v>
      </c>
      <c r="K842" s="732" t="n">
        <f aca="false">AVERAGE($E$216:E842)</f>
        <v>8.15734738953341</v>
      </c>
      <c r="L842" s="819" t="n">
        <f aca="false">L841+1</f>
        <v>627</v>
      </c>
      <c r="M842" s="820" t="n">
        <f aca="false">IF(B842&lt;$E$104,$E$105,$E$106)</f>
        <v>3</v>
      </c>
      <c r="N842" s="821" t="n">
        <f aca="false">IF(B842&lt;$E$104,$E$105,$E$111)</f>
        <v>2.5</v>
      </c>
      <c r="O842" s="822" t="n">
        <f aca="false">E842*$E$205*N842</f>
        <v>148.475017425741</v>
      </c>
      <c r="P842" s="823" t="n">
        <f aca="false">P841+O842</f>
        <v>66999.8681244353</v>
      </c>
      <c r="Q842" s="606" t="n">
        <f aca="false">Q841+1</f>
        <v>627</v>
      </c>
      <c r="R842" s="824" t="n">
        <f aca="false">R841-1</f>
        <v>-627</v>
      </c>
      <c r="S842" s="5"/>
      <c r="T842" s="5"/>
      <c r="U842" s="5"/>
      <c r="V842" s="10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02"/>
      <c r="AU842" s="502"/>
      <c r="AV842" s="606"/>
      <c r="AW842" s="502"/>
      <c r="AX842" s="502"/>
      <c r="AY842" s="502"/>
      <c r="AZ842" s="502"/>
      <c r="BA842" s="502"/>
      <c r="BB842" s="502"/>
      <c r="BC842" s="502"/>
      <c r="BD842" s="502"/>
      <c r="BE842" s="502"/>
      <c r="BF842" s="502"/>
      <c r="BG842" s="502"/>
      <c r="BH842" s="502"/>
      <c r="BI842" s="502"/>
      <c r="BJ842" s="502"/>
      <c r="BK842" s="502"/>
      <c r="BL842" s="502"/>
      <c r="BM842" s="502"/>
      <c r="BN842" s="502"/>
      <c r="BO842" s="502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</row>
    <row r="843" s="504" customFormat="true" ht="12.75" hidden="true" customHeight="true" outlineLevel="0" collapsed="false">
      <c r="A843" s="5"/>
      <c r="B843" s="813" t="n">
        <f aca="false">B842+1</f>
        <v>628</v>
      </c>
      <c r="C843" s="814" t="n">
        <f aca="false">C842+D843</f>
        <v>80516.1527297818</v>
      </c>
      <c r="D843" s="815" t="n">
        <f aca="false">E843*$E$205*M843</f>
        <v>178.327700910889</v>
      </c>
      <c r="E843" s="601" t="n">
        <f aca="false">E842+$C$204</f>
        <v>11.3094686016546</v>
      </c>
      <c r="F843" s="816" t="n">
        <f aca="false">F842+1</f>
        <v>628</v>
      </c>
      <c r="G843" s="775" t="n">
        <f aca="false">C843</f>
        <v>80516.1527297818</v>
      </c>
      <c r="H843" s="817" t="n">
        <f aca="false">1000*(E843-E842)</f>
        <v>9.99999999999979</v>
      </c>
      <c r="I843" s="5"/>
      <c r="J843" s="818" t="n">
        <f aca="false">1000*(E843-$E$215)/(B843-$B$215)</f>
        <v>12.5061621474072</v>
      </c>
      <c r="K843" s="732" t="n">
        <f aca="false">AVERAGE($E$216:E843)</f>
        <v>8.1623666908266</v>
      </c>
      <c r="L843" s="819" t="n">
        <f aca="false">L842+1</f>
        <v>628</v>
      </c>
      <c r="M843" s="820" t="n">
        <f aca="false">IF(B843&lt;$E$104,$E$105,$E$106)</f>
        <v>3</v>
      </c>
      <c r="N843" s="821" t="n">
        <f aca="false">IF(B843&lt;$E$104,$E$105,$E$111)</f>
        <v>2.5</v>
      </c>
      <c r="O843" s="822" t="n">
        <f aca="false">E843*$E$205*N843</f>
        <v>148.606417425741</v>
      </c>
      <c r="P843" s="823" t="n">
        <f aca="false">P842+O843</f>
        <v>67148.4745418611</v>
      </c>
      <c r="Q843" s="606" t="n">
        <f aca="false">Q842+1</f>
        <v>628</v>
      </c>
      <c r="R843" s="824" t="n">
        <f aca="false">R842-1</f>
        <v>-628</v>
      </c>
      <c r="S843" s="5"/>
      <c r="T843" s="5"/>
      <c r="U843" s="5"/>
      <c r="V843" s="10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02"/>
      <c r="AU843" s="502"/>
      <c r="AV843" s="606"/>
      <c r="AW843" s="502"/>
      <c r="AX843" s="502"/>
      <c r="AY843" s="502"/>
      <c r="AZ843" s="502"/>
      <c r="BA843" s="502"/>
      <c r="BB843" s="502"/>
      <c r="BC843" s="502"/>
      <c r="BD843" s="502"/>
      <c r="BE843" s="502"/>
      <c r="BF843" s="502"/>
      <c r="BG843" s="502"/>
      <c r="BH843" s="502"/>
      <c r="BI843" s="502"/>
      <c r="BJ843" s="502"/>
      <c r="BK843" s="502"/>
      <c r="BL843" s="502"/>
      <c r="BM843" s="502"/>
      <c r="BN843" s="502"/>
      <c r="BO843" s="502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</row>
    <row r="844" s="504" customFormat="true" ht="12.75" hidden="true" customHeight="true" outlineLevel="0" collapsed="false">
      <c r="A844" s="5"/>
      <c r="B844" s="813" t="n">
        <f aca="false">B843+1</f>
        <v>629</v>
      </c>
      <c r="C844" s="814" t="n">
        <f aca="false">C843+D844</f>
        <v>80694.6381106927</v>
      </c>
      <c r="D844" s="815" t="n">
        <f aca="false">E844*$E$205*M844</f>
        <v>178.485380910889</v>
      </c>
      <c r="E844" s="601" t="n">
        <f aca="false">E843+$C$204</f>
        <v>11.3194686016546</v>
      </c>
      <c r="F844" s="816" t="n">
        <f aca="false">F843+1</f>
        <v>629</v>
      </c>
      <c r="G844" s="775" t="n">
        <f aca="false">C844</f>
        <v>80694.6381106927</v>
      </c>
      <c r="H844" s="817" t="n">
        <f aca="false">1000*(E844-E843)</f>
        <v>9.99999999999979</v>
      </c>
      <c r="I844" s="5"/>
      <c r="J844" s="818" t="n">
        <f aca="false">1000*(E844-$E$215)/(B844-$B$215)</f>
        <v>12.5021777878724</v>
      </c>
      <c r="K844" s="732" t="n">
        <f aca="false">AVERAGE($E$216:E844)</f>
        <v>8.16738593074842</v>
      </c>
      <c r="L844" s="819" t="n">
        <f aca="false">L843+1</f>
        <v>629</v>
      </c>
      <c r="M844" s="820" t="n">
        <f aca="false">IF(B844&lt;$E$104,$E$105,$E$106)</f>
        <v>3</v>
      </c>
      <c r="N844" s="821" t="n">
        <f aca="false">IF(B844&lt;$E$104,$E$105,$E$111)</f>
        <v>2.5</v>
      </c>
      <c r="O844" s="822" t="n">
        <f aca="false">E844*$E$205*N844</f>
        <v>148.737817425741</v>
      </c>
      <c r="P844" s="823" t="n">
        <f aca="false">P843+O844</f>
        <v>67297.2123592868</v>
      </c>
      <c r="Q844" s="606" t="n">
        <f aca="false">Q843+1</f>
        <v>629</v>
      </c>
      <c r="R844" s="824" t="n">
        <f aca="false">R843-1</f>
        <v>-629</v>
      </c>
      <c r="S844" s="5"/>
      <c r="T844" s="5"/>
      <c r="U844" s="5"/>
      <c r="V844" s="10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02"/>
      <c r="AU844" s="502"/>
      <c r="AV844" s="606"/>
      <c r="AW844" s="502"/>
      <c r="AX844" s="502"/>
      <c r="AY844" s="502"/>
      <c r="AZ844" s="502"/>
      <c r="BA844" s="502"/>
      <c r="BB844" s="502"/>
      <c r="BC844" s="502"/>
      <c r="BD844" s="502"/>
      <c r="BE844" s="502"/>
      <c r="BF844" s="502"/>
      <c r="BG844" s="502"/>
      <c r="BH844" s="502"/>
      <c r="BI844" s="502"/>
      <c r="BJ844" s="502"/>
      <c r="BK844" s="502"/>
      <c r="BL844" s="502"/>
      <c r="BM844" s="502"/>
      <c r="BN844" s="502"/>
      <c r="BO844" s="502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</row>
    <row r="845" s="504" customFormat="true" ht="12.75" hidden="true" customHeight="true" outlineLevel="0" collapsed="false">
      <c r="A845" s="5"/>
      <c r="B845" s="813" t="n">
        <f aca="false">B844+1</f>
        <v>630</v>
      </c>
      <c r="C845" s="814" t="n">
        <f aca="false">C844+D845</f>
        <v>80873.2811716036</v>
      </c>
      <c r="D845" s="815" t="n">
        <f aca="false">E845*$E$205*M845</f>
        <v>178.643060910889</v>
      </c>
      <c r="E845" s="601" t="n">
        <f aca="false">E844+$C$204</f>
        <v>11.3294686016546</v>
      </c>
      <c r="F845" s="816" t="n">
        <f aca="false">F844+1</f>
        <v>630</v>
      </c>
      <c r="G845" s="775" t="n">
        <f aca="false">C845</f>
        <v>80873.2811716036</v>
      </c>
      <c r="H845" s="817" t="n">
        <f aca="false">1000*(E845-E844)</f>
        <v>9.99999999999979</v>
      </c>
      <c r="I845" s="5"/>
      <c r="J845" s="818" t="n">
        <f aca="false">1000*(E845-$E$215)/(B845-$B$215)</f>
        <v>12.498206077098</v>
      </c>
      <c r="K845" s="732" t="n">
        <f aca="false">AVERAGE($E$216:E845)</f>
        <v>8.17240510959113</v>
      </c>
      <c r="L845" s="819" t="n">
        <f aca="false">L844+1</f>
        <v>630</v>
      </c>
      <c r="M845" s="820" t="n">
        <f aca="false">IF(B845&lt;$E$104,$E$105,$E$106)</f>
        <v>3</v>
      </c>
      <c r="N845" s="821" t="n">
        <f aca="false">IF(B845&lt;$E$104,$E$105,$E$111)</f>
        <v>2.5</v>
      </c>
      <c r="O845" s="822" t="n">
        <f aca="false">E845*$E$205*N845</f>
        <v>148.869217425741</v>
      </c>
      <c r="P845" s="823" t="n">
        <f aca="false">P844+O845</f>
        <v>67446.0815767126</v>
      </c>
      <c r="Q845" s="606" t="n">
        <f aca="false">Q844+1</f>
        <v>630</v>
      </c>
      <c r="R845" s="824" t="n">
        <f aca="false">R844-1</f>
        <v>-630</v>
      </c>
      <c r="S845" s="5"/>
      <c r="T845" s="5"/>
      <c r="U845" s="5"/>
      <c r="V845" s="10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02"/>
      <c r="AU845" s="502"/>
      <c r="AV845" s="606"/>
      <c r="AW845" s="502"/>
      <c r="AX845" s="502"/>
      <c r="AY845" s="502"/>
      <c r="AZ845" s="502"/>
      <c r="BA845" s="502"/>
      <c r="BB845" s="502"/>
      <c r="BC845" s="502"/>
      <c r="BD845" s="502"/>
      <c r="BE845" s="502"/>
      <c r="BF845" s="502"/>
      <c r="BG845" s="502"/>
      <c r="BH845" s="502"/>
      <c r="BI845" s="502"/>
      <c r="BJ845" s="502"/>
      <c r="BK845" s="502"/>
      <c r="BL845" s="502"/>
      <c r="BM845" s="502"/>
      <c r="BN845" s="502"/>
      <c r="BO845" s="502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</row>
    <row r="846" s="504" customFormat="true" ht="12.75" hidden="true" customHeight="true" outlineLevel="0" collapsed="false">
      <c r="A846" s="5"/>
      <c r="B846" s="813" t="n">
        <f aca="false">B845+1</f>
        <v>631</v>
      </c>
      <c r="C846" s="814" t="n">
        <f aca="false">C845+D846</f>
        <v>81052.0819125145</v>
      </c>
      <c r="D846" s="815" t="n">
        <f aca="false">E846*$E$205*M846</f>
        <v>178.800740910889</v>
      </c>
      <c r="E846" s="601" t="n">
        <f aca="false">E845+$C$204</f>
        <v>11.3394686016546</v>
      </c>
      <c r="F846" s="816" t="n">
        <f aca="false">F845+1</f>
        <v>631</v>
      </c>
      <c r="G846" s="775" t="n">
        <f aca="false">C846</f>
        <v>81052.0819125145</v>
      </c>
      <c r="H846" s="817" t="n">
        <f aca="false">1000*(E846-E845)</f>
        <v>9.99999999999979</v>
      </c>
      <c r="I846" s="5"/>
      <c r="J846" s="818" t="n">
        <f aca="false">1000*(E846-$E$215)/(B846-$B$215)</f>
        <v>12.4942469549472</v>
      </c>
      <c r="K846" s="732" t="n">
        <f aca="false">AVERAGE($E$216:E846)</f>
        <v>8.17742422764511</v>
      </c>
      <c r="L846" s="819" t="n">
        <f aca="false">L845+1</f>
        <v>631</v>
      </c>
      <c r="M846" s="820" t="n">
        <f aca="false">IF(B846&lt;$E$104,$E$105,$E$106)</f>
        <v>3</v>
      </c>
      <c r="N846" s="821" t="n">
        <f aca="false">IF(B846&lt;$E$104,$E$105,$E$111)</f>
        <v>2.5</v>
      </c>
      <c r="O846" s="822" t="n">
        <f aca="false">E846*$E$205*N846</f>
        <v>149.000617425741</v>
      </c>
      <c r="P846" s="823" t="n">
        <f aca="false">P845+O846</f>
        <v>67595.0821941383</v>
      </c>
      <c r="Q846" s="606" t="n">
        <f aca="false">Q845+1</f>
        <v>631</v>
      </c>
      <c r="R846" s="824" t="n">
        <f aca="false">R845-1</f>
        <v>-631</v>
      </c>
      <c r="S846" s="5"/>
      <c r="T846" s="5"/>
      <c r="U846" s="5"/>
      <c r="V846" s="10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02"/>
      <c r="AU846" s="502"/>
      <c r="AV846" s="606"/>
      <c r="AW846" s="502"/>
      <c r="AX846" s="502"/>
      <c r="AY846" s="502"/>
      <c r="AZ846" s="502"/>
      <c r="BA846" s="502"/>
      <c r="BB846" s="502"/>
      <c r="BC846" s="502"/>
      <c r="BD846" s="502"/>
      <c r="BE846" s="502"/>
      <c r="BF846" s="502"/>
      <c r="BG846" s="502"/>
      <c r="BH846" s="502"/>
      <c r="BI846" s="502"/>
      <c r="BJ846" s="502"/>
      <c r="BK846" s="502"/>
      <c r="BL846" s="502"/>
      <c r="BM846" s="502"/>
      <c r="BN846" s="502"/>
      <c r="BO846" s="502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</row>
    <row r="847" s="504" customFormat="true" ht="12.75" hidden="true" customHeight="true" outlineLevel="0" collapsed="false">
      <c r="A847" s="5"/>
      <c r="B847" s="813" t="n">
        <f aca="false">B846+1</f>
        <v>632</v>
      </c>
      <c r="C847" s="814" t="n">
        <f aca="false">C846+D847</f>
        <v>81231.0403334254</v>
      </c>
      <c r="D847" s="815" t="n">
        <f aca="false">E847*$E$205*M847</f>
        <v>178.958420910889</v>
      </c>
      <c r="E847" s="601" t="n">
        <f aca="false">E846+$C$204</f>
        <v>11.3494686016546</v>
      </c>
      <c r="F847" s="816" t="n">
        <f aca="false">F846+1</f>
        <v>632</v>
      </c>
      <c r="G847" s="775" t="n">
        <f aca="false">C847</f>
        <v>81231.0403334254</v>
      </c>
      <c r="H847" s="817" t="n">
        <f aca="false">1000*(E847-E846)</f>
        <v>9.99999999999979</v>
      </c>
      <c r="I847" s="5"/>
      <c r="J847" s="818" t="n">
        <f aca="false">1000*(E847-$E$215)/(B847-$B$215)</f>
        <v>12.4903003616641</v>
      </c>
      <c r="K847" s="732" t="n">
        <f aca="false">AVERAGE($E$216:E847)</f>
        <v>8.18244328519893</v>
      </c>
      <c r="L847" s="819" t="n">
        <f aca="false">L846+1</f>
        <v>632</v>
      </c>
      <c r="M847" s="820" t="n">
        <f aca="false">IF(B847&lt;$E$104,$E$105,$E$106)</f>
        <v>3</v>
      </c>
      <c r="N847" s="821" t="n">
        <f aca="false">IF(B847&lt;$E$104,$E$105,$E$111)</f>
        <v>2.5</v>
      </c>
      <c r="O847" s="822" t="n">
        <f aca="false">E847*$E$205*N847</f>
        <v>149.132017425741</v>
      </c>
      <c r="P847" s="823" t="n">
        <f aca="false">P846+O847</f>
        <v>67744.214211564</v>
      </c>
      <c r="Q847" s="606" t="n">
        <f aca="false">Q846+1</f>
        <v>632</v>
      </c>
      <c r="R847" s="824" t="n">
        <f aca="false">R846-1</f>
        <v>-632</v>
      </c>
      <c r="S847" s="5"/>
      <c r="T847" s="5"/>
      <c r="U847" s="5"/>
      <c r="V847" s="10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02"/>
      <c r="AU847" s="502"/>
      <c r="AV847" s="606"/>
      <c r="AW847" s="502"/>
      <c r="AX847" s="502"/>
      <c r="AY847" s="502"/>
      <c r="AZ847" s="502"/>
      <c r="BA847" s="502"/>
      <c r="BB847" s="502"/>
      <c r="BC847" s="502"/>
      <c r="BD847" s="502"/>
      <c r="BE847" s="502"/>
      <c r="BF847" s="502"/>
      <c r="BG847" s="502"/>
      <c r="BH847" s="502"/>
      <c r="BI847" s="502"/>
      <c r="BJ847" s="502"/>
      <c r="BK847" s="502"/>
      <c r="BL847" s="502"/>
      <c r="BM847" s="502"/>
      <c r="BN847" s="502"/>
      <c r="BO847" s="502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</row>
    <row r="848" s="504" customFormat="true" ht="12.75" hidden="true" customHeight="true" outlineLevel="0" collapsed="false">
      <c r="A848" s="5"/>
      <c r="B848" s="813" t="n">
        <f aca="false">B847+1</f>
        <v>633</v>
      </c>
      <c r="C848" s="814" t="n">
        <f aca="false">C847+D848</f>
        <v>81410.1564343363</v>
      </c>
      <c r="D848" s="815" t="n">
        <f aca="false">E848*$E$205*M848</f>
        <v>179.116100910889</v>
      </c>
      <c r="E848" s="601" t="n">
        <f aca="false">E847+$C$204</f>
        <v>11.3594686016546</v>
      </c>
      <c r="F848" s="816" t="n">
        <f aca="false">F847+1</f>
        <v>633</v>
      </c>
      <c r="G848" s="775" t="n">
        <f aca="false">C848</f>
        <v>81410.1564343363</v>
      </c>
      <c r="H848" s="817" t="n">
        <f aca="false">1000*(E848-E847)</f>
        <v>9.99999999999979</v>
      </c>
      <c r="I848" s="5"/>
      <c r="J848" s="818" t="n">
        <f aca="false">1000*(E848-$E$215)/(B848-$B$215)</f>
        <v>12.48636623787</v>
      </c>
      <c r="K848" s="732" t="n">
        <f aca="false">AVERAGE($E$216:E848)</f>
        <v>8.1874622825393</v>
      </c>
      <c r="L848" s="819" t="n">
        <f aca="false">L847+1</f>
        <v>633</v>
      </c>
      <c r="M848" s="820" t="n">
        <f aca="false">IF(B848&lt;$E$104,$E$105,$E$106)</f>
        <v>3</v>
      </c>
      <c r="N848" s="821" t="n">
        <f aca="false">IF(B848&lt;$E$104,$E$105,$E$111)</f>
        <v>2.5</v>
      </c>
      <c r="O848" s="822" t="n">
        <f aca="false">E848*$E$205*N848</f>
        <v>149.263417425741</v>
      </c>
      <c r="P848" s="823" t="n">
        <f aca="false">P847+O848</f>
        <v>67893.4776289898</v>
      </c>
      <c r="Q848" s="606" t="n">
        <f aca="false">Q847+1</f>
        <v>633</v>
      </c>
      <c r="R848" s="824" t="n">
        <f aca="false">R847-1</f>
        <v>-633</v>
      </c>
      <c r="S848" s="5"/>
      <c r="T848" s="5"/>
      <c r="U848" s="5"/>
      <c r="V848" s="10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02"/>
      <c r="AU848" s="502"/>
      <c r="AV848" s="606"/>
      <c r="AW848" s="502"/>
      <c r="AX848" s="502"/>
      <c r="AY848" s="502"/>
      <c r="AZ848" s="502"/>
      <c r="BA848" s="502"/>
      <c r="BB848" s="502"/>
      <c r="BC848" s="502"/>
      <c r="BD848" s="502"/>
      <c r="BE848" s="502"/>
      <c r="BF848" s="502"/>
      <c r="BG848" s="502"/>
      <c r="BH848" s="502"/>
      <c r="BI848" s="502"/>
      <c r="BJ848" s="502"/>
      <c r="BK848" s="502"/>
      <c r="BL848" s="502"/>
      <c r="BM848" s="502"/>
      <c r="BN848" s="502"/>
      <c r="BO848" s="502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</row>
    <row r="849" s="504" customFormat="true" ht="12.75" hidden="true" customHeight="true" outlineLevel="0" collapsed="false">
      <c r="A849" s="5"/>
      <c r="B849" s="813" t="n">
        <f aca="false">B848+1</f>
        <v>634</v>
      </c>
      <c r="C849" s="814" t="n">
        <f aca="false">C848+D849</f>
        <v>81589.4302152472</v>
      </c>
      <c r="D849" s="815" t="n">
        <f aca="false">E849*$E$205*M849</f>
        <v>179.273780910889</v>
      </c>
      <c r="E849" s="601" t="n">
        <f aca="false">E848+$C$204</f>
        <v>11.3694686016546</v>
      </c>
      <c r="F849" s="816" t="n">
        <f aca="false">F848+1</f>
        <v>634</v>
      </c>
      <c r="G849" s="775" t="n">
        <f aca="false">C849</f>
        <v>81589.4302152472</v>
      </c>
      <c r="H849" s="817" t="n">
        <f aca="false">1000*(E849-E848)</f>
        <v>9.99999999999979</v>
      </c>
      <c r="I849" s="5"/>
      <c r="J849" s="818" t="n">
        <f aca="false">1000*(E849-$E$215)/(B849-$B$215)</f>
        <v>12.4824445245611</v>
      </c>
      <c r="K849" s="732" t="n">
        <f aca="false">AVERAGE($E$216:E849)</f>
        <v>8.19248121995115</v>
      </c>
      <c r="L849" s="819" t="n">
        <f aca="false">L848+1</f>
        <v>634</v>
      </c>
      <c r="M849" s="820" t="n">
        <f aca="false">IF(B849&lt;$E$104,$E$105,$E$106)</f>
        <v>3</v>
      </c>
      <c r="N849" s="821" t="n">
        <f aca="false">IF(B849&lt;$E$104,$E$105,$E$111)</f>
        <v>2.5</v>
      </c>
      <c r="O849" s="822" t="n">
        <f aca="false">E849*$E$205*N849</f>
        <v>149.394817425741</v>
      </c>
      <c r="P849" s="823" t="n">
        <f aca="false">P848+O849</f>
        <v>68042.8724464155</v>
      </c>
      <c r="Q849" s="606" t="n">
        <f aca="false">Q848+1</f>
        <v>634</v>
      </c>
      <c r="R849" s="824" t="n">
        <f aca="false">R848-1</f>
        <v>-634</v>
      </c>
      <c r="S849" s="5"/>
      <c r="T849" s="5"/>
      <c r="U849" s="5"/>
      <c r="V849" s="10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02"/>
      <c r="AU849" s="502"/>
      <c r="AV849" s="606"/>
      <c r="AW849" s="502"/>
      <c r="AX849" s="502"/>
      <c r="AY849" s="502"/>
      <c r="AZ849" s="502"/>
      <c r="BA849" s="502"/>
      <c r="BB849" s="502"/>
      <c r="BC849" s="502"/>
      <c r="BD849" s="502"/>
      <c r="BE849" s="502"/>
      <c r="BF849" s="502"/>
      <c r="BG849" s="502"/>
      <c r="BH849" s="502"/>
      <c r="BI849" s="502"/>
      <c r="BJ849" s="502"/>
      <c r="BK849" s="502"/>
      <c r="BL849" s="502"/>
      <c r="BM849" s="502"/>
      <c r="BN849" s="502"/>
      <c r="BO849" s="502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</row>
    <row r="850" s="504" customFormat="true" ht="12.75" hidden="true" customHeight="true" outlineLevel="0" collapsed="false">
      <c r="A850" s="5"/>
      <c r="B850" s="813" t="n">
        <f aca="false">B849+1</f>
        <v>635</v>
      </c>
      <c r="C850" s="814" t="n">
        <f aca="false">C849+D850</f>
        <v>81768.8616761581</v>
      </c>
      <c r="D850" s="815" t="n">
        <f aca="false">E850*$E$205*M850</f>
        <v>179.431460910889</v>
      </c>
      <c r="E850" s="601" t="n">
        <f aca="false">E849+$C$204</f>
        <v>11.3794686016546</v>
      </c>
      <c r="F850" s="816" t="n">
        <f aca="false">F849+1</f>
        <v>635</v>
      </c>
      <c r="G850" s="775" t="n">
        <f aca="false">C850</f>
        <v>81768.8616761581</v>
      </c>
      <c r="H850" s="817" t="n">
        <f aca="false">1000*(E850-E849)</f>
        <v>9.99999999999979</v>
      </c>
      <c r="I850" s="5"/>
      <c r="J850" s="818" t="n">
        <f aca="false">1000*(E850-$E$215)/(B850-$B$215)</f>
        <v>12.4785351631051</v>
      </c>
      <c r="K850" s="732" t="n">
        <f aca="false">AVERAGE($E$216:E850)</f>
        <v>8.19750009771761</v>
      </c>
      <c r="L850" s="819" t="n">
        <f aca="false">L849+1</f>
        <v>635</v>
      </c>
      <c r="M850" s="820" t="n">
        <f aca="false">IF(B850&lt;$E$104,$E$105,$E$106)</f>
        <v>3</v>
      </c>
      <c r="N850" s="821" t="n">
        <f aca="false">IF(B850&lt;$E$104,$E$105,$E$111)</f>
        <v>2.5</v>
      </c>
      <c r="O850" s="822" t="n">
        <f aca="false">E850*$E$205*N850</f>
        <v>149.526217425741</v>
      </c>
      <c r="P850" s="823" t="n">
        <f aca="false">P849+O850</f>
        <v>68192.3986638413</v>
      </c>
      <c r="Q850" s="606" t="n">
        <f aca="false">Q849+1</f>
        <v>635</v>
      </c>
      <c r="R850" s="824" t="n">
        <f aca="false">R849-1</f>
        <v>-635</v>
      </c>
      <c r="S850" s="5"/>
      <c r="T850" s="5"/>
      <c r="U850" s="5"/>
      <c r="V850" s="10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02"/>
      <c r="AU850" s="502"/>
      <c r="AV850" s="606"/>
      <c r="AW850" s="502"/>
      <c r="AX850" s="502"/>
      <c r="AY850" s="502"/>
      <c r="AZ850" s="502"/>
      <c r="BA850" s="502"/>
      <c r="BB850" s="502"/>
      <c r="BC850" s="502"/>
      <c r="BD850" s="502"/>
      <c r="BE850" s="502"/>
      <c r="BF850" s="502"/>
      <c r="BG850" s="502"/>
      <c r="BH850" s="502"/>
      <c r="BI850" s="502"/>
      <c r="BJ850" s="502"/>
      <c r="BK850" s="502"/>
      <c r="BL850" s="502"/>
      <c r="BM850" s="502"/>
      <c r="BN850" s="502"/>
      <c r="BO850" s="502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  <c r="DI850" s="5"/>
      <c r="DJ850" s="5"/>
      <c r="DK850" s="5"/>
      <c r="DL850" s="5"/>
      <c r="DM850" s="5"/>
      <c r="DN850" s="5"/>
      <c r="DO850" s="5"/>
      <c r="DP850" s="5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</row>
    <row r="851" s="504" customFormat="true" ht="12.75" hidden="true" customHeight="true" outlineLevel="0" collapsed="false">
      <c r="A851" s="5"/>
      <c r="B851" s="813" t="n">
        <f aca="false">B850+1</f>
        <v>636</v>
      </c>
      <c r="C851" s="814" t="n">
        <f aca="false">C850+D851</f>
        <v>81948.4508170689</v>
      </c>
      <c r="D851" s="815" t="n">
        <f aca="false">E851*$E$205*M851</f>
        <v>179.589140910889</v>
      </c>
      <c r="E851" s="601" t="n">
        <f aca="false">E850+$C$204</f>
        <v>11.3894686016546</v>
      </c>
      <c r="F851" s="816" t="n">
        <f aca="false">F850+1</f>
        <v>636</v>
      </c>
      <c r="G851" s="775" t="n">
        <f aca="false">C851</f>
        <v>81948.4508170689</v>
      </c>
      <c r="H851" s="817" t="n">
        <f aca="false">1000*(E851-E850)</f>
        <v>9.99999999999979</v>
      </c>
      <c r="I851" s="5"/>
      <c r="J851" s="818" t="n">
        <f aca="false">1000*(E851-$E$215)/(B851-$B$215)</f>
        <v>12.4746380952385</v>
      </c>
      <c r="K851" s="732" t="n">
        <f aca="false">AVERAGE($E$216:E851)</f>
        <v>8.20251891612003</v>
      </c>
      <c r="L851" s="819" t="n">
        <f aca="false">L850+1</f>
        <v>636</v>
      </c>
      <c r="M851" s="820" t="n">
        <f aca="false">IF(B851&lt;$E$104,$E$105,$E$106)</f>
        <v>3</v>
      </c>
      <c r="N851" s="821" t="n">
        <f aca="false">IF(B851&lt;$E$104,$E$105,$E$111)</f>
        <v>2.5</v>
      </c>
      <c r="O851" s="822" t="n">
        <f aca="false">E851*$E$205*N851</f>
        <v>149.657617425741</v>
      </c>
      <c r="P851" s="823" t="n">
        <f aca="false">P850+O851</f>
        <v>68342.056281267</v>
      </c>
      <c r="Q851" s="606" t="n">
        <f aca="false">Q850+1</f>
        <v>636</v>
      </c>
      <c r="R851" s="824" t="n">
        <f aca="false">R850-1</f>
        <v>-636</v>
      </c>
      <c r="S851" s="5"/>
      <c r="T851" s="5"/>
      <c r="U851" s="5"/>
      <c r="V851" s="10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02"/>
      <c r="AU851" s="502"/>
      <c r="AV851" s="606"/>
      <c r="AW851" s="502"/>
      <c r="AX851" s="502"/>
      <c r="AY851" s="502"/>
      <c r="AZ851" s="502"/>
      <c r="BA851" s="502"/>
      <c r="BB851" s="502"/>
      <c r="BC851" s="502"/>
      <c r="BD851" s="502"/>
      <c r="BE851" s="502"/>
      <c r="BF851" s="502"/>
      <c r="BG851" s="502"/>
      <c r="BH851" s="502"/>
      <c r="BI851" s="502"/>
      <c r="BJ851" s="502"/>
      <c r="BK851" s="502"/>
      <c r="BL851" s="502"/>
      <c r="BM851" s="502"/>
      <c r="BN851" s="502"/>
      <c r="BO851" s="502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</row>
    <row r="852" s="504" customFormat="true" ht="12.75" hidden="true" customHeight="true" outlineLevel="0" collapsed="false">
      <c r="A852" s="5"/>
      <c r="B852" s="813" t="n">
        <f aca="false">B851+1</f>
        <v>637</v>
      </c>
      <c r="C852" s="814" t="n">
        <f aca="false">C851+D852</f>
        <v>82128.1976379798</v>
      </c>
      <c r="D852" s="815" t="n">
        <f aca="false">E852*$E$205*M852</f>
        <v>179.746820910889</v>
      </c>
      <c r="E852" s="601" t="n">
        <f aca="false">E851+$C$204</f>
        <v>11.3994686016546</v>
      </c>
      <c r="F852" s="816" t="n">
        <f aca="false">F851+1</f>
        <v>637</v>
      </c>
      <c r="G852" s="775" t="n">
        <f aca="false">C852</f>
        <v>82128.1976379798</v>
      </c>
      <c r="H852" s="817" t="n">
        <f aca="false">1000*(E852-E851)</f>
        <v>9.99999999999979</v>
      </c>
      <c r="I852" s="5"/>
      <c r="J852" s="818" t="n">
        <f aca="false">1000*(E852-$E$215)/(B852-$B$215)</f>
        <v>12.4707532630639</v>
      </c>
      <c r="K852" s="732" t="n">
        <f aca="false">AVERAGE($E$216:E852)</f>
        <v>8.20753767543798</v>
      </c>
      <c r="L852" s="819" t="n">
        <f aca="false">L851+1</f>
        <v>637</v>
      </c>
      <c r="M852" s="820" t="n">
        <f aca="false">IF(B852&lt;$E$104,$E$105,$E$106)</f>
        <v>3</v>
      </c>
      <c r="N852" s="821" t="n">
        <f aca="false">IF(B852&lt;$E$104,$E$105,$E$111)</f>
        <v>2.5</v>
      </c>
      <c r="O852" s="822" t="n">
        <f aca="false">E852*$E$205*N852</f>
        <v>149.789017425741</v>
      </c>
      <c r="P852" s="823" t="n">
        <f aca="false">P851+O852</f>
        <v>68491.8452986927</v>
      </c>
      <c r="Q852" s="606" t="n">
        <f aca="false">Q851+1</f>
        <v>637</v>
      </c>
      <c r="R852" s="824" t="n">
        <f aca="false">R851-1</f>
        <v>-637</v>
      </c>
      <c r="S852" s="5"/>
      <c r="T852" s="5"/>
      <c r="U852" s="5"/>
      <c r="V852" s="10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02"/>
      <c r="AU852" s="502"/>
      <c r="AV852" s="606"/>
      <c r="AW852" s="502"/>
      <c r="AX852" s="502"/>
      <c r="AY852" s="502"/>
      <c r="AZ852" s="502"/>
      <c r="BA852" s="502"/>
      <c r="BB852" s="502"/>
      <c r="BC852" s="502"/>
      <c r="BD852" s="502"/>
      <c r="BE852" s="502"/>
      <c r="BF852" s="502"/>
      <c r="BG852" s="502"/>
      <c r="BH852" s="502"/>
      <c r="BI852" s="502"/>
      <c r="BJ852" s="502"/>
      <c r="BK852" s="502"/>
      <c r="BL852" s="502"/>
      <c r="BM852" s="502"/>
      <c r="BN852" s="502"/>
      <c r="BO852" s="502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</row>
    <row r="853" s="504" customFormat="true" ht="12.75" hidden="true" customHeight="true" outlineLevel="0" collapsed="false">
      <c r="A853" s="5"/>
      <c r="B853" s="813" t="n">
        <f aca="false">B852+1</f>
        <v>638</v>
      </c>
      <c r="C853" s="814" t="n">
        <f aca="false">C852+D853</f>
        <v>82308.1021388907</v>
      </c>
      <c r="D853" s="815" t="n">
        <f aca="false">E853*$E$205*M853</f>
        <v>179.904500910889</v>
      </c>
      <c r="E853" s="601" t="n">
        <f aca="false">E852+$C$204</f>
        <v>11.4094686016546</v>
      </c>
      <c r="F853" s="816" t="n">
        <f aca="false">F852+1</f>
        <v>638</v>
      </c>
      <c r="G853" s="775" t="n">
        <f aca="false">C853</f>
        <v>82308.1021388907</v>
      </c>
      <c r="H853" s="817" t="n">
        <f aca="false">1000*(E853-E852)</f>
        <v>9.99999999999979</v>
      </c>
      <c r="I853" s="5"/>
      <c r="J853" s="818" t="n">
        <f aca="false">1000*(E853-$E$215)/(B853-$B$215)</f>
        <v>12.4668806090466</v>
      </c>
      <c r="K853" s="732" t="n">
        <f aca="false">AVERAGE($E$216:E853)</f>
        <v>8.21255637594929</v>
      </c>
      <c r="L853" s="819" t="n">
        <f aca="false">L852+1</f>
        <v>638</v>
      </c>
      <c r="M853" s="820" t="n">
        <f aca="false">IF(B853&lt;$E$104,$E$105,$E$106)</f>
        <v>3</v>
      </c>
      <c r="N853" s="821" t="n">
        <f aca="false">IF(B853&lt;$E$104,$E$105,$E$111)</f>
        <v>2.5</v>
      </c>
      <c r="O853" s="822" t="n">
        <f aca="false">E853*$E$205*N853</f>
        <v>149.920417425741</v>
      </c>
      <c r="P853" s="823" t="n">
        <f aca="false">P852+O853</f>
        <v>68641.7657161185</v>
      </c>
      <c r="Q853" s="606" t="n">
        <f aca="false">Q852+1</f>
        <v>638</v>
      </c>
      <c r="R853" s="824" t="n">
        <f aca="false">R852-1</f>
        <v>-638</v>
      </c>
      <c r="S853" s="5"/>
      <c r="T853" s="5"/>
      <c r="U853" s="5"/>
      <c r="V853" s="10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02"/>
      <c r="AU853" s="502"/>
      <c r="AV853" s="606"/>
      <c r="AW853" s="502"/>
      <c r="AX853" s="502"/>
      <c r="AY853" s="502"/>
      <c r="AZ853" s="502"/>
      <c r="BA853" s="502"/>
      <c r="BB853" s="502"/>
      <c r="BC853" s="502"/>
      <c r="BD853" s="502"/>
      <c r="BE853" s="502"/>
      <c r="BF853" s="502"/>
      <c r="BG853" s="502"/>
      <c r="BH853" s="502"/>
      <c r="BI853" s="502"/>
      <c r="BJ853" s="502"/>
      <c r="BK853" s="502"/>
      <c r="BL853" s="502"/>
      <c r="BM853" s="502"/>
      <c r="BN853" s="502"/>
      <c r="BO853" s="502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</row>
    <row r="854" s="504" customFormat="true" ht="12.75" hidden="true" customHeight="true" outlineLevel="0" collapsed="false">
      <c r="A854" s="5"/>
      <c r="B854" s="813" t="n">
        <f aca="false">B853+1</f>
        <v>639</v>
      </c>
      <c r="C854" s="814" t="n">
        <f aca="false">C853+D854</f>
        <v>82488.1643198016</v>
      </c>
      <c r="D854" s="815" t="n">
        <f aca="false">E854*$E$205*M854</f>
        <v>180.062180910889</v>
      </c>
      <c r="E854" s="601" t="n">
        <f aca="false">E853+$C$204</f>
        <v>11.4194686016546</v>
      </c>
      <c r="F854" s="816" t="n">
        <f aca="false">F853+1</f>
        <v>639</v>
      </c>
      <c r="G854" s="775" t="n">
        <f aca="false">C854</f>
        <v>82488.1643198016</v>
      </c>
      <c r="H854" s="817" t="n">
        <f aca="false">1000*(E854-E853)</f>
        <v>9.99999999999979</v>
      </c>
      <c r="I854" s="5"/>
      <c r="J854" s="818" t="n">
        <f aca="false">1000*(E854-$E$215)/(B854-$B$215)</f>
        <v>12.4630200760121</v>
      </c>
      <c r="K854" s="732" t="n">
        <f aca="false">AVERAGE($E$216:E854)</f>
        <v>8.21757501793005</v>
      </c>
      <c r="L854" s="819" t="n">
        <f aca="false">L853+1</f>
        <v>639</v>
      </c>
      <c r="M854" s="820" t="n">
        <f aca="false">IF(B854&lt;$E$104,$E$105,$E$106)</f>
        <v>3</v>
      </c>
      <c r="N854" s="821" t="n">
        <f aca="false">IF(B854&lt;$E$104,$E$105,$E$111)</f>
        <v>2.5</v>
      </c>
      <c r="O854" s="822" t="n">
        <f aca="false">E854*$E$205*N854</f>
        <v>150.051817425741</v>
      </c>
      <c r="P854" s="823" t="n">
        <f aca="false">P853+O854</f>
        <v>68791.8175335442</v>
      </c>
      <c r="Q854" s="606" t="n">
        <f aca="false">Q853+1</f>
        <v>639</v>
      </c>
      <c r="R854" s="824" t="n">
        <f aca="false">R853-1</f>
        <v>-639</v>
      </c>
      <c r="S854" s="5"/>
      <c r="T854" s="5"/>
      <c r="U854" s="5"/>
      <c r="V854" s="10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02"/>
      <c r="AU854" s="502"/>
      <c r="AV854" s="606"/>
      <c r="AW854" s="502"/>
      <c r="AX854" s="502"/>
      <c r="AY854" s="502"/>
      <c r="AZ854" s="502"/>
      <c r="BA854" s="502"/>
      <c r="BB854" s="502"/>
      <c r="BC854" s="502"/>
      <c r="BD854" s="502"/>
      <c r="BE854" s="502"/>
      <c r="BF854" s="502"/>
      <c r="BG854" s="502"/>
      <c r="BH854" s="502"/>
      <c r="BI854" s="502"/>
      <c r="BJ854" s="502"/>
      <c r="BK854" s="502"/>
      <c r="BL854" s="502"/>
      <c r="BM854" s="502"/>
      <c r="BN854" s="502"/>
      <c r="BO854" s="502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  <c r="DE854" s="5"/>
      <c r="DF854" s="5"/>
      <c r="DG854" s="5"/>
      <c r="DH854" s="5"/>
      <c r="DI854" s="5"/>
      <c r="DJ854" s="5"/>
      <c r="DK854" s="5"/>
      <c r="DL854" s="5"/>
      <c r="DM854" s="5"/>
      <c r="DN854" s="5"/>
      <c r="DO854" s="5"/>
      <c r="DP854" s="5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</row>
    <row r="855" s="504" customFormat="true" ht="12.75" hidden="true" customHeight="true" outlineLevel="0" collapsed="false">
      <c r="A855" s="5"/>
      <c r="B855" s="813" t="n">
        <f aca="false">B854+1</f>
        <v>640</v>
      </c>
      <c r="C855" s="814" t="n">
        <f aca="false">C854+D855</f>
        <v>82668.3841807125</v>
      </c>
      <c r="D855" s="815" t="n">
        <f aca="false">E855*$E$205*M855</f>
        <v>180.219860910889</v>
      </c>
      <c r="E855" s="601" t="n">
        <f aca="false">E854+$C$204</f>
        <v>11.4294686016546</v>
      </c>
      <c r="F855" s="816" t="n">
        <f aca="false">F854+1</f>
        <v>640</v>
      </c>
      <c r="G855" s="775" t="n">
        <f aca="false">C855</f>
        <v>82668.3841807125</v>
      </c>
      <c r="H855" s="817" t="n">
        <f aca="false">1000*(E855-E854)</f>
        <v>9.99999999999979</v>
      </c>
      <c r="I855" s="5"/>
      <c r="J855" s="818" t="n">
        <f aca="false">1000*(E855-$E$215)/(B855-$B$215)</f>
        <v>12.4591716071433</v>
      </c>
      <c r="K855" s="732" t="n">
        <f aca="false">AVERAGE($E$216:E855)</f>
        <v>8.22259360165462</v>
      </c>
      <c r="L855" s="819" t="n">
        <f aca="false">L854+1</f>
        <v>640</v>
      </c>
      <c r="M855" s="820" t="n">
        <f aca="false">IF(B855&lt;$E$104,$E$105,$E$106)</f>
        <v>3</v>
      </c>
      <c r="N855" s="821" t="n">
        <f aca="false">IF(B855&lt;$E$104,$E$105,$E$111)</f>
        <v>2.5</v>
      </c>
      <c r="O855" s="822" t="n">
        <f aca="false">E855*$E$205*N855</f>
        <v>150.183217425741</v>
      </c>
      <c r="P855" s="823" t="n">
        <f aca="false">P854+O855</f>
        <v>68942.00075097</v>
      </c>
      <c r="Q855" s="606" t="n">
        <f aca="false">Q854+1</f>
        <v>640</v>
      </c>
      <c r="R855" s="824" t="n">
        <f aca="false">R854-1</f>
        <v>-640</v>
      </c>
      <c r="S855" s="5"/>
      <c r="T855" s="5"/>
      <c r="U855" s="5"/>
      <c r="V855" s="10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02"/>
      <c r="AU855" s="502"/>
      <c r="AV855" s="606"/>
      <c r="AW855" s="502"/>
      <c r="AX855" s="502"/>
      <c r="AY855" s="502"/>
      <c r="AZ855" s="502"/>
      <c r="BA855" s="502"/>
      <c r="BB855" s="502"/>
      <c r="BC855" s="502"/>
      <c r="BD855" s="502"/>
      <c r="BE855" s="502"/>
      <c r="BF855" s="502"/>
      <c r="BG855" s="502"/>
      <c r="BH855" s="502"/>
      <c r="BI855" s="502"/>
      <c r="BJ855" s="502"/>
      <c r="BK855" s="502"/>
      <c r="BL855" s="502"/>
      <c r="BM855" s="502"/>
      <c r="BN855" s="502"/>
      <c r="BO855" s="502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</row>
    <row r="856" s="504" customFormat="true" ht="12.75" hidden="true" customHeight="true" outlineLevel="0" collapsed="false">
      <c r="A856" s="5"/>
      <c r="B856" s="813" t="n">
        <f aca="false">B855+1</f>
        <v>641</v>
      </c>
      <c r="C856" s="814" t="n">
        <f aca="false">C855+D856</f>
        <v>82848.7617216234</v>
      </c>
      <c r="D856" s="815" t="n">
        <f aca="false">E856*$E$205*M856</f>
        <v>180.377540910889</v>
      </c>
      <c r="E856" s="601" t="n">
        <f aca="false">E855+$C$204</f>
        <v>11.4394686016546</v>
      </c>
      <c r="F856" s="816" t="n">
        <f aca="false">F855+1</f>
        <v>641</v>
      </c>
      <c r="G856" s="775" t="n">
        <f aca="false">C856</f>
        <v>82848.7617216234</v>
      </c>
      <c r="H856" s="817" t="n">
        <f aca="false">1000*(E856-E855)</f>
        <v>9.99999999999979</v>
      </c>
      <c r="I856" s="5"/>
      <c r="J856" s="818" t="n">
        <f aca="false">1000*(E856-$E$215)/(B856-$B$215)</f>
        <v>12.4553351459777</v>
      </c>
      <c r="K856" s="732" t="n">
        <f aca="false">AVERAGE($E$216:E856)</f>
        <v>8.22761212739565</v>
      </c>
      <c r="L856" s="819" t="n">
        <f aca="false">L855+1</f>
        <v>641</v>
      </c>
      <c r="M856" s="820" t="n">
        <f aca="false">IF(B856&lt;$E$104,$E$105,$E$106)</f>
        <v>3</v>
      </c>
      <c r="N856" s="821" t="n">
        <f aca="false">IF(B856&lt;$E$104,$E$105,$E$111)</f>
        <v>2.5</v>
      </c>
      <c r="O856" s="822" t="n">
        <f aca="false">E856*$E$205*N856</f>
        <v>150.314617425741</v>
      </c>
      <c r="P856" s="823" t="n">
        <f aca="false">P855+O856</f>
        <v>69092.3153683957</v>
      </c>
      <c r="Q856" s="606" t="n">
        <f aca="false">Q855+1</f>
        <v>641</v>
      </c>
      <c r="R856" s="824" t="n">
        <f aca="false">R855-1</f>
        <v>-641</v>
      </c>
      <c r="S856" s="5"/>
      <c r="T856" s="5"/>
      <c r="U856" s="5"/>
      <c r="V856" s="10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02"/>
      <c r="AU856" s="502"/>
      <c r="AV856" s="606"/>
      <c r="AW856" s="502"/>
      <c r="AX856" s="502"/>
      <c r="AY856" s="502"/>
      <c r="AZ856" s="502"/>
      <c r="BA856" s="502"/>
      <c r="BB856" s="502"/>
      <c r="BC856" s="502"/>
      <c r="BD856" s="502"/>
      <c r="BE856" s="502"/>
      <c r="BF856" s="502"/>
      <c r="BG856" s="502"/>
      <c r="BH856" s="502"/>
      <c r="BI856" s="502"/>
      <c r="BJ856" s="502"/>
      <c r="BK856" s="502"/>
      <c r="BL856" s="502"/>
      <c r="BM856" s="502"/>
      <c r="BN856" s="502"/>
      <c r="BO856" s="502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  <c r="DE856" s="5"/>
      <c r="DF856" s="5"/>
      <c r="DG856" s="5"/>
      <c r="DH856" s="5"/>
      <c r="DI856" s="5"/>
      <c r="DJ856" s="5"/>
      <c r="DK856" s="5"/>
      <c r="DL856" s="5"/>
      <c r="DM856" s="5"/>
      <c r="DN856" s="5"/>
      <c r="DO856" s="5"/>
      <c r="DP856" s="5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</row>
    <row r="857" s="504" customFormat="true" ht="12.75" hidden="true" customHeight="true" outlineLevel="0" collapsed="false">
      <c r="A857" s="5"/>
      <c r="B857" s="813" t="n">
        <f aca="false">B856+1</f>
        <v>642</v>
      </c>
      <c r="C857" s="814" t="n">
        <f aca="false">C856+D857</f>
        <v>83029.2969425343</v>
      </c>
      <c r="D857" s="815" t="n">
        <f aca="false">E857*$E$205*M857</f>
        <v>180.535220910889</v>
      </c>
      <c r="E857" s="601" t="n">
        <f aca="false">E856+$C$204</f>
        <v>11.4494686016546</v>
      </c>
      <c r="F857" s="816" t="n">
        <f aca="false">F856+1</f>
        <v>642</v>
      </c>
      <c r="G857" s="775" t="n">
        <f aca="false">C857</f>
        <v>83029.2969425343</v>
      </c>
      <c r="H857" s="817" t="n">
        <f aca="false">1000*(E857-E856)</f>
        <v>9.99999999999979</v>
      </c>
      <c r="I857" s="5"/>
      <c r="J857" s="818" t="n">
        <f aca="false">1000*(E857-$E$215)/(B857-$B$215)</f>
        <v>12.4515106364045</v>
      </c>
      <c r="K857" s="732" t="n">
        <f aca="false">AVERAGE($E$216:E857)</f>
        <v>8.23263059542409</v>
      </c>
      <c r="L857" s="819" t="n">
        <f aca="false">L856+1</f>
        <v>642</v>
      </c>
      <c r="M857" s="820" t="n">
        <f aca="false">IF(B857&lt;$E$104,$E$105,$E$106)</f>
        <v>3</v>
      </c>
      <c r="N857" s="821" t="n">
        <f aca="false">IF(B857&lt;$E$104,$E$105,$E$111)</f>
        <v>2.5</v>
      </c>
      <c r="O857" s="822" t="n">
        <f aca="false">E857*$E$205*N857</f>
        <v>150.446017425741</v>
      </c>
      <c r="P857" s="823" t="n">
        <f aca="false">P856+O857</f>
        <v>69242.7613858215</v>
      </c>
      <c r="Q857" s="606" t="n">
        <f aca="false">Q856+1</f>
        <v>642</v>
      </c>
      <c r="R857" s="824" t="n">
        <f aca="false">R856-1</f>
        <v>-642</v>
      </c>
      <c r="S857" s="5"/>
      <c r="T857" s="5"/>
      <c r="U857" s="5"/>
      <c r="V857" s="10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02"/>
      <c r="AU857" s="502"/>
      <c r="AV857" s="606"/>
      <c r="AW857" s="502"/>
      <c r="AX857" s="502"/>
      <c r="AY857" s="502"/>
      <c r="AZ857" s="502"/>
      <c r="BA857" s="502"/>
      <c r="BB857" s="502"/>
      <c r="BC857" s="502"/>
      <c r="BD857" s="502"/>
      <c r="BE857" s="502"/>
      <c r="BF857" s="502"/>
      <c r="BG857" s="502"/>
      <c r="BH857" s="502"/>
      <c r="BI857" s="502"/>
      <c r="BJ857" s="502"/>
      <c r="BK857" s="502"/>
      <c r="BL857" s="502"/>
      <c r="BM857" s="502"/>
      <c r="BN857" s="502"/>
      <c r="BO857" s="502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</row>
    <row r="858" s="504" customFormat="true" ht="12.75" hidden="true" customHeight="true" outlineLevel="0" collapsed="false">
      <c r="A858" s="5"/>
      <c r="B858" s="813" t="n">
        <f aca="false">B857+1</f>
        <v>643</v>
      </c>
      <c r="C858" s="814" t="n">
        <f aca="false">C857+D858</f>
        <v>83209.9898434452</v>
      </c>
      <c r="D858" s="815" t="n">
        <f aca="false">E858*$E$205*M858</f>
        <v>180.692900910889</v>
      </c>
      <c r="E858" s="601" t="n">
        <f aca="false">E857+$C$204</f>
        <v>11.4594686016546</v>
      </c>
      <c r="F858" s="816" t="n">
        <f aca="false">F857+1</f>
        <v>643</v>
      </c>
      <c r="G858" s="775" t="n">
        <f aca="false">C858</f>
        <v>83209.9898434452</v>
      </c>
      <c r="H858" s="817" t="n">
        <f aca="false">1000*(E858-E857)</f>
        <v>9.99999999999979</v>
      </c>
      <c r="I858" s="5"/>
      <c r="J858" s="818" t="n">
        <f aca="false">1000*(E858-$E$215)/(B858-$B$215)</f>
        <v>12.4476980226621</v>
      </c>
      <c r="K858" s="732" t="n">
        <f aca="false">AVERAGE($E$216:E858)</f>
        <v>8.23764900600921</v>
      </c>
      <c r="L858" s="819" t="n">
        <f aca="false">L857+1</f>
        <v>643</v>
      </c>
      <c r="M858" s="820" t="n">
        <f aca="false">IF(B858&lt;$E$104,$E$105,$E$106)</f>
        <v>3</v>
      </c>
      <c r="N858" s="821" t="n">
        <f aca="false">IF(B858&lt;$E$104,$E$105,$E$111)</f>
        <v>2.5</v>
      </c>
      <c r="O858" s="822" t="n">
        <f aca="false">E858*$E$205*N858</f>
        <v>150.577417425741</v>
      </c>
      <c r="P858" s="823" t="n">
        <f aca="false">P857+O858</f>
        <v>69393.3388032472</v>
      </c>
      <c r="Q858" s="606" t="n">
        <f aca="false">Q857+1</f>
        <v>643</v>
      </c>
      <c r="R858" s="824" t="n">
        <f aca="false">R857-1</f>
        <v>-643</v>
      </c>
      <c r="S858" s="5"/>
      <c r="T858" s="5"/>
      <c r="U858" s="5"/>
      <c r="V858" s="10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02"/>
      <c r="AU858" s="502"/>
      <c r="AV858" s="606"/>
      <c r="AW858" s="502"/>
      <c r="AX858" s="502"/>
      <c r="AY858" s="502"/>
      <c r="AZ858" s="502"/>
      <c r="BA858" s="502"/>
      <c r="BB858" s="502"/>
      <c r="BC858" s="502"/>
      <c r="BD858" s="502"/>
      <c r="BE858" s="502"/>
      <c r="BF858" s="502"/>
      <c r="BG858" s="502"/>
      <c r="BH858" s="502"/>
      <c r="BI858" s="502"/>
      <c r="BJ858" s="502"/>
      <c r="BK858" s="502"/>
      <c r="BL858" s="502"/>
      <c r="BM858" s="502"/>
      <c r="BN858" s="502"/>
      <c r="BO858" s="502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  <c r="DI858" s="5"/>
      <c r="DJ858" s="5"/>
      <c r="DK858" s="5"/>
      <c r="DL858" s="5"/>
      <c r="DM858" s="5"/>
      <c r="DN858" s="5"/>
      <c r="DO858" s="5"/>
      <c r="DP858" s="5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</row>
    <row r="859" s="504" customFormat="true" ht="12.75" hidden="true" customHeight="true" outlineLevel="0" collapsed="false">
      <c r="A859" s="5"/>
      <c r="B859" s="813" t="n">
        <f aca="false">B858+1</f>
        <v>644</v>
      </c>
      <c r="C859" s="814" t="n">
        <f aca="false">C858+D859</f>
        <v>83390.8404243561</v>
      </c>
      <c r="D859" s="815" t="n">
        <f aca="false">E859*$E$205*M859</f>
        <v>180.850580910889</v>
      </c>
      <c r="E859" s="601" t="n">
        <f aca="false">E858+$C$204</f>
        <v>11.4694686016546</v>
      </c>
      <c r="F859" s="816" t="n">
        <f aca="false">F858+1</f>
        <v>644</v>
      </c>
      <c r="G859" s="775" t="n">
        <f aca="false">C859</f>
        <v>83390.8404243561</v>
      </c>
      <c r="H859" s="817" t="n">
        <f aca="false">1000*(E859-E858)</f>
        <v>9.99999999999979</v>
      </c>
      <c r="I859" s="5"/>
      <c r="J859" s="818" t="n">
        <f aca="false">1000*(E859-$E$215)/(B859-$B$215)</f>
        <v>12.443897249335</v>
      </c>
      <c r="K859" s="732" t="n">
        <f aca="false">AVERAGE($E$216:E859)</f>
        <v>8.2426673594186</v>
      </c>
      <c r="L859" s="819" t="n">
        <f aca="false">L858+1</f>
        <v>644</v>
      </c>
      <c r="M859" s="820" t="n">
        <f aca="false">IF(B859&lt;$E$104,$E$105,$E$106)</f>
        <v>3</v>
      </c>
      <c r="N859" s="821" t="n">
        <f aca="false">IF(B859&lt;$E$104,$E$105,$E$111)</f>
        <v>2.5</v>
      </c>
      <c r="O859" s="822" t="n">
        <f aca="false">E859*$E$205*N859</f>
        <v>150.708817425741</v>
      </c>
      <c r="P859" s="823" t="n">
        <f aca="false">P858+O859</f>
        <v>69544.0476206729</v>
      </c>
      <c r="Q859" s="606" t="n">
        <f aca="false">Q858+1</f>
        <v>644</v>
      </c>
      <c r="R859" s="824" t="n">
        <f aca="false">R858-1</f>
        <v>-644</v>
      </c>
      <c r="S859" s="5"/>
      <c r="T859" s="5"/>
      <c r="U859" s="5"/>
      <c r="V859" s="10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02"/>
      <c r="AU859" s="502"/>
      <c r="AV859" s="606"/>
      <c r="AW859" s="502"/>
      <c r="AX859" s="502"/>
      <c r="AY859" s="502"/>
      <c r="AZ859" s="502"/>
      <c r="BA859" s="502"/>
      <c r="BB859" s="502"/>
      <c r="BC859" s="502"/>
      <c r="BD859" s="502"/>
      <c r="BE859" s="502"/>
      <c r="BF859" s="502"/>
      <c r="BG859" s="502"/>
      <c r="BH859" s="502"/>
      <c r="BI859" s="502"/>
      <c r="BJ859" s="502"/>
      <c r="BK859" s="502"/>
      <c r="BL859" s="502"/>
      <c r="BM859" s="502"/>
      <c r="BN859" s="502"/>
      <c r="BO859" s="502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</row>
    <row r="860" s="504" customFormat="true" ht="12.75" hidden="true" customHeight="true" outlineLevel="0" collapsed="false">
      <c r="A860" s="5"/>
      <c r="B860" s="813" t="n">
        <f aca="false">B859+1</f>
        <v>645</v>
      </c>
      <c r="C860" s="814" t="n">
        <f aca="false">C859+D860</f>
        <v>83571.8486852669</v>
      </c>
      <c r="D860" s="815" t="n">
        <f aca="false">E860*$E$205*M860</f>
        <v>181.008260910889</v>
      </c>
      <c r="E860" s="601" t="n">
        <f aca="false">E859+$C$204</f>
        <v>11.4794686016546</v>
      </c>
      <c r="F860" s="816" t="n">
        <f aca="false">F859+1</f>
        <v>645</v>
      </c>
      <c r="G860" s="775" t="n">
        <f aca="false">C860</f>
        <v>83571.8486852669</v>
      </c>
      <c r="H860" s="817" t="n">
        <f aca="false">1000*(E860-E859)</f>
        <v>9.99999999999979</v>
      </c>
      <c r="I860" s="5"/>
      <c r="J860" s="818" t="n">
        <f aca="false">1000*(E860-$E$215)/(B860-$B$215)</f>
        <v>12.4401082613515</v>
      </c>
      <c r="K860" s="732" t="n">
        <f aca="false">AVERAGE($E$216:E860)</f>
        <v>8.24768565591819</v>
      </c>
      <c r="L860" s="819" t="n">
        <f aca="false">L859+1</f>
        <v>645</v>
      </c>
      <c r="M860" s="820" t="n">
        <f aca="false">IF(B860&lt;$E$104,$E$105,$E$106)</f>
        <v>3</v>
      </c>
      <c r="N860" s="821" t="n">
        <f aca="false">IF(B860&lt;$E$104,$E$105,$E$111)</f>
        <v>2.5</v>
      </c>
      <c r="O860" s="822" t="n">
        <f aca="false">E860*$E$205*N860</f>
        <v>150.840217425741</v>
      </c>
      <c r="P860" s="823" t="n">
        <f aca="false">P859+O860</f>
        <v>69694.8878380987</v>
      </c>
      <c r="Q860" s="606" t="n">
        <f aca="false">Q859+1</f>
        <v>645</v>
      </c>
      <c r="R860" s="824" t="n">
        <f aca="false">R859-1</f>
        <v>-645</v>
      </c>
      <c r="S860" s="5"/>
      <c r="T860" s="5"/>
      <c r="U860" s="5"/>
      <c r="V860" s="10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02"/>
      <c r="AU860" s="502"/>
      <c r="AV860" s="606"/>
      <c r="AW860" s="502"/>
      <c r="AX860" s="502"/>
      <c r="AY860" s="502"/>
      <c r="AZ860" s="502"/>
      <c r="BA860" s="502"/>
      <c r="BB860" s="502"/>
      <c r="BC860" s="502"/>
      <c r="BD860" s="502"/>
      <c r="BE860" s="502"/>
      <c r="BF860" s="502"/>
      <c r="BG860" s="502"/>
      <c r="BH860" s="502"/>
      <c r="BI860" s="502"/>
      <c r="BJ860" s="502"/>
      <c r="BK860" s="502"/>
      <c r="BL860" s="502"/>
      <c r="BM860" s="502"/>
      <c r="BN860" s="502"/>
      <c r="BO860" s="502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</row>
    <row r="861" s="504" customFormat="true" ht="12.75" hidden="true" customHeight="true" outlineLevel="0" collapsed="false">
      <c r="A861" s="5"/>
      <c r="B861" s="813" t="n">
        <f aca="false">B860+1</f>
        <v>646</v>
      </c>
      <c r="C861" s="814" t="n">
        <f aca="false">C860+D861</f>
        <v>83753.0146261778</v>
      </c>
      <c r="D861" s="815" t="n">
        <f aca="false">E861*$E$205*M861</f>
        <v>181.165940910889</v>
      </c>
      <c r="E861" s="601" t="n">
        <f aca="false">E860+$C$204</f>
        <v>11.4894686016546</v>
      </c>
      <c r="F861" s="816" t="n">
        <f aca="false">F860+1</f>
        <v>646</v>
      </c>
      <c r="G861" s="775" t="n">
        <f aca="false">C861</f>
        <v>83753.0146261778</v>
      </c>
      <c r="H861" s="817" t="n">
        <f aca="false">1000*(E861-E860)</f>
        <v>9.99999999999979</v>
      </c>
      <c r="I861" s="5"/>
      <c r="J861" s="818" t="n">
        <f aca="false">1000*(E861-$E$215)/(B861-$B$215)</f>
        <v>12.436331003981</v>
      </c>
      <c r="K861" s="732" t="n">
        <f aca="false">AVERAGE($E$216:E861)</f>
        <v>8.25270389577227</v>
      </c>
      <c r="L861" s="819" t="n">
        <f aca="false">L860+1</f>
        <v>646</v>
      </c>
      <c r="M861" s="820" t="n">
        <f aca="false">IF(B861&lt;$E$104,$E$105,$E$106)</f>
        <v>3</v>
      </c>
      <c r="N861" s="821" t="n">
        <f aca="false">IF(B861&lt;$E$104,$E$105,$E$111)</f>
        <v>2.5</v>
      </c>
      <c r="O861" s="822" t="n">
        <f aca="false">E861*$E$205*N861</f>
        <v>150.971617425741</v>
      </c>
      <c r="P861" s="823" t="n">
        <f aca="false">P860+O861</f>
        <v>69845.8594555244</v>
      </c>
      <c r="Q861" s="606" t="n">
        <f aca="false">Q860+1</f>
        <v>646</v>
      </c>
      <c r="R861" s="824" t="n">
        <f aca="false">R860-1</f>
        <v>-646</v>
      </c>
      <c r="S861" s="5"/>
      <c r="T861" s="5"/>
      <c r="U861" s="5"/>
      <c r="V861" s="10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02"/>
      <c r="AU861" s="502"/>
      <c r="AV861" s="606"/>
      <c r="AW861" s="502"/>
      <c r="AX861" s="502"/>
      <c r="AY861" s="502"/>
      <c r="AZ861" s="502"/>
      <c r="BA861" s="502"/>
      <c r="BB861" s="502"/>
      <c r="BC861" s="502"/>
      <c r="BD861" s="502"/>
      <c r="BE861" s="502"/>
      <c r="BF861" s="502"/>
      <c r="BG861" s="502"/>
      <c r="BH861" s="502"/>
      <c r="BI861" s="502"/>
      <c r="BJ861" s="502"/>
      <c r="BK861" s="502"/>
      <c r="BL861" s="502"/>
      <c r="BM861" s="502"/>
      <c r="BN861" s="502"/>
      <c r="BO861" s="502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</row>
    <row r="862" s="504" customFormat="true" ht="12.75" hidden="true" customHeight="true" outlineLevel="0" collapsed="false">
      <c r="A862" s="5"/>
      <c r="B862" s="813" t="n">
        <f aca="false">B861+1</f>
        <v>647</v>
      </c>
      <c r="C862" s="814" t="n">
        <f aca="false">C861+D862</f>
        <v>83934.3382470887</v>
      </c>
      <c r="D862" s="815" t="n">
        <f aca="false">E862*$E$205*M862</f>
        <v>181.323620910889</v>
      </c>
      <c r="E862" s="601" t="n">
        <f aca="false">E861+$C$204</f>
        <v>11.4994686016546</v>
      </c>
      <c r="F862" s="816" t="n">
        <f aca="false">F861+1</f>
        <v>647</v>
      </c>
      <c r="G862" s="775" t="n">
        <f aca="false">C862</f>
        <v>83934.3382470887</v>
      </c>
      <c r="H862" s="817" t="n">
        <f aca="false">1000*(E862-E861)</f>
        <v>9.99999999999979</v>
      </c>
      <c r="I862" s="5"/>
      <c r="J862" s="818" t="n">
        <f aca="false">1000*(E862-$E$215)/(B862-$B$215)</f>
        <v>12.4325654228311</v>
      </c>
      <c r="K862" s="732" t="n">
        <f aca="false">AVERAGE($E$216:E862)</f>
        <v>8.25772207924349</v>
      </c>
      <c r="L862" s="819" t="n">
        <f aca="false">L861+1</f>
        <v>647</v>
      </c>
      <c r="M862" s="820" t="n">
        <f aca="false">IF(B862&lt;$E$104,$E$105,$E$106)</f>
        <v>3</v>
      </c>
      <c r="N862" s="821" t="n">
        <f aca="false">IF(B862&lt;$E$104,$E$105,$E$111)</f>
        <v>2.5</v>
      </c>
      <c r="O862" s="822" t="n">
        <f aca="false">E862*$E$205*N862</f>
        <v>151.103017425741</v>
      </c>
      <c r="P862" s="823" t="n">
        <f aca="false">P861+O862</f>
        <v>69996.9624729501</v>
      </c>
      <c r="Q862" s="606" t="n">
        <f aca="false">Q861+1</f>
        <v>647</v>
      </c>
      <c r="R862" s="824" t="n">
        <f aca="false">R861-1</f>
        <v>-647</v>
      </c>
      <c r="S862" s="5"/>
      <c r="T862" s="5"/>
      <c r="U862" s="5"/>
      <c r="V862" s="10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02"/>
      <c r="AU862" s="502"/>
      <c r="AV862" s="606"/>
      <c r="AW862" s="502"/>
      <c r="AX862" s="502"/>
      <c r="AY862" s="502"/>
      <c r="AZ862" s="502"/>
      <c r="BA862" s="502"/>
      <c r="BB862" s="502"/>
      <c r="BC862" s="502"/>
      <c r="BD862" s="502"/>
      <c r="BE862" s="502"/>
      <c r="BF862" s="502"/>
      <c r="BG862" s="502"/>
      <c r="BH862" s="502"/>
      <c r="BI862" s="502"/>
      <c r="BJ862" s="502"/>
      <c r="BK862" s="502"/>
      <c r="BL862" s="502"/>
      <c r="BM862" s="502"/>
      <c r="BN862" s="502"/>
      <c r="BO862" s="502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</row>
    <row r="863" s="504" customFormat="true" ht="12.75" hidden="true" customHeight="true" outlineLevel="0" collapsed="false">
      <c r="A863" s="5"/>
      <c r="B863" s="813" t="n">
        <f aca="false">B862+1</f>
        <v>648</v>
      </c>
      <c r="C863" s="814" t="n">
        <f aca="false">C862+D863</f>
        <v>84115.8195479996</v>
      </c>
      <c r="D863" s="815" t="n">
        <f aca="false">E863*$E$205*M863</f>
        <v>181.481300910889</v>
      </c>
      <c r="E863" s="601" t="n">
        <f aca="false">E862+$C$204</f>
        <v>11.5094686016546</v>
      </c>
      <c r="F863" s="816" t="n">
        <f aca="false">F862+1</f>
        <v>648</v>
      </c>
      <c r="G863" s="775" t="n">
        <f aca="false">C863</f>
        <v>84115.8195479996</v>
      </c>
      <c r="H863" s="817" t="n">
        <f aca="false">1000*(E863-E862)</f>
        <v>9.99999999999979</v>
      </c>
      <c r="I863" s="5"/>
      <c r="J863" s="818" t="n">
        <f aca="false">1000*(E863-$E$215)/(B863-$B$215)</f>
        <v>12.4288114638452</v>
      </c>
      <c r="K863" s="732" t="n">
        <f aca="false">AVERAGE($E$216:E863)</f>
        <v>8.26274020659289</v>
      </c>
      <c r="L863" s="819" t="n">
        <f aca="false">L862+1</f>
        <v>648</v>
      </c>
      <c r="M863" s="820" t="n">
        <f aca="false">IF(B863&lt;$E$104,$E$105,$E$106)</f>
        <v>3</v>
      </c>
      <c r="N863" s="821" t="n">
        <f aca="false">IF(B863&lt;$E$104,$E$105,$E$111)</f>
        <v>2.5</v>
      </c>
      <c r="O863" s="822" t="n">
        <f aca="false">E863*$E$205*N863</f>
        <v>151.234417425741</v>
      </c>
      <c r="P863" s="823" t="n">
        <f aca="false">P862+O863</f>
        <v>70148.1968903759</v>
      </c>
      <c r="Q863" s="606" t="n">
        <f aca="false">Q862+1</f>
        <v>648</v>
      </c>
      <c r="R863" s="824" t="n">
        <f aca="false">R862-1</f>
        <v>-648</v>
      </c>
      <c r="S863" s="5"/>
      <c r="T863" s="5"/>
      <c r="U863" s="5"/>
      <c r="V863" s="10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02"/>
      <c r="AU863" s="502"/>
      <c r="AV863" s="606"/>
      <c r="AW863" s="502"/>
      <c r="AX863" s="502"/>
      <c r="AY863" s="502"/>
      <c r="AZ863" s="502"/>
      <c r="BA863" s="502"/>
      <c r="BB863" s="502"/>
      <c r="BC863" s="502"/>
      <c r="BD863" s="502"/>
      <c r="BE863" s="502"/>
      <c r="BF863" s="502"/>
      <c r="BG863" s="502"/>
      <c r="BH863" s="502"/>
      <c r="BI863" s="502"/>
      <c r="BJ863" s="502"/>
      <c r="BK863" s="502"/>
      <c r="BL863" s="502"/>
      <c r="BM863" s="502"/>
      <c r="BN863" s="502"/>
      <c r="BO863" s="502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</row>
    <row r="864" s="504" customFormat="true" ht="12.75" hidden="true" customHeight="true" outlineLevel="0" collapsed="false">
      <c r="A864" s="5"/>
      <c r="B864" s="813" t="n">
        <f aca="false">B863+1</f>
        <v>649</v>
      </c>
      <c r="C864" s="814" t="n">
        <f aca="false">C863+D864</f>
        <v>84297.4585289105</v>
      </c>
      <c r="D864" s="815" t="n">
        <f aca="false">E864*$E$205*M864</f>
        <v>181.638980910889</v>
      </c>
      <c r="E864" s="601" t="n">
        <f aca="false">E863+$C$204</f>
        <v>11.5194686016546</v>
      </c>
      <c r="F864" s="816" t="n">
        <f aca="false">F863+1</f>
        <v>649</v>
      </c>
      <c r="G864" s="775" t="n">
        <f aca="false">C864</f>
        <v>84297.4585289105</v>
      </c>
      <c r="H864" s="817" t="n">
        <f aca="false">1000*(E864-E863)</f>
        <v>9.99999999999979</v>
      </c>
      <c r="I864" s="5"/>
      <c r="J864" s="818" t="n">
        <f aca="false">1000*(E864-$E$215)/(B864-$B$215)</f>
        <v>12.4250690733</v>
      </c>
      <c r="K864" s="732" t="n">
        <f aca="false">AVERAGE($E$216:E864)</f>
        <v>8.26775827807989</v>
      </c>
      <c r="L864" s="819" t="n">
        <f aca="false">L863+1</f>
        <v>649</v>
      </c>
      <c r="M864" s="820" t="n">
        <f aca="false">IF(B864&lt;$E$104,$E$105,$E$106)</f>
        <v>3</v>
      </c>
      <c r="N864" s="821" t="n">
        <f aca="false">IF(B864&lt;$E$104,$E$105,$E$111)</f>
        <v>2.5</v>
      </c>
      <c r="O864" s="822" t="n">
        <f aca="false">E864*$E$205*N864</f>
        <v>151.365817425741</v>
      </c>
      <c r="P864" s="823" t="n">
        <f aca="false">P863+O864</f>
        <v>70299.5627078016</v>
      </c>
      <c r="Q864" s="606" t="n">
        <f aca="false">Q863+1</f>
        <v>649</v>
      </c>
      <c r="R864" s="824" t="n">
        <f aca="false">R863-1</f>
        <v>-649</v>
      </c>
      <c r="S864" s="5"/>
      <c r="T864" s="5"/>
      <c r="U864" s="5"/>
      <c r="V864" s="10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02"/>
      <c r="AU864" s="502"/>
      <c r="AV864" s="606"/>
      <c r="AW864" s="502"/>
      <c r="AX864" s="502"/>
      <c r="AY864" s="502"/>
      <c r="AZ864" s="502"/>
      <c r="BA864" s="502"/>
      <c r="BB864" s="502"/>
      <c r="BC864" s="502"/>
      <c r="BD864" s="502"/>
      <c r="BE864" s="502"/>
      <c r="BF864" s="502"/>
      <c r="BG864" s="502"/>
      <c r="BH864" s="502"/>
      <c r="BI864" s="502"/>
      <c r="BJ864" s="502"/>
      <c r="BK864" s="502"/>
      <c r="BL864" s="502"/>
      <c r="BM864" s="502"/>
      <c r="BN864" s="502"/>
      <c r="BO864" s="502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  <c r="DI864" s="5"/>
      <c r="DJ864" s="5"/>
      <c r="DK864" s="5"/>
      <c r="DL864" s="5"/>
      <c r="DM864" s="5"/>
      <c r="DN864" s="5"/>
      <c r="DO864" s="5"/>
      <c r="DP864" s="5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</row>
    <row r="865" s="504" customFormat="true" ht="12.75" hidden="true" customHeight="true" outlineLevel="0" collapsed="false">
      <c r="A865" s="5"/>
      <c r="B865" s="813" t="n">
        <f aca="false">B864+1</f>
        <v>650</v>
      </c>
      <c r="C865" s="814" t="n">
        <f aca="false">C864+D865</f>
        <v>84479.2551898214</v>
      </c>
      <c r="D865" s="815" t="n">
        <f aca="false">E865*$E$205*M865</f>
        <v>181.796660910889</v>
      </c>
      <c r="E865" s="601" t="n">
        <f aca="false">E864+$C$204</f>
        <v>11.5294686016546</v>
      </c>
      <c r="F865" s="816" t="n">
        <f aca="false">F864+1</f>
        <v>650</v>
      </c>
      <c r="G865" s="775" t="n">
        <f aca="false">C865</f>
        <v>84479.2551898214</v>
      </c>
      <c r="H865" s="817" t="n">
        <f aca="false">1000*(E865-E864)</f>
        <v>9.99999999999979</v>
      </c>
      <c r="I865" s="5"/>
      <c r="J865" s="818" t="n">
        <f aca="false">1000*(E865-$E$215)/(B865-$B$215)</f>
        <v>12.4213381978026</v>
      </c>
      <c r="K865" s="732" t="n">
        <f aca="false">AVERAGE($E$216:E865)</f>
        <v>8.27277629396231</v>
      </c>
      <c r="L865" s="819" t="n">
        <f aca="false">L864+1</f>
        <v>650</v>
      </c>
      <c r="M865" s="820" t="n">
        <f aca="false">IF(B865&lt;$E$104,$E$105,$E$106)</f>
        <v>3</v>
      </c>
      <c r="N865" s="821" t="n">
        <f aca="false">IF(B865&lt;$E$104,$E$105,$E$111)</f>
        <v>2.5</v>
      </c>
      <c r="O865" s="822" t="n">
        <f aca="false">E865*$E$205*N865</f>
        <v>151.497217425741</v>
      </c>
      <c r="P865" s="823" t="n">
        <f aca="false">P864+O865</f>
        <v>70451.0599252274</v>
      </c>
      <c r="Q865" s="606" t="n">
        <f aca="false">Q864+1</f>
        <v>650</v>
      </c>
      <c r="R865" s="824" t="n">
        <f aca="false">R864-1</f>
        <v>-650</v>
      </c>
      <c r="S865" s="5"/>
      <c r="T865" s="5"/>
      <c r="U865" s="5"/>
      <c r="V865" s="10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02"/>
      <c r="AU865" s="502"/>
      <c r="AV865" s="606"/>
      <c r="AW865" s="502"/>
      <c r="AX865" s="502"/>
      <c r="AY865" s="502"/>
      <c r="AZ865" s="502"/>
      <c r="BA865" s="502"/>
      <c r="BB865" s="502"/>
      <c r="BC865" s="502"/>
      <c r="BD865" s="502"/>
      <c r="BE865" s="502"/>
      <c r="BF865" s="502"/>
      <c r="BG865" s="502"/>
      <c r="BH865" s="502"/>
      <c r="BI865" s="502"/>
      <c r="BJ865" s="502"/>
      <c r="BK865" s="502"/>
      <c r="BL865" s="502"/>
      <c r="BM865" s="502"/>
      <c r="BN865" s="502"/>
      <c r="BO865" s="502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</row>
    <row r="866" s="504" customFormat="true" ht="12.75" hidden="true" customHeight="true" outlineLevel="0" collapsed="false">
      <c r="A866" s="5"/>
      <c r="B866" s="813" t="n">
        <f aca="false">B865+1</f>
        <v>651</v>
      </c>
      <c r="C866" s="814" t="n">
        <f aca="false">C865+D866</f>
        <v>84661.2095307323</v>
      </c>
      <c r="D866" s="815" t="n">
        <f aca="false">E866*$E$205*M866</f>
        <v>181.954340910889</v>
      </c>
      <c r="E866" s="601" t="n">
        <f aca="false">E865+$C$204</f>
        <v>11.5394686016546</v>
      </c>
      <c r="F866" s="816" t="n">
        <f aca="false">F865+1</f>
        <v>651</v>
      </c>
      <c r="G866" s="775" t="n">
        <f aca="false">C866</f>
        <v>84661.2095307323</v>
      </c>
      <c r="H866" s="817" t="n">
        <f aca="false">1000*(E866-E865)</f>
        <v>9.99999999999979</v>
      </c>
      <c r="I866" s="5"/>
      <c r="J866" s="818" t="n">
        <f aca="false">1000*(E866-$E$215)/(B866-$B$215)</f>
        <v>12.4176187842883</v>
      </c>
      <c r="K866" s="732" t="n">
        <f aca="false">AVERAGE($E$216:E866)</f>
        <v>8.2777942544964</v>
      </c>
      <c r="L866" s="819" t="n">
        <f aca="false">L865+1</f>
        <v>651</v>
      </c>
      <c r="M866" s="820" t="n">
        <f aca="false">IF(B866&lt;$E$104,$E$105,$E$106)</f>
        <v>3</v>
      </c>
      <c r="N866" s="821" t="n">
        <f aca="false">IF(B866&lt;$E$104,$E$105,$E$111)</f>
        <v>2.5</v>
      </c>
      <c r="O866" s="822" t="n">
        <f aca="false">E866*$E$205*N866</f>
        <v>151.628617425741</v>
      </c>
      <c r="P866" s="823" t="n">
        <f aca="false">P865+O866</f>
        <v>70602.6885426531</v>
      </c>
      <c r="Q866" s="606" t="n">
        <f aca="false">Q865+1</f>
        <v>651</v>
      </c>
      <c r="R866" s="824" t="n">
        <f aca="false">R865-1</f>
        <v>-651</v>
      </c>
      <c r="S866" s="5"/>
      <c r="T866" s="5"/>
      <c r="U866" s="5"/>
      <c r="V866" s="10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02"/>
      <c r="AU866" s="502"/>
      <c r="AV866" s="606"/>
      <c r="AW866" s="502"/>
      <c r="AX866" s="502"/>
      <c r="AY866" s="502"/>
      <c r="AZ866" s="502"/>
      <c r="BA866" s="502"/>
      <c r="BB866" s="502"/>
      <c r="BC866" s="502"/>
      <c r="BD866" s="502"/>
      <c r="BE866" s="502"/>
      <c r="BF866" s="502"/>
      <c r="BG866" s="502"/>
      <c r="BH866" s="502"/>
      <c r="BI866" s="502"/>
      <c r="BJ866" s="502"/>
      <c r="BK866" s="502"/>
      <c r="BL866" s="502"/>
      <c r="BM866" s="502"/>
      <c r="BN866" s="502"/>
      <c r="BO866" s="502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  <c r="DI866" s="5"/>
      <c r="DJ866" s="5"/>
      <c r="DK866" s="5"/>
      <c r="DL866" s="5"/>
      <c r="DM866" s="5"/>
      <c r="DN866" s="5"/>
      <c r="DO866" s="5"/>
      <c r="DP866" s="5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</row>
    <row r="867" s="504" customFormat="true" ht="12.75" hidden="true" customHeight="true" outlineLevel="0" collapsed="false">
      <c r="A867" s="5"/>
      <c r="B867" s="813" t="n">
        <f aca="false">B866+1</f>
        <v>652</v>
      </c>
      <c r="C867" s="814" t="n">
        <f aca="false">C866+D867</f>
        <v>84843.3215516432</v>
      </c>
      <c r="D867" s="815" t="n">
        <f aca="false">E867*$E$205*M867</f>
        <v>182.112020910889</v>
      </c>
      <c r="E867" s="601" t="n">
        <f aca="false">E866+$C$204</f>
        <v>11.5494686016546</v>
      </c>
      <c r="F867" s="816" t="n">
        <f aca="false">F866+1</f>
        <v>652</v>
      </c>
      <c r="G867" s="775" t="n">
        <f aca="false">C867</f>
        <v>84843.3215516432</v>
      </c>
      <c r="H867" s="817" t="n">
        <f aca="false">1000*(E867-E866)</f>
        <v>9.99999999999979</v>
      </c>
      <c r="I867" s="5"/>
      <c r="J867" s="818" t="n">
        <f aca="false">1000*(E867-$E$215)/(B867-$B$215)</f>
        <v>12.413910780018</v>
      </c>
      <c r="K867" s="732" t="n">
        <f aca="false">AVERAGE($E$216:E867)</f>
        <v>8.28281215993683</v>
      </c>
      <c r="L867" s="819" t="n">
        <f aca="false">L866+1</f>
        <v>652</v>
      </c>
      <c r="M867" s="820" t="n">
        <f aca="false">IF(B867&lt;$E$104,$E$105,$E$106)</f>
        <v>3</v>
      </c>
      <c r="N867" s="821" t="n">
        <f aca="false">IF(B867&lt;$E$104,$E$105,$E$111)</f>
        <v>2.5</v>
      </c>
      <c r="O867" s="822" t="n">
        <f aca="false">E867*$E$205*N867</f>
        <v>151.760017425741</v>
      </c>
      <c r="P867" s="823" t="n">
        <f aca="false">P866+O867</f>
        <v>70754.4485600789</v>
      </c>
      <c r="Q867" s="606" t="n">
        <f aca="false">Q866+1</f>
        <v>652</v>
      </c>
      <c r="R867" s="824" t="n">
        <f aca="false">R866-1</f>
        <v>-652</v>
      </c>
      <c r="S867" s="5"/>
      <c r="T867" s="5"/>
      <c r="U867" s="5"/>
      <c r="V867" s="10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02"/>
      <c r="AU867" s="502"/>
      <c r="AV867" s="606"/>
      <c r="AW867" s="502"/>
      <c r="AX867" s="502"/>
      <c r="AY867" s="502"/>
      <c r="AZ867" s="502"/>
      <c r="BA867" s="502"/>
      <c r="BB867" s="502"/>
      <c r="BC867" s="502"/>
      <c r="BD867" s="502"/>
      <c r="BE867" s="502"/>
      <c r="BF867" s="502"/>
      <c r="BG867" s="502"/>
      <c r="BH867" s="502"/>
      <c r="BI867" s="502"/>
      <c r="BJ867" s="502"/>
      <c r="BK867" s="502"/>
      <c r="BL867" s="502"/>
      <c r="BM867" s="502"/>
      <c r="BN867" s="502"/>
      <c r="BO867" s="502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</row>
    <row r="868" s="504" customFormat="true" ht="12.75" hidden="true" customHeight="true" outlineLevel="0" collapsed="false">
      <c r="A868" s="5"/>
      <c r="B868" s="813" t="n">
        <f aca="false">B867+1</f>
        <v>653</v>
      </c>
      <c r="C868" s="814" t="n">
        <f aca="false">C867+D868</f>
        <v>85025.5912525541</v>
      </c>
      <c r="D868" s="815" t="n">
        <f aca="false">E868*$E$205*M868</f>
        <v>182.269700910889</v>
      </c>
      <c r="E868" s="601" t="n">
        <f aca="false">E867+$C$204</f>
        <v>11.5594686016546</v>
      </c>
      <c r="F868" s="816" t="n">
        <f aca="false">F867+1</f>
        <v>653</v>
      </c>
      <c r="G868" s="775" t="n">
        <f aca="false">C868</f>
        <v>85025.5912525541</v>
      </c>
      <c r="H868" s="817" t="n">
        <f aca="false">1000*(E868-E867)</f>
        <v>9.99999999999979</v>
      </c>
      <c r="I868" s="5"/>
      <c r="J868" s="818" t="n">
        <f aca="false">1000*(E868-$E$215)/(B868-$B$215)</f>
        <v>12.4102141325754</v>
      </c>
      <c r="K868" s="732" t="n">
        <f aca="false">AVERAGE($E$216:E868)</f>
        <v>8.2878300105367</v>
      </c>
      <c r="L868" s="819" t="n">
        <f aca="false">L867+1</f>
        <v>653</v>
      </c>
      <c r="M868" s="820" t="n">
        <f aca="false">IF(B868&lt;$E$104,$E$105,$E$106)</f>
        <v>3</v>
      </c>
      <c r="N868" s="821" t="n">
        <f aca="false">IF(B868&lt;$E$104,$E$105,$E$111)</f>
        <v>2.5</v>
      </c>
      <c r="O868" s="822" t="n">
        <f aca="false">E868*$E$205*N868</f>
        <v>151.891417425741</v>
      </c>
      <c r="P868" s="823" t="n">
        <f aca="false">P867+O868</f>
        <v>70906.3399775046</v>
      </c>
      <c r="Q868" s="606" t="n">
        <f aca="false">Q867+1</f>
        <v>653</v>
      </c>
      <c r="R868" s="824" t="n">
        <f aca="false">R867-1</f>
        <v>-653</v>
      </c>
      <c r="S868" s="5"/>
      <c r="T868" s="5"/>
      <c r="U868" s="5"/>
      <c r="V868" s="10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02"/>
      <c r="AU868" s="502"/>
      <c r="AV868" s="606"/>
      <c r="AW868" s="502"/>
      <c r="AX868" s="502"/>
      <c r="AY868" s="502"/>
      <c r="AZ868" s="502"/>
      <c r="BA868" s="502"/>
      <c r="BB868" s="502"/>
      <c r="BC868" s="502"/>
      <c r="BD868" s="502"/>
      <c r="BE868" s="502"/>
      <c r="BF868" s="502"/>
      <c r="BG868" s="502"/>
      <c r="BH868" s="502"/>
      <c r="BI868" s="502"/>
      <c r="BJ868" s="502"/>
      <c r="BK868" s="502"/>
      <c r="BL868" s="502"/>
      <c r="BM868" s="502"/>
      <c r="BN868" s="502"/>
      <c r="BO868" s="502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  <c r="DI868" s="5"/>
      <c r="DJ868" s="5"/>
      <c r="DK868" s="5"/>
      <c r="DL868" s="5"/>
      <c r="DM868" s="5"/>
      <c r="DN868" s="5"/>
      <c r="DO868" s="5"/>
      <c r="DP868" s="5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</row>
    <row r="869" s="504" customFormat="true" ht="12.75" hidden="true" customHeight="true" outlineLevel="0" collapsed="false">
      <c r="A869" s="5"/>
      <c r="B869" s="813" t="n">
        <f aca="false">B868+1</f>
        <v>654</v>
      </c>
      <c r="C869" s="814" t="n">
        <f aca="false">C868+D869</f>
        <v>85208.018633465</v>
      </c>
      <c r="D869" s="815" t="n">
        <f aca="false">E869*$E$205*M869</f>
        <v>182.427380910889</v>
      </c>
      <c r="E869" s="601" t="n">
        <f aca="false">E868+$C$204</f>
        <v>11.5694686016546</v>
      </c>
      <c r="F869" s="816" t="n">
        <f aca="false">F868+1</f>
        <v>654</v>
      </c>
      <c r="G869" s="775" t="n">
        <f aca="false">C869</f>
        <v>85208.018633465</v>
      </c>
      <c r="H869" s="817" t="n">
        <f aca="false">1000*(E869-E868)</f>
        <v>9.99999999999979</v>
      </c>
      <c r="I869" s="5"/>
      <c r="J869" s="818" t="n">
        <f aca="false">1000*(E869-$E$215)/(B869-$B$215)</f>
        <v>12.406528789865</v>
      </c>
      <c r="K869" s="732" t="n">
        <f aca="false">AVERAGE($E$216:E869)</f>
        <v>8.29284780654759</v>
      </c>
      <c r="L869" s="819" t="n">
        <f aca="false">L868+1</f>
        <v>654</v>
      </c>
      <c r="M869" s="820" t="n">
        <f aca="false">IF(B869&lt;$E$104,$E$105,$E$106)</f>
        <v>3</v>
      </c>
      <c r="N869" s="821" t="n">
        <f aca="false">IF(B869&lt;$E$104,$E$105,$E$111)</f>
        <v>2.5</v>
      </c>
      <c r="O869" s="822" t="n">
        <f aca="false">E869*$E$205*N869</f>
        <v>152.022817425741</v>
      </c>
      <c r="P869" s="823" t="n">
        <f aca="false">P868+O869</f>
        <v>71058.3627949303</v>
      </c>
      <c r="Q869" s="606" t="n">
        <f aca="false">Q868+1</f>
        <v>654</v>
      </c>
      <c r="R869" s="824" t="n">
        <f aca="false">R868-1</f>
        <v>-654</v>
      </c>
      <c r="S869" s="5"/>
      <c r="T869" s="5"/>
      <c r="U869" s="5"/>
      <c r="V869" s="10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02"/>
      <c r="AU869" s="502"/>
      <c r="AV869" s="606"/>
      <c r="AW869" s="502"/>
      <c r="AX869" s="502"/>
      <c r="AY869" s="502"/>
      <c r="AZ869" s="502"/>
      <c r="BA869" s="502"/>
      <c r="BB869" s="502"/>
      <c r="BC869" s="502"/>
      <c r="BD869" s="502"/>
      <c r="BE869" s="502"/>
      <c r="BF869" s="502"/>
      <c r="BG869" s="502"/>
      <c r="BH869" s="502"/>
      <c r="BI869" s="502"/>
      <c r="BJ869" s="502"/>
      <c r="BK869" s="502"/>
      <c r="BL869" s="502"/>
      <c r="BM869" s="502"/>
      <c r="BN869" s="502"/>
      <c r="BO869" s="502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</row>
    <row r="870" s="504" customFormat="true" ht="12.75" hidden="true" customHeight="true" outlineLevel="0" collapsed="false">
      <c r="A870" s="5"/>
      <c r="B870" s="813" t="n">
        <f aca="false">B869+1</f>
        <v>655</v>
      </c>
      <c r="C870" s="814" t="n">
        <f aca="false">C869+D870</f>
        <v>85390.6036943758</v>
      </c>
      <c r="D870" s="815" t="n">
        <f aca="false">E870*$E$205*M870</f>
        <v>182.585060910889</v>
      </c>
      <c r="E870" s="601" t="n">
        <f aca="false">E869+$C$204</f>
        <v>11.5794686016546</v>
      </c>
      <c r="F870" s="816" t="n">
        <f aca="false">F869+1</f>
        <v>655</v>
      </c>
      <c r="G870" s="775" t="n">
        <f aca="false">C870</f>
        <v>85390.6036943758</v>
      </c>
      <c r="H870" s="817" t="n">
        <f aca="false">1000*(E870-E869)</f>
        <v>9.99999999999979</v>
      </c>
      <c r="I870" s="5"/>
      <c r="J870" s="818" t="n">
        <f aca="false">1000*(E870-$E$215)/(B870-$B$215)</f>
        <v>12.4028547001095</v>
      </c>
      <c r="K870" s="732" t="n">
        <f aca="false">AVERAGE($E$216:E870)</f>
        <v>8.29786554821951</v>
      </c>
      <c r="L870" s="819" t="n">
        <f aca="false">L869+1</f>
        <v>655</v>
      </c>
      <c r="M870" s="820" t="n">
        <f aca="false">IF(B870&lt;$E$104,$E$105,$E$106)</f>
        <v>3</v>
      </c>
      <c r="N870" s="821" t="n">
        <f aca="false">IF(B870&lt;$E$104,$E$105,$E$111)</f>
        <v>2.5</v>
      </c>
      <c r="O870" s="822" t="n">
        <f aca="false">E870*$E$205*N870</f>
        <v>152.154217425741</v>
      </c>
      <c r="P870" s="823" t="n">
        <f aca="false">P869+O870</f>
        <v>71210.5170123561</v>
      </c>
      <c r="Q870" s="606" t="n">
        <f aca="false">Q869+1</f>
        <v>655</v>
      </c>
      <c r="R870" s="824" t="n">
        <f aca="false">R869-1</f>
        <v>-655</v>
      </c>
      <c r="S870" s="5"/>
      <c r="T870" s="5"/>
      <c r="U870" s="5"/>
      <c r="V870" s="10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02"/>
      <c r="AU870" s="502"/>
      <c r="AV870" s="606"/>
      <c r="AW870" s="502"/>
      <c r="AX870" s="502"/>
      <c r="AY870" s="502"/>
      <c r="AZ870" s="502"/>
      <c r="BA870" s="502"/>
      <c r="BB870" s="502"/>
      <c r="BC870" s="502"/>
      <c r="BD870" s="502"/>
      <c r="BE870" s="502"/>
      <c r="BF870" s="502"/>
      <c r="BG870" s="502"/>
      <c r="BH870" s="502"/>
      <c r="BI870" s="502"/>
      <c r="BJ870" s="502"/>
      <c r="BK870" s="502"/>
      <c r="BL870" s="502"/>
      <c r="BM870" s="502"/>
      <c r="BN870" s="502"/>
      <c r="BO870" s="502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  <c r="DI870" s="5"/>
      <c r="DJ870" s="5"/>
      <c r="DK870" s="5"/>
      <c r="DL870" s="5"/>
      <c r="DM870" s="5"/>
      <c r="DN870" s="5"/>
      <c r="DO870" s="5"/>
      <c r="DP870" s="5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</row>
    <row r="871" s="504" customFormat="true" ht="12.75" hidden="true" customHeight="true" outlineLevel="0" collapsed="false">
      <c r="A871" s="5"/>
      <c r="B871" s="813" t="n">
        <f aca="false">B870+1</f>
        <v>656</v>
      </c>
      <c r="C871" s="814" t="n">
        <f aca="false">C870+D871</f>
        <v>85573.3464352867</v>
      </c>
      <c r="D871" s="815" t="n">
        <f aca="false">E871*$E$205*M871</f>
        <v>182.742740910889</v>
      </c>
      <c r="E871" s="601" t="n">
        <f aca="false">E870+$C$204</f>
        <v>11.5894686016546</v>
      </c>
      <c r="F871" s="816" t="n">
        <f aca="false">F870+1</f>
        <v>656</v>
      </c>
      <c r="G871" s="775" t="n">
        <f aca="false">C871</f>
        <v>85573.3464352867</v>
      </c>
      <c r="H871" s="817" t="n">
        <f aca="false">1000*(E871-E870)</f>
        <v>9.99999999999979</v>
      </c>
      <c r="I871" s="5"/>
      <c r="J871" s="818" t="n">
        <f aca="false">1000*(E871-$E$215)/(B871-$B$215)</f>
        <v>12.3991918118471</v>
      </c>
      <c r="K871" s="732" t="n">
        <f aca="false">AVERAGE($E$216:E871)</f>
        <v>8.30288323580096</v>
      </c>
      <c r="L871" s="819" t="n">
        <f aca="false">L870+1</f>
        <v>656</v>
      </c>
      <c r="M871" s="820" t="n">
        <f aca="false">IF(B871&lt;$E$104,$E$105,$E$106)</f>
        <v>3</v>
      </c>
      <c r="N871" s="821" t="n">
        <f aca="false">IF(B871&lt;$E$104,$E$105,$E$111)</f>
        <v>2.5</v>
      </c>
      <c r="O871" s="822" t="n">
        <f aca="false">E871*$E$205*N871</f>
        <v>152.285617425741</v>
      </c>
      <c r="P871" s="823" t="n">
        <f aca="false">P870+O871</f>
        <v>71362.8026297818</v>
      </c>
      <c r="Q871" s="606" t="n">
        <f aca="false">Q870+1</f>
        <v>656</v>
      </c>
      <c r="R871" s="824" t="n">
        <f aca="false">R870-1</f>
        <v>-656</v>
      </c>
      <c r="S871" s="5"/>
      <c r="T871" s="5"/>
      <c r="U871" s="5"/>
      <c r="V871" s="10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02"/>
      <c r="AU871" s="502"/>
      <c r="AV871" s="606"/>
      <c r="AW871" s="502"/>
      <c r="AX871" s="502"/>
      <c r="AY871" s="502"/>
      <c r="AZ871" s="502"/>
      <c r="BA871" s="502"/>
      <c r="BB871" s="502"/>
      <c r="BC871" s="502"/>
      <c r="BD871" s="502"/>
      <c r="BE871" s="502"/>
      <c r="BF871" s="502"/>
      <c r="BG871" s="502"/>
      <c r="BH871" s="502"/>
      <c r="BI871" s="502"/>
      <c r="BJ871" s="502"/>
      <c r="BK871" s="502"/>
      <c r="BL871" s="502"/>
      <c r="BM871" s="502"/>
      <c r="BN871" s="502"/>
      <c r="BO871" s="502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  <c r="DI871" s="5"/>
      <c r="DJ871" s="5"/>
      <c r="DK871" s="5"/>
      <c r="DL871" s="5"/>
      <c r="DM871" s="5"/>
      <c r="DN871" s="5"/>
      <c r="DO871" s="5"/>
      <c r="DP871" s="5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</row>
    <row r="872" s="504" customFormat="true" ht="12.75" hidden="true" customHeight="true" outlineLevel="0" collapsed="false">
      <c r="A872" s="5"/>
      <c r="B872" s="813" t="n">
        <f aca="false">B871+1</f>
        <v>657</v>
      </c>
      <c r="C872" s="814" t="n">
        <f aca="false">C871+D872</f>
        <v>85756.2468561976</v>
      </c>
      <c r="D872" s="815" t="n">
        <f aca="false">E872*$E$205*M872</f>
        <v>182.900420910889</v>
      </c>
      <c r="E872" s="601" t="n">
        <f aca="false">E871+$C$204</f>
        <v>11.5994686016546</v>
      </c>
      <c r="F872" s="816" t="n">
        <f aca="false">F871+1</f>
        <v>657</v>
      </c>
      <c r="G872" s="775" t="n">
        <f aca="false">C872</f>
        <v>85756.2468561976</v>
      </c>
      <c r="H872" s="817" t="n">
        <f aca="false">1000*(E872-E871)</f>
        <v>9.99999999999979</v>
      </c>
      <c r="I872" s="5"/>
      <c r="J872" s="818" t="n">
        <f aca="false">1000*(E872-$E$215)/(B872-$B$215)</f>
        <v>12.3955400739295</v>
      </c>
      <c r="K872" s="732" t="n">
        <f aca="false">AVERAGE($E$216:E872)</f>
        <v>8.30790086953894</v>
      </c>
      <c r="L872" s="819" t="n">
        <f aca="false">L871+1</f>
        <v>657</v>
      </c>
      <c r="M872" s="820" t="n">
        <f aca="false">IF(B872&lt;$E$104,$E$105,$E$106)</f>
        <v>3</v>
      </c>
      <c r="N872" s="821" t="n">
        <f aca="false">IF(B872&lt;$E$104,$E$105,$E$111)</f>
        <v>2.5</v>
      </c>
      <c r="O872" s="822" t="n">
        <f aca="false">E872*$E$205*N872</f>
        <v>152.417017425741</v>
      </c>
      <c r="P872" s="823" t="n">
        <f aca="false">P871+O872</f>
        <v>71515.2196472075</v>
      </c>
      <c r="Q872" s="606" t="n">
        <f aca="false">Q871+1</f>
        <v>657</v>
      </c>
      <c r="R872" s="824" t="n">
        <f aca="false">R871-1</f>
        <v>-657</v>
      </c>
      <c r="S872" s="5"/>
      <c r="T872" s="5"/>
      <c r="U872" s="5"/>
      <c r="V872" s="10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02"/>
      <c r="AU872" s="502"/>
      <c r="AV872" s="606"/>
      <c r="AW872" s="502"/>
      <c r="AX872" s="502"/>
      <c r="AY872" s="502"/>
      <c r="AZ872" s="502"/>
      <c r="BA872" s="502"/>
      <c r="BB872" s="502"/>
      <c r="BC872" s="502"/>
      <c r="BD872" s="502"/>
      <c r="BE872" s="502"/>
      <c r="BF872" s="502"/>
      <c r="BG872" s="502"/>
      <c r="BH872" s="502"/>
      <c r="BI872" s="502"/>
      <c r="BJ872" s="502"/>
      <c r="BK872" s="502"/>
      <c r="BL872" s="502"/>
      <c r="BM872" s="502"/>
      <c r="BN872" s="502"/>
      <c r="BO872" s="502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  <c r="DI872" s="5"/>
      <c r="DJ872" s="5"/>
      <c r="DK872" s="5"/>
      <c r="DL872" s="5"/>
      <c r="DM872" s="5"/>
      <c r="DN872" s="5"/>
      <c r="DO872" s="5"/>
      <c r="DP872" s="5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</row>
    <row r="873" s="504" customFormat="true" ht="12.75" hidden="true" customHeight="true" outlineLevel="0" collapsed="false">
      <c r="A873" s="5"/>
      <c r="B873" s="813" t="n">
        <f aca="false">B872+1</f>
        <v>658</v>
      </c>
      <c r="C873" s="814" t="n">
        <f aca="false">C872+D873</f>
        <v>85939.3049571085</v>
      </c>
      <c r="D873" s="815" t="n">
        <f aca="false">E873*$E$205*M873</f>
        <v>183.058100910889</v>
      </c>
      <c r="E873" s="601" t="n">
        <f aca="false">E872+$C$204</f>
        <v>11.6094686016546</v>
      </c>
      <c r="F873" s="816" t="n">
        <f aca="false">F872+1</f>
        <v>658</v>
      </c>
      <c r="G873" s="775" t="n">
        <f aca="false">C873</f>
        <v>85939.3049571085</v>
      </c>
      <c r="H873" s="817" t="n">
        <f aca="false">1000*(E873-E872)</f>
        <v>9.99999999999979</v>
      </c>
      <c r="I873" s="5"/>
      <c r="J873" s="818" t="n">
        <f aca="false">1000*(E873-$E$215)/(B873-$B$215)</f>
        <v>12.3918994355193</v>
      </c>
      <c r="K873" s="732" t="n">
        <f aca="false">AVERAGE($E$216:E873)</f>
        <v>8.31291844967894</v>
      </c>
      <c r="L873" s="819" t="n">
        <f aca="false">L872+1</f>
        <v>658</v>
      </c>
      <c r="M873" s="820" t="n">
        <f aca="false">IF(B873&lt;$E$104,$E$105,$E$106)</f>
        <v>3</v>
      </c>
      <c r="N873" s="821" t="n">
        <f aca="false">IF(B873&lt;$E$104,$E$105,$E$111)</f>
        <v>2.5</v>
      </c>
      <c r="O873" s="822" t="n">
        <f aca="false">E873*$E$205*N873</f>
        <v>152.548417425741</v>
      </c>
      <c r="P873" s="823" t="n">
        <f aca="false">P872+O873</f>
        <v>71667.7680646333</v>
      </c>
      <c r="Q873" s="606" t="n">
        <f aca="false">Q872+1</f>
        <v>658</v>
      </c>
      <c r="R873" s="824" t="n">
        <f aca="false">R872-1</f>
        <v>-658</v>
      </c>
      <c r="S873" s="5"/>
      <c r="T873" s="5"/>
      <c r="U873" s="5"/>
      <c r="V873" s="10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02"/>
      <c r="AU873" s="502"/>
      <c r="AV873" s="606"/>
      <c r="AW873" s="502"/>
      <c r="AX873" s="502"/>
      <c r="AY873" s="502"/>
      <c r="AZ873" s="502"/>
      <c r="BA873" s="502"/>
      <c r="BB873" s="502"/>
      <c r="BC873" s="502"/>
      <c r="BD873" s="502"/>
      <c r="BE873" s="502"/>
      <c r="BF873" s="502"/>
      <c r="BG873" s="502"/>
      <c r="BH873" s="502"/>
      <c r="BI873" s="502"/>
      <c r="BJ873" s="502"/>
      <c r="BK873" s="502"/>
      <c r="BL873" s="502"/>
      <c r="BM873" s="502"/>
      <c r="BN873" s="502"/>
      <c r="BO873" s="502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  <c r="DI873" s="5"/>
      <c r="DJ873" s="5"/>
      <c r="DK873" s="5"/>
      <c r="DL873" s="5"/>
      <c r="DM873" s="5"/>
      <c r="DN873" s="5"/>
      <c r="DO873" s="5"/>
      <c r="DP873" s="5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</row>
    <row r="874" s="504" customFormat="true" ht="12.75" hidden="true" customHeight="true" outlineLevel="0" collapsed="false">
      <c r="A874" s="5"/>
      <c r="B874" s="813" t="n">
        <f aca="false">B873+1</f>
        <v>659</v>
      </c>
      <c r="C874" s="814" t="n">
        <f aca="false">C873+D874</f>
        <v>86122.5207380194</v>
      </c>
      <c r="D874" s="815" t="n">
        <f aca="false">E874*$E$205*M874</f>
        <v>183.215780910889</v>
      </c>
      <c r="E874" s="601" t="n">
        <f aca="false">E873+$C$204</f>
        <v>11.6194686016546</v>
      </c>
      <c r="F874" s="816" t="n">
        <f aca="false">F873+1</f>
        <v>659</v>
      </c>
      <c r="G874" s="775" t="n">
        <f aca="false">C874</f>
        <v>86122.5207380194</v>
      </c>
      <c r="H874" s="817" t="n">
        <f aca="false">1000*(E874-E873)</f>
        <v>9.99999999999979</v>
      </c>
      <c r="I874" s="5"/>
      <c r="J874" s="818" t="n">
        <f aca="false">1000*(E874-$E$215)/(B874-$B$215)</f>
        <v>12.3882698460876</v>
      </c>
      <c r="K874" s="732" t="n">
        <f aca="false">AVERAGE($E$216:E874)</f>
        <v>8.31793597646494</v>
      </c>
      <c r="L874" s="819" t="n">
        <f aca="false">L873+1</f>
        <v>659</v>
      </c>
      <c r="M874" s="820" t="n">
        <f aca="false">IF(B874&lt;$E$104,$E$105,$E$106)</f>
        <v>3</v>
      </c>
      <c r="N874" s="821" t="n">
        <f aca="false">IF(B874&lt;$E$104,$E$105,$E$111)</f>
        <v>2.5</v>
      </c>
      <c r="O874" s="822" t="n">
        <f aca="false">E874*$E$205*N874</f>
        <v>152.679817425741</v>
      </c>
      <c r="P874" s="823" t="n">
        <f aca="false">P873+O874</f>
        <v>71820.447882059</v>
      </c>
      <c r="Q874" s="606" t="n">
        <f aca="false">Q873+1</f>
        <v>659</v>
      </c>
      <c r="R874" s="824" t="n">
        <f aca="false">R873-1</f>
        <v>-659</v>
      </c>
      <c r="S874" s="5"/>
      <c r="T874" s="5"/>
      <c r="U874" s="5"/>
      <c r="V874" s="10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02"/>
      <c r="AU874" s="502"/>
      <c r="AV874" s="606"/>
      <c r="AW874" s="502"/>
      <c r="AX874" s="502"/>
      <c r="AY874" s="502"/>
      <c r="AZ874" s="502"/>
      <c r="BA874" s="502"/>
      <c r="BB874" s="502"/>
      <c r="BC874" s="502"/>
      <c r="BD874" s="502"/>
      <c r="BE874" s="502"/>
      <c r="BF874" s="502"/>
      <c r="BG874" s="502"/>
      <c r="BH874" s="502"/>
      <c r="BI874" s="502"/>
      <c r="BJ874" s="502"/>
      <c r="BK874" s="502"/>
      <c r="BL874" s="502"/>
      <c r="BM874" s="502"/>
      <c r="BN874" s="502"/>
      <c r="BO874" s="502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</row>
    <row r="875" s="504" customFormat="true" ht="12.75" hidden="true" customHeight="true" outlineLevel="0" collapsed="false">
      <c r="A875" s="5"/>
      <c r="B875" s="813" t="n">
        <f aca="false">B874+1</f>
        <v>660</v>
      </c>
      <c r="C875" s="814" t="n">
        <f aca="false">C874+D875</f>
        <v>86305.8941989303</v>
      </c>
      <c r="D875" s="815" t="n">
        <f aca="false">E875*$E$205*M875</f>
        <v>183.373460910889</v>
      </c>
      <c r="E875" s="601" t="n">
        <f aca="false">E874+$C$204</f>
        <v>11.6294686016546</v>
      </c>
      <c r="F875" s="816" t="n">
        <f aca="false">F874+1</f>
        <v>660</v>
      </c>
      <c r="G875" s="775" t="n">
        <f aca="false">C875</f>
        <v>86305.8941989303</v>
      </c>
      <c r="H875" s="817" t="n">
        <f aca="false">1000*(E875-E874)</f>
        <v>9.99999999999979</v>
      </c>
      <c r="I875" s="5"/>
      <c r="J875" s="818" t="n">
        <f aca="false">1000*(E875-$E$215)/(B875-$B$215)</f>
        <v>12.3846512554117</v>
      </c>
      <c r="K875" s="732" t="n">
        <f aca="false">AVERAGE($E$216:E875)</f>
        <v>8.32295345013947</v>
      </c>
      <c r="L875" s="819" t="n">
        <f aca="false">L874+1</f>
        <v>660</v>
      </c>
      <c r="M875" s="820" t="n">
        <f aca="false">IF(B875&lt;$E$104,$E$105,$E$106)</f>
        <v>3</v>
      </c>
      <c r="N875" s="821" t="n">
        <f aca="false">IF(B875&lt;$E$104,$E$105,$E$111)</f>
        <v>2.5</v>
      </c>
      <c r="O875" s="822" t="n">
        <f aca="false">E875*$E$205*N875</f>
        <v>152.811217425741</v>
      </c>
      <c r="P875" s="823" t="n">
        <f aca="false">P874+O875</f>
        <v>71973.2590994848</v>
      </c>
      <c r="Q875" s="606" t="n">
        <f aca="false">Q874+1</f>
        <v>660</v>
      </c>
      <c r="R875" s="824" t="n">
        <f aca="false">R874-1</f>
        <v>-660</v>
      </c>
      <c r="S875" s="5"/>
      <c r="T875" s="5"/>
      <c r="U875" s="5"/>
      <c r="V875" s="10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02"/>
      <c r="AU875" s="502"/>
      <c r="AV875" s="606"/>
      <c r="AW875" s="502"/>
      <c r="AX875" s="502"/>
      <c r="AY875" s="502"/>
      <c r="AZ875" s="502"/>
      <c r="BA875" s="502"/>
      <c r="BB875" s="502"/>
      <c r="BC875" s="502"/>
      <c r="BD875" s="502"/>
      <c r="BE875" s="502"/>
      <c r="BF875" s="502"/>
      <c r="BG875" s="502"/>
      <c r="BH875" s="502"/>
      <c r="BI875" s="502"/>
      <c r="BJ875" s="502"/>
      <c r="BK875" s="502"/>
      <c r="BL875" s="502"/>
      <c r="BM875" s="502"/>
      <c r="BN875" s="502"/>
      <c r="BO875" s="502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  <c r="DI875" s="5"/>
      <c r="DJ875" s="5"/>
      <c r="DK875" s="5"/>
      <c r="DL875" s="5"/>
      <c r="DM875" s="5"/>
      <c r="DN875" s="5"/>
      <c r="DO875" s="5"/>
      <c r="DP875" s="5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</row>
    <row r="876" s="504" customFormat="true" ht="12.75" hidden="true" customHeight="true" outlineLevel="0" collapsed="false">
      <c r="A876" s="5"/>
      <c r="B876" s="813" t="n">
        <f aca="false">B875+1</f>
        <v>661</v>
      </c>
      <c r="C876" s="814" t="n">
        <f aca="false">C875+D876</f>
        <v>86489.4253398412</v>
      </c>
      <c r="D876" s="815" t="n">
        <f aca="false">E876*$E$205*M876</f>
        <v>183.531140910889</v>
      </c>
      <c r="E876" s="601" t="n">
        <f aca="false">E875+$C$204</f>
        <v>11.6394686016546</v>
      </c>
      <c r="F876" s="816" t="n">
        <f aca="false">F875+1</f>
        <v>661</v>
      </c>
      <c r="G876" s="775" t="n">
        <f aca="false">C876</f>
        <v>86489.4253398412</v>
      </c>
      <c r="H876" s="817" t="n">
        <f aca="false">1000*(E876-E875)</f>
        <v>9.99999999999979</v>
      </c>
      <c r="I876" s="5"/>
      <c r="J876" s="818" t="n">
        <f aca="false">1000*(E876-$E$215)/(B876-$B$215)</f>
        <v>12.3810436135729</v>
      </c>
      <c r="K876" s="732" t="n">
        <f aca="false">AVERAGE($E$216:E876)</f>
        <v>8.32797087094358</v>
      </c>
      <c r="L876" s="819" t="n">
        <f aca="false">L875+1</f>
        <v>661</v>
      </c>
      <c r="M876" s="820" t="n">
        <f aca="false">IF(B876&lt;$E$104,$E$105,$E$106)</f>
        <v>3</v>
      </c>
      <c r="N876" s="821" t="n">
        <f aca="false">IF(B876&lt;$E$104,$E$105,$E$111)</f>
        <v>2.5</v>
      </c>
      <c r="O876" s="822" t="n">
        <f aca="false">E876*$E$205*N876</f>
        <v>152.942617425741</v>
      </c>
      <c r="P876" s="823" t="n">
        <f aca="false">P875+O876</f>
        <v>72126.2017169105</v>
      </c>
      <c r="Q876" s="606" t="n">
        <f aca="false">Q875+1</f>
        <v>661</v>
      </c>
      <c r="R876" s="824" t="n">
        <f aca="false">R875-1</f>
        <v>-661</v>
      </c>
      <c r="S876" s="5"/>
      <c r="T876" s="5"/>
      <c r="U876" s="5"/>
      <c r="V876" s="10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02"/>
      <c r="AU876" s="502"/>
      <c r="AV876" s="606"/>
      <c r="AW876" s="502"/>
      <c r="AX876" s="502"/>
      <c r="AY876" s="502"/>
      <c r="AZ876" s="502"/>
      <c r="BA876" s="502"/>
      <c r="BB876" s="502"/>
      <c r="BC876" s="502"/>
      <c r="BD876" s="502"/>
      <c r="BE876" s="502"/>
      <c r="BF876" s="502"/>
      <c r="BG876" s="502"/>
      <c r="BH876" s="502"/>
      <c r="BI876" s="502"/>
      <c r="BJ876" s="502"/>
      <c r="BK876" s="502"/>
      <c r="BL876" s="502"/>
      <c r="BM876" s="502"/>
      <c r="BN876" s="502"/>
      <c r="BO876" s="502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  <c r="DI876" s="5"/>
      <c r="DJ876" s="5"/>
      <c r="DK876" s="5"/>
      <c r="DL876" s="5"/>
      <c r="DM876" s="5"/>
      <c r="DN876" s="5"/>
      <c r="DO876" s="5"/>
      <c r="DP876" s="5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</row>
    <row r="877" s="504" customFormat="true" ht="12.75" hidden="true" customHeight="true" outlineLevel="0" collapsed="false">
      <c r="A877" s="5"/>
      <c r="B877" s="813" t="n">
        <f aca="false">B876+1</f>
        <v>662</v>
      </c>
      <c r="C877" s="814" t="n">
        <f aca="false">C876+D877</f>
        <v>86673.1141607521</v>
      </c>
      <c r="D877" s="815" t="n">
        <f aca="false">E877*$E$205*M877</f>
        <v>183.688820910889</v>
      </c>
      <c r="E877" s="601" t="n">
        <f aca="false">E876+$C$204</f>
        <v>11.6494686016546</v>
      </c>
      <c r="F877" s="816" t="n">
        <f aca="false">F876+1</f>
        <v>662</v>
      </c>
      <c r="G877" s="775" t="n">
        <f aca="false">C877</f>
        <v>86673.1141607521</v>
      </c>
      <c r="H877" s="817" t="n">
        <f aca="false">1000*(E877-E876)</f>
        <v>9.99999999999979</v>
      </c>
      <c r="I877" s="5"/>
      <c r="J877" s="818" t="n">
        <f aca="false">1000*(E877-$E$215)/(B877-$B$215)</f>
        <v>12.3774468709542</v>
      </c>
      <c r="K877" s="732" t="n">
        <f aca="false">AVERAGE($E$216:E877)</f>
        <v>8.33298823911685</v>
      </c>
      <c r="L877" s="819" t="n">
        <f aca="false">L876+1</f>
        <v>662</v>
      </c>
      <c r="M877" s="820" t="n">
        <f aca="false">IF(B877&lt;$E$104,$E$105,$E$106)</f>
        <v>3</v>
      </c>
      <c r="N877" s="821" t="n">
        <f aca="false">IF(B877&lt;$E$104,$E$105,$E$111)</f>
        <v>2.5</v>
      </c>
      <c r="O877" s="822" t="n">
        <f aca="false">E877*$E$205*N877</f>
        <v>153.074017425741</v>
      </c>
      <c r="P877" s="823" t="n">
        <f aca="false">P876+O877</f>
        <v>72279.2757343362</v>
      </c>
      <c r="Q877" s="606" t="n">
        <f aca="false">Q876+1</f>
        <v>662</v>
      </c>
      <c r="R877" s="824" t="n">
        <f aca="false">R876-1</f>
        <v>-662</v>
      </c>
      <c r="S877" s="5"/>
      <c r="T877" s="5"/>
      <c r="U877" s="5"/>
      <c r="V877" s="10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02"/>
      <c r="AU877" s="502"/>
      <c r="AV877" s="606"/>
      <c r="AW877" s="502"/>
      <c r="AX877" s="502"/>
      <c r="AY877" s="502"/>
      <c r="AZ877" s="502"/>
      <c r="BA877" s="502"/>
      <c r="BB877" s="502"/>
      <c r="BC877" s="502"/>
      <c r="BD877" s="502"/>
      <c r="BE877" s="502"/>
      <c r="BF877" s="502"/>
      <c r="BG877" s="502"/>
      <c r="BH877" s="502"/>
      <c r="BI877" s="502"/>
      <c r="BJ877" s="502"/>
      <c r="BK877" s="502"/>
      <c r="BL877" s="502"/>
      <c r="BM877" s="502"/>
      <c r="BN877" s="502"/>
      <c r="BO877" s="502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  <c r="DI877" s="5"/>
      <c r="DJ877" s="5"/>
      <c r="DK877" s="5"/>
      <c r="DL877" s="5"/>
      <c r="DM877" s="5"/>
      <c r="DN877" s="5"/>
      <c r="DO877" s="5"/>
      <c r="DP877" s="5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</row>
    <row r="878" s="504" customFormat="true" ht="12.75" hidden="true" customHeight="true" outlineLevel="0" collapsed="false">
      <c r="A878" s="5"/>
      <c r="B878" s="813" t="n">
        <f aca="false">B877+1</f>
        <v>663</v>
      </c>
      <c r="C878" s="814" t="n">
        <f aca="false">C877+D878</f>
        <v>86856.9606616629</v>
      </c>
      <c r="D878" s="815" t="n">
        <f aca="false">E878*$E$205*M878</f>
        <v>183.846500910889</v>
      </c>
      <c r="E878" s="601" t="n">
        <f aca="false">E877+$C$204</f>
        <v>11.6594686016545</v>
      </c>
      <c r="F878" s="816" t="n">
        <f aca="false">F877+1</f>
        <v>663</v>
      </c>
      <c r="G878" s="775" t="n">
        <f aca="false">C878</f>
        <v>86856.9606616629</v>
      </c>
      <c r="H878" s="817" t="n">
        <f aca="false">1000*(E878-E877)</f>
        <v>9.99999999999979</v>
      </c>
      <c r="I878" s="5"/>
      <c r="J878" s="818" t="n">
        <f aca="false">1000*(E878-$E$215)/(B878-$B$215)</f>
        <v>12.3738609782379</v>
      </c>
      <c r="K878" s="732" t="n">
        <f aca="false">AVERAGE($E$216:E878)</f>
        <v>8.33800555489746</v>
      </c>
      <c r="L878" s="819" t="n">
        <f aca="false">L877+1</f>
        <v>663</v>
      </c>
      <c r="M878" s="820" t="n">
        <f aca="false">IF(B878&lt;$E$104,$E$105,$E$106)</f>
        <v>3</v>
      </c>
      <c r="N878" s="821" t="n">
        <f aca="false">IF(B878&lt;$E$104,$E$105,$E$111)</f>
        <v>2.5</v>
      </c>
      <c r="O878" s="822" t="n">
        <f aca="false">E878*$E$205*N878</f>
        <v>153.205417425741</v>
      </c>
      <c r="P878" s="823" t="n">
        <f aca="false">P877+O878</f>
        <v>72432.481151762</v>
      </c>
      <c r="Q878" s="606" t="n">
        <f aca="false">Q877+1</f>
        <v>663</v>
      </c>
      <c r="R878" s="824" t="n">
        <f aca="false">R877-1</f>
        <v>-663</v>
      </c>
      <c r="S878" s="5"/>
      <c r="T878" s="5"/>
      <c r="U878" s="5"/>
      <c r="V878" s="10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02"/>
      <c r="AU878" s="502"/>
      <c r="AV878" s="606"/>
      <c r="AW878" s="502"/>
      <c r="AX878" s="502"/>
      <c r="AY878" s="502"/>
      <c r="AZ878" s="502"/>
      <c r="BA878" s="502"/>
      <c r="BB878" s="502"/>
      <c r="BC878" s="502"/>
      <c r="BD878" s="502"/>
      <c r="BE878" s="502"/>
      <c r="BF878" s="502"/>
      <c r="BG878" s="502"/>
      <c r="BH878" s="502"/>
      <c r="BI878" s="502"/>
      <c r="BJ878" s="502"/>
      <c r="BK878" s="502"/>
      <c r="BL878" s="502"/>
      <c r="BM878" s="502"/>
      <c r="BN878" s="502"/>
      <c r="BO878" s="502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</row>
    <row r="879" s="504" customFormat="true" ht="12.75" hidden="true" customHeight="true" outlineLevel="0" collapsed="false">
      <c r="A879" s="5"/>
      <c r="B879" s="813" t="n">
        <f aca="false">B878+1</f>
        <v>664</v>
      </c>
      <c r="C879" s="814" t="n">
        <f aca="false">C878+D879</f>
        <v>87040.9648425738</v>
      </c>
      <c r="D879" s="815" t="n">
        <f aca="false">E879*$E$205*M879</f>
        <v>184.004180910889</v>
      </c>
      <c r="E879" s="601" t="n">
        <f aca="false">E878+$C$204</f>
        <v>11.6694686016546</v>
      </c>
      <c r="F879" s="816" t="n">
        <f aca="false">F878+1</f>
        <v>664</v>
      </c>
      <c r="G879" s="775" t="n">
        <f aca="false">C879</f>
        <v>87040.9648425738</v>
      </c>
      <c r="H879" s="817" t="n">
        <f aca="false">1000*(E879-E878)</f>
        <v>9.99999999999979</v>
      </c>
      <c r="I879" s="5"/>
      <c r="J879" s="818" t="n">
        <f aca="false">1000*(E879-$E$215)/(B879-$B$215)</f>
        <v>12.3702858864032</v>
      </c>
      <c r="K879" s="732" t="n">
        <f aca="false">AVERAGE($E$216:E879)</f>
        <v>8.34302281852209</v>
      </c>
      <c r="L879" s="819" t="n">
        <f aca="false">L878+1</f>
        <v>664</v>
      </c>
      <c r="M879" s="820" t="n">
        <f aca="false">IF(B879&lt;$E$104,$E$105,$E$106)</f>
        <v>3</v>
      </c>
      <c r="N879" s="821" t="n">
        <f aca="false">IF(B879&lt;$E$104,$E$105,$E$111)</f>
        <v>2.5</v>
      </c>
      <c r="O879" s="822" t="n">
        <f aca="false">E879*$E$205*N879</f>
        <v>153.336817425741</v>
      </c>
      <c r="P879" s="823" t="n">
        <f aca="false">P878+O879</f>
        <v>72585.8179691877</v>
      </c>
      <c r="Q879" s="606" t="n">
        <f aca="false">Q878+1</f>
        <v>664</v>
      </c>
      <c r="R879" s="824" t="n">
        <f aca="false">R878-1</f>
        <v>-664</v>
      </c>
      <c r="S879" s="5"/>
      <c r="T879" s="5"/>
      <c r="U879" s="5"/>
      <c r="V879" s="10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02"/>
      <c r="AU879" s="502"/>
      <c r="AV879" s="606"/>
      <c r="AW879" s="502"/>
      <c r="AX879" s="502"/>
      <c r="AY879" s="502"/>
      <c r="AZ879" s="502"/>
      <c r="BA879" s="502"/>
      <c r="BB879" s="502"/>
      <c r="BC879" s="502"/>
      <c r="BD879" s="502"/>
      <c r="BE879" s="502"/>
      <c r="BF879" s="502"/>
      <c r="BG879" s="502"/>
      <c r="BH879" s="502"/>
      <c r="BI879" s="502"/>
      <c r="BJ879" s="502"/>
      <c r="BK879" s="502"/>
      <c r="BL879" s="502"/>
      <c r="BM879" s="502"/>
      <c r="BN879" s="502"/>
      <c r="BO879" s="502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  <c r="DE879" s="5"/>
      <c r="DF879" s="5"/>
      <c r="DG879" s="5"/>
      <c r="DH879" s="5"/>
      <c r="DI879" s="5"/>
      <c r="DJ879" s="5"/>
      <c r="DK879" s="5"/>
      <c r="DL879" s="5"/>
      <c r="DM879" s="5"/>
      <c r="DN879" s="5"/>
      <c r="DO879" s="5"/>
      <c r="DP879" s="5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</row>
    <row r="880" s="504" customFormat="true" ht="12.75" hidden="true" customHeight="true" outlineLevel="0" collapsed="false">
      <c r="A880" s="5"/>
      <c r="B880" s="813" t="n">
        <f aca="false">B879+1</f>
        <v>665</v>
      </c>
      <c r="C880" s="814" t="n">
        <f aca="false">C879+D880</f>
        <v>87225.1267034847</v>
      </c>
      <c r="D880" s="815" t="n">
        <f aca="false">E880*$E$205*M880</f>
        <v>184.161860910889</v>
      </c>
      <c r="E880" s="601" t="n">
        <f aca="false">E879+$C$204</f>
        <v>11.6794686016545</v>
      </c>
      <c r="F880" s="816" t="n">
        <f aca="false">F879+1</f>
        <v>665</v>
      </c>
      <c r="G880" s="775" t="n">
        <f aca="false">C880</f>
        <v>87225.1267034847</v>
      </c>
      <c r="H880" s="817" t="n">
        <f aca="false">1000*(E880-E879)</f>
        <v>9.99999999999979</v>
      </c>
      <c r="I880" s="5"/>
      <c r="J880" s="818" t="n">
        <f aca="false">1000*(E880-$E$215)/(B880-$B$215)</f>
        <v>12.3667215467244</v>
      </c>
      <c r="K880" s="732" t="n">
        <f aca="false">AVERAGE($E$216:E880)</f>
        <v>8.34804003022605</v>
      </c>
      <c r="L880" s="819" t="n">
        <f aca="false">L879+1</f>
        <v>665</v>
      </c>
      <c r="M880" s="820" t="n">
        <f aca="false">IF(B880&lt;$E$104,$E$105,$E$106)</f>
        <v>3</v>
      </c>
      <c r="N880" s="821" t="n">
        <f aca="false">IF(B880&lt;$E$104,$E$105,$E$111)</f>
        <v>2.5</v>
      </c>
      <c r="O880" s="822" t="n">
        <f aca="false">E880*$E$205*N880</f>
        <v>153.468217425741</v>
      </c>
      <c r="P880" s="823" t="n">
        <f aca="false">P879+O880</f>
        <v>72739.2861866135</v>
      </c>
      <c r="Q880" s="606" t="n">
        <f aca="false">Q879+1</f>
        <v>665</v>
      </c>
      <c r="R880" s="824" t="n">
        <f aca="false">R879-1</f>
        <v>-665</v>
      </c>
      <c r="S880" s="5"/>
      <c r="T880" s="5"/>
      <c r="U880" s="5"/>
      <c r="V880" s="10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02"/>
      <c r="AU880" s="502"/>
      <c r="AV880" s="606"/>
      <c r="AW880" s="502"/>
      <c r="AX880" s="502"/>
      <c r="AY880" s="502"/>
      <c r="AZ880" s="502"/>
      <c r="BA880" s="502"/>
      <c r="BB880" s="502"/>
      <c r="BC880" s="502"/>
      <c r="BD880" s="502"/>
      <c r="BE880" s="502"/>
      <c r="BF880" s="502"/>
      <c r="BG880" s="502"/>
      <c r="BH880" s="502"/>
      <c r="BI880" s="502"/>
      <c r="BJ880" s="502"/>
      <c r="BK880" s="502"/>
      <c r="BL880" s="502"/>
      <c r="BM880" s="502"/>
      <c r="BN880" s="502"/>
      <c r="BO880" s="502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</row>
    <row r="881" s="504" customFormat="true" ht="12.75" hidden="true" customHeight="true" outlineLevel="0" collapsed="false">
      <c r="A881" s="5"/>
      <c r="B881" s="813" t="n">
        <f aca="false">B880+1</f>
        <v>666</v>
      </c>
      <c r="C881" s="814" t="n">
        <f aca="false">C880+D881</f>
        <v>87409.4462443956</v>
      </c>
      <c r="D881" s="815" t="n">
        <f aca="false">E881*$E$205*M881</f>
        <v>184.319540910889</v>
      </c>
      <c r="E881" s="601" t="n">
        <f aca="false">E880+$C$204</f>
        <v>11.6894686016546</v>
      </c>
      <c r="F881" s="816" t="n">
        <f aca="false">F880+1</f>
        <v>666</v>
      </c>
      <c r="G881" s="775" t="n">
        <f aca="false">C881</f>
        <v>87409.4462443956</v>
      </c>
      <c r="H881" s="817" t="n">
        <f aca="false">1000*(E881-E880)</f>
        <v>9.99999999999979</v>
      </c>
      <c r="I881" s="5"/>
      <c r="J881" s="818" t="n">
        <f aca="false">1000*(E881-$E$215)/(B881-$B$215)</f>
        <v>12.3631679107683</v>
      </c>
      <c r="K881" s="732" t="n">
        <f aca="false">AVERAGE($E$216:E881)</f>
        <v>8.35305719024321</v>
      </c>
      <c r="L881" s="819" t="n">
        <f aca="false">L880+1</f>
        <v>666</v>
      </c>
      <c r="M881" s="820" t="n">
        <f aca="false">IF(B881&lt;$E$104,$E$105,$E$106)</f>
        <v>3</v>
      </c>
      <c r="N881" s="821" t="n">
        <f aca="false">IF(B881&lt;$E$104,$E$105,$E$111)</f>
        <v>2.5</v>
      </c>
      <c r="O881" s="822" t="n">
        <f aca="false">E881*$E$205*N881</f>
        <v>153.599617425741</v>
      </c>
      <c r="P881" s="823" t="n">
        <f aca="false">P880+O881</f>
        <v>72892.8858040392</v>
      </c>
      <c r="Q881" s="606" t="n">
        <f aca="false">Q880+1</f>
        <v>666</v>
      </c>
      <c r="R881" s="824" t="n">
        <f aca="false">R880-1</f>
        <v>-666</v>
      </c>
      <c r="S881" s="5"/>
      <c r="T881" s="5"/>
      <c r="U881" s="5"/>
      <c r="V881" s="10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02"/>
      <c r="AU881" s="502"/>
      <c r="AV881" s="606"/>
      <c r="AW881" s="502"/>
      <c r="AX881" s="502"/>
      <c r="AY881" s="502"/>
      <c r="AZ881" s="502"/>
      <c r="BA881" s="502"/>
      <c r="BB881" s="502"/>
      <c r="BC881" s="502"/>
      <c r="BD881" s="502"/>
      <c r="BE881" s="502"/>
      <c r="BF881" s="502"/>
      <c r="BG881" s="502"/>
      <c r="BH881" s="502"/>
      <c r="BI881" s="502"/>
      <c r="BJ881" s="502"/>
      <c r="BK881" s="502"/>
      <c r="BL881" s="502"/>
      <c r="BM881" s="502"/>
      <c r="BN881" s="502"/>
      <c r="BO881" s="502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  <c r="DE881" s="5"/>
      <c r="DF881" s="5"/>
      <c r="DG881" s="5"/>
      <c r="DH881" s="5"/>
      <c r="DI881" s="5"/>
      <c r="DJ881" s="5"/>
      <c r="DK881" s="5"/>
      <c r="DL881" s="5"/>
      <c r="DM881" s="5"/>
      <c r="DN881" s="5"/>
      <c r="DO881" s="5"/>
      <c r="DP881" s="5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</row>
    <row r="882" s="504" customFormat="true" ht="12.75" hidden="true" customHeight="true" outlineLevel="0" collapsed="false">
      <c r="A882" s="5"/>
      <c r="B882" s="813" t="n">
        <f aca="false">B881+1</f>
        <v>667</v>
      </c>
      <c r="C882" s="814" t="n">
        <f aca="false">C881+D882</f>
        <v>87593.9234653065</v>
      </c>
      <c r="D882" s="815" t="n">
        <f aca="false">E882*$E$205*M882</f>
        <v>184.477220910889</v>
      </c>
      <c r="E882" s="601" t="n">
        <f aca="false">E881+$C$204</f>
        <v>11.6994686016545</v>
      </c>
      <c r="F882" s="816" t="n">
        <f aca="false">F881+1</f>
        <v>667</v>
      </c>
      <c r="G882" s="775" t="n">
        <f aca="false">C882</f>
        <v>87593.9234653065</v>
      </c>
      <c r="H882" s="817" t="n">
        <f aca="false">1000*(E882-E881)</f>
        <v>9.99999999999979</v>
      </c>
      <c r="I882" s="5"/>
      <c r="J882" s="818" t="n">
        <f aca="false">1000*(E882-$E$215)/(B882-$B$215)</f>
        <v>12.3596249303924</v>
      </c>
      <c r="K882" s="732" t="n">
        <f aca="false">AVERAGE($E$216:E882)</f>
        <v>8.35807429880604</v>
      </c>
      <c r="L882" s="819" t="n">
        <f aca="false">L881+1</f>
        <v>667</v>
      </c>
      <c r="M882" s="820" t="n">
        <f aca="false">IF(B882&lt;$E$104,$E$105,$E$106)</f>
        <v>3</v>
      </c>
      <c r="N882" s="821" t="n">
        <f aca="false">IF(B882&lt;$E$104,$E$105,$E$111)</f>
        <v>2.5</v>
      </c>
      <c r="O882" s="822" t="n">
        <f aca="false">E882*$E$205*N882</f>
        <v>153.731017425741</v>
      </c>
      <c r="P882" s="823" t="n">
        <f aca="false">P881+O882</f>
        <v>73046.616821465</v>
      </c>
      <c r="Q882" s="606" t="n">
        <f aca="false">Q881+1</f>
        <v>667</v>
      </c>
      <c r="R882" s="824" t="n">
        <f aca="false">R881-1</f>
        <v>-667</v>
      </c>
      <c r="S882" s="5"/>
      <c r="T882" s="5"/>
      <c r="U882" s="5"/>
      <c r="V882" s="10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02"/>
      <c r="AU882" s="502"/>
      <c r="AV882" s="606"/>
      <c r="AW882" s="502"/>
      <c r="AX882" s="502"/>
      <c r="AY882" s="502"/>
      <c r="AZ882" s="502"/>
      <c r="BA882" s="502"/>
      <c r="BB882" s="502"/>
      <c r="BC882" s="502"/>
      <c r="BD882" s="502"/>
      <c r="BE882" s="502"/>
      <c r="BF882" s="502"/>
      <c r="BG882" s="502"/>
      <c r="BH882" s="502"/>
      <c r="BI882" s="502"/>
      <c r="BJ882" s="502"/>
      <c r="BK882" s="502"/>
      <c r="BL882" s="502"/>
      <c r="BM882" s="502"/>
      <c r="BN882" s="502"/>
      <c r="BO882" s="502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</row>
    <row r="883" s="504" customFormat="true" ht="12.75" hidden="true" customHeight="true" outlineLevel="0" collapsed="false">
      <c r="A883" s="5"/>
      <c r="B883" s="813" t="n">
        <f aca="false">B882+1</f>
        <v>668</v>
      </c>
      <c r="C883" s="814" t="n">
        <f aca="false">C882+D883</f>
        <v>87778.5583662174</v>
      </c>
      <c r="D883" s="815" t="n">
        <f aca="false">E883*$E$205*M883</f>
        <v>184.634900910889</v>
      </c>
      <c r="E883" s="601" t="n">
        <f aca="false">E882+$C$204</f>
        <v>11.7094686016545</v>
      </c>
      <c r="F883" s="816" t="n">
        <f aca="false">F882+1</f>
        <v>668</v>
      </c>
      <c r="G883" s="775" t="n">
        <f aca="false">C883</f>
        <v>87778.5583662174</v>
      </c>
      <c r="H883" s="817" t="n">
        <f aca="false">1000*(E883-E882)</f>
        <v>9.99999999999979</v>
      </c>
      <c r="I883" s="5"/>
      <c r="J883" s="818" t="n">
        <f aca="false">1000*(E883-$E$215)/(B883-$B$215)</f>
        <v>12.3560925577421</v>
      </c>
      <c r="K883" s="732" t="n">
        <f aca="false">AVERAGE($E$216:E883)</f>
        <v>8.36309135614564</v>
      </c>
      <c r="L883" s="819" t="n">
        <f aca="false">L882+1</f>
        <v>668</v>
      </c>
      <c r="M883" s="820" t="n">
        <f aca="false">IF(B883&lt;$E$104,$E$105,$E$106)</f>
        <v>3</v>
      </c>
      <c r="N883" s="821" t="n">
        <f aca="false">IF(B883&lt;$E$104,$E$105,$E$111)</f>
        <v>2.5</v>
      </c>
      <c r="O883" s="822" t="n">
        <f aca="false">E883*$E$205*N883</f>
        <v>153.862417425741</v>
      </c>
      <c r="P883" s="823" t="n">
        <f aca="false">P882+O883</f>
        <v>73200.4792388907</v>
      </c>
      <c r="Q883" s="606" t="n">
        <f aca="false">Q882+1</f>
        <v>668</v>
      </c>
      <c r="R883" s="824" t="n">
        <f aca="false">R882-1</f>
        <v>-668</v>
      </c>
      <c r="S883" s="5"/>
      <c r="T883" s="5"/>
      <c r="U883" s="5"/>
      <c r="V883" s="10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02"/>
      <c r="AU883" s="502"/>
      <c r="AV883" s="606"/>
      <c r="AW883" s="502"/>
      <c r="AX883" s="502"/>
      <c r="AY883" s="502"/>
      <c r="AZ883" s="502"/>
      <c r="BA883" s="502"/>
      <c r="BB883" s="502"/>
      <c r="BC883" s="502"/>
      <c r="BD883" s="502"/>
      <c r="BE883" s="502"/>
      <c r="BF883" s="502"/>
      <c r="BG883" s="502"/>
      <c r="BH883" s="502"/>
      <c r="BI883" s="502"/>
      <c r="BJ883" s="502"/>
      <c r="BK883" s="502"/>
      <c r="BL883" s="502"/>
      <c r="BM883" s="502"/>
      <c r="BN883" s="502"/>
      <c r="BO883" s="502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  <c r="DE883" s="5"/>
      <c r="DF883" s="5"/>
      <c r="DG883" s="5"/>
      <c r="DH883" s="5"/>
      <c r="DI883" s="5"/>
      <c r="DJ883" s="5"/>
      <c r="DK883" s="5"/>
      <c r="DL883" s="5"/>
      <c r="DM883" s="5"/>
      <c r="DN883" s="5"/>
      <c r="DO883" s="5"/>
      <c r="DP883" s="5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</row>
    <row r="884" s="504" customFormat="true" ht="12.75" hidden="true" customHeight="true" outlineLevel="0" collapsed="false">
      <c r="A884" s="5"/>
      <c r="B884" s="813" t="n">
        <f aca="false">B883+1</f>
        <v>669</v>
      </c>
      <c r="C884" s="814" t="n">
        <f aca="false">C883+D884</f>
        <v>87963.3509471283</v>
      </c>
      <c r="D884" s="815" t="n">
        <f aca="false">E884*$E$205*M884</f>
        <v>184.792580910889</v>
      </c>
      <c r="E884" s="601" t="n">
        <f aca="false">E883+$C$204</f>
        <v>11.7194686016545</v>
      </c>
      <c r="F884" s="816" t="n">
        <f aca="false">F883+1</f>
        <v>669</v>
      </c>
      <c r="G884" s="775" t="n">
        <f aca="false">C884</f>
        <v>87963.3509471283</v>
      </c>
      <c r="H884" s="817" t="n">
        <f aca="false">1000*(E884-E883)</f>
        <v>9.99999999999979</v>
      </c>
      <c r="I884" s="5"/>
      <c r="J884" s="818" t="n">
        <f aca="false">1000*(E884-$E$215)/(B884-$B$215)</f>
        <v>12.3525707452492</v>
      </c>
      <c r="K884" s="732" t="n">
        <f aca="false">AVERAGE($E$216:E884)</f>
        <v>8.36810836249169</v>
      </c>
      <c r="L884" s="819" t="n">
        <f aca="false">L883+1</f>
        <v>669</v>
      </c>
      <c r="M884" s="820" t="n">
        <f aca="false">IF(B884&lt;$E$104,$E$105,$E$106)</f>
        <v>3</v>
      </c>
      <c r="N884" s="821" t="n">
        <f aca="false">IF(B884&lt;$E$104,$E$105,$E$111)</f>
        <v>2.5</v>
      </c>
      <c r="O884" s="822" t="n">
        <f aca="false">E884*$E$205*N884</f>
        <v>153.993817425741</v>
      </c>
      <c r="P884" s="823" t="n">
        <f aca="false">P883+O884</f>
        <v>73354.4730563164</v>
      </c>
      <c r="Q884" s="606" t="n">
        <f aca="false">Q883+1</f>
        <v>669</v>
      </c>
      <c r="R884" s="824" t="n">
        <f aca="false">R883-1</f>
        <v>-669</v>
      </c>
      <c r="S884" s="5"/>
      <c r="T884" s="5"/>
      <c r="U884" s="5"/>
      <c r="V884" s="10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02"/>
      <c r="AU884" s="502"/>
      <c r="AV884" s="606"/>
      <c r="AW884" s="502"/>
      <c r="AX884" s="502"/>
      <c r="AY884" s="502"/>
      <c r="AZ884" s="502"/>
      <c r="BA884" s="502"/>
      <c r="BB884" s="502"/>
      <c r="BC884" s="502"/>
      <c r="BD884" s="502"/>
      <c r="BE884" s="502"/>
      <c r="BF884" s="502"/>
      <c r="BG884" s="502"/>
      <c r="BH884" s="502"/>
      <c r="BI884" s="502"/>
      <c r="BJ884" s="502"/>
      <c r="BK884" s="502"/>
      <c r="BL884" s="502"/>
      <c r="BM884" s="502"/>
      <c r="BN884" s="502"/>
      <c r="BO884" s="502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</row>
    <row r="885" s="504" customFormat="true" ht="12.75" hidden="true" customHeight="true" outlineLevel="0" collapsed="false">
      <c r="A885" s="5"/>
      <c r="B885" s="813" t="n">
        <f aca="false">B884+1</f>
        <v>670</v>
      </c>
      <c r="C885" s="814" t="n">
        <f aca="false">C884+D885</f>
        <v>88148.3012080392</v>
      </c>
      <c r="D885" s="815" t="n">
        <f aca="false">E885*$E$205*M885</f>
        <v>184.950260910889</v>
      </c>
      <c r="E885" s="601" t="n">
        <f aca="false">E884+$C$204</f>
        <v>11.7294686016545</v>
      </c>
      <c r="F885" s="816" t="n">
        <f aca="false">F884+1</f>
        <v>670</v>
      </c>
      <c r="G885" s="775" t="n">
        <f aca="false">C885</f>
        <v>88148.3012080392</v>
      </c>
      <c r="H885" s="817" t="n">
        <f aca="false">1000*(E885-E884)</f>
        <v>9.99999999999979</v>
      </c>
      <c r="I885" s="5"/>
      <c r="J885" s="818" t="n">
        <f aca="false">1000*(E885-$E$215)/(B885-$B$215)</f>
        <v>12.3490594456294</v>
      </c>
      <c r="K885" s="732" t="n">
        <f aca="false">AVERAGE($E$216:E885)</f>
        <v>8.37312531807253</v>
      </c>
      <c r="L885" s="819" t="n">
        <f aca="false">L884+1</f>
        <v>670</v>
      </c>
      <c r="M885" s="820" t="n">
        <f aca="false">IF(B885&lt;$E$104,$E$105,$E$106)</f>
        <v>3</v>
      </c>
      <c r="N885" s="821" t="n">
        <f aca="false">IF(B885&lt;$E$104,$E$105,$E$111)</f>
        <v>2.5</v>
      </c>
      <c r="O885" s="822" t="n">
        <f aca="false">E885*$E$205*N885</f>
        <v>154.125217425741</v>
      </c>
      <c r="P885" s="823" t="n">
        <f aca="false">P884+O885</f>
        <v>73508.5982737422</v>
      </c>
      <c r="Q885" s="606" t="n">
        <f aca="false">Q884+1</f>
        <v>670</v>
      </c>
      <c r="R885" s="824" t="n">
        <f aca="false">R884-1</f>
        <v>-670</v>
      </c>
      <c r="S885" s="5"/>
      <c r="T885" s="5"/>
      <c r="U885" s="5"/>
      <c r="V885" s="10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02"/>
      <c r="AU885" s="502"/>
      <c r="AV885" s="606"/>
      <c r="AW885" s="502"/>
      <c r="AX885" s="502"/>
      <c r="AY885" s="502"/>
      <c r="AZ885" s="502"/>
      <c r="BA885" s="502"/>
      <c r="BB885" s="502"/>
      <c r="BC885" s="502"/>
      <c r="BD885" s="502"/>
      <c r="BE885" s="502"/>
      <c r="BF885" s="502"/>
      <c r="BG885" s="502"/>
      <c r="BH885" s="502"/>
      <c r="BI885" s="502"/>
      <c r="BJ885" s="502"/>
      <c r="BK885" s="502"/>
      <c r="BL885" s="502"/>
      <c r="BM885" s="502"/>
      <c r="BN885" s="502"/>
      <c r="BO885" s="502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  <c r="DE885" s="5"/>
      <c r="DF885" s="5"/>
      <c r="DG885" s="5"/>
      <c r="DH885" s="5"/>
      <c r="DI885" s="5"/>
      <c r="DJ885" s="5"/>
      <c r="DK885" s="5"/>
      <c r="DL885" s="5"/>
      <c r="DM885" s="5"/>
      <c r="DN885" s="5"/>
      <c r="DO885" s="5"/>
      <c r="DP885" s="5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</row>
    <row r="886" s="504" customFormat="true" ht="12.75" hidden="true" customHeight="true" outlineLevel="0" collapsed="false">
      <c r="A886" s="5"/>
      <c r="B886" s="813" t="n">
        <f aca="false">B885+1</f>
        <v>671</v>
      </c>
      <c r="C886" s="814" t="n">
        <f aca="false">C885+D886</f>
        <v>88333.4091489501</v>
      </c>
      <c r="D886" s="815" t="n">
        <f aca="false">E886*$E$205*M886</f>
        <v>185.107940910889</v>
      </c>
      <c r="E886" s="601" t="n">
        <f aca="false">E885+$C$204</f>
        <v>11.7394686016545</v>
      </c>
      <c r="F886" s="816" t="n">
        <f aca="false">F885+1</f>
        <v>671</v>
      </c>
      <c r="G886" s="775" t="n">
        <f aca="false">C886</f>
        <v>88333.4091489501</v>
      </c>
      <c r="H886" s="817" t="n">
        <f aca="false">1000*(E886-E885)</f>
        <v>9.99999999999979</v>
      </c>
      <c r="I886" s="5"/>
      <c r="J886" s="818" t="n">
        <f aca="false">1000*(E886-$E$215)/(B886-$B$215)</f>
        <v>12.3455586118803</v>
      </c>
      <c r="K886" s="732" t="n">
        <f aca="false">AVERAGE($E$216:E886)</f>
        <v>8.37814222311513</v>
      </c>
      <c r="L886" s="819" t="n">
        <f aca="false">L885+1</f>
        <v>671</v>
      </c>
      <c r="M886" s="820" t="n">
        <f aca="false">IF(B886&lt;$E$104,$E$105,$E$106)</f>
        <v>3</v>
      </c>
      <c r="N886" s="821" t="n">
        <f aca="false">IF(B886&lt;$E$104,$E$105,$E$111)</f>
        <v>2.5</v>
      </c>
      <c r="O886" s="822" t="n">
        <f aca="false">E886*$E$205*N886</f>
        <v>154.256617425741</v>
      </c>
      <c r="P886" s="823" t="n">
        <f aca="false">P885+O886</f>
        <v>73662.8548911679</v>
      </c>
      <c r="Q886" s="606" t="n">
        <f aca="false">Q885+1</f>
        <v>671</v>
      </c>
      <c r="R886" s="824" t="n">
        <f aca="false">R885-1</f>
        <v>-671</v>
      </c>
      <c r="S886" s="5"/>
      <c r="T886" s="5"/>
      <c r="U886" s="5"/>
      <c r="V886" s="10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02"/>
      <c r="AU886" s="502"/>
      <c r="AV886" s="606"/>
      <c r="AW886" s="502"/>
      <c r="AX886" s="502"/>
      <c r="AY886" s="502"/>
      <c r="AZ886" s="502"/>
      <c r="BA886" s="502"/>
      <c r="BB886" s="502"/>
      <c r="BC886" s="502"/>
      <c r="BD886" s="502"/>
      <c r="BE886" s="502"/>
      <c r="BF886" s="502"/>
      <c r="BG886" s="502"/>
      <c r="BH886" s="502"/>
      <c r="BI886" s="502"/>
      <c r="BJ886" s="502"/>
      <c r="BK886" s="502"/>
      <c r="BL886" s="502"/>
      <c r="BM886" s="502"/>
      <c r="BN886" s="502"/>
      <c r="BO886" s="502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</row>
    <row r="887" s="504" customFormat="true" ht="12.75" hidden="true" customHeight="true" outlineLevel="0" collapsed="false">
      <c r="A887" s="5"/>
      <c r="B887" s="813" t="n">
        <f aca="false">B886+1</f>
        <v>672</v>
      </c>
      <c r="C887" s="814" t="n">
        <f aca="false">C886+D887</f>
        <v>88518.6747698609</v>
      </c>
      <c r="D887" s="815" t="n">
        <f aca="false">E887*$E$205*M887</f>
        <v>185.265620910889</v>
      </c>
      <c r="E887" s="601" t="n">
        <f aca="false">E886+$C$204</f>
        <v>11.7494686016545</v>
      </c>
      <c r="F887" s="816" t="n">
        <f aca="false">F886+1</f>
        <v>672</v>
      </c>
      <c r="G887" s="775" t="n">
        <f aca="false">C887</f>
        <v>88518.6747698609</v>
      </c>
      <c r="H887" s="817" t="n">
        <f aca="false">1000*(E887-E886)</f>
        <v>9.99999999999979</v>
      </c>
      <c r="I887" s="5"/>
      <c r="J887" s="818" t="n">
        <f aca="false">1000*(E887-$E$215)/(B887-$B$215)</f>
        <v>12.3420681972793</v>
      </c>
      <c r="K887" s="732" t="n">
        <f aca="false">AVERAGE($E$216:E887)</f>
        <v>8.38315907784509</v>
      </c>
      <c r="L887" s="819" t="n">
        <f aca="false">L886+1</f>
        <v>672</v>
      </c>
      <c r="M887" s="820" t="n">
        <f aca="false">IF(B887&lt;$E$104,$E$105,$E$106)</f>
        <v>3</v>
      </c>
      <c r="N887" s="821" t="n">
        <f aca="false">IF(B887&lt;$E$104,$E$105,$E$111)</f>
        <v>2.5</v>
      </c>
      <c r="O887" s="822" t="n">
        <f aca="false">E887*$E$205*N887</f>
        <v>154.388017425741</v>
      </c>
      <c r="P887" s="823" t="n">
        <f aca="false">P886+O887</f>
        <v>73817.2429085936</v>
      </c>
      <c r="Q887" s="606" t="n">
        <f aca="false">Q886+1</f>
        <v>672</v>
      </c>
      <c r="R887" s="824" t="n">
        <f aca="false">R886-1</f>
        <v>-672</v>
      </c>
      <c r="S887" s="5"/>
      <c r="T887" s="5"/>
      <c r="U887" s="5"/>
      <c r="V887" s="10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02"/>
      <c r="AU887" s="502"/>
      <c r="AV887" s="606"/>
      <c r="AW887" s="502"/>
      <c r="AX887" s="502"/>
      <c r="AY887" s="502"/>
      <c r="AZ887" s="502"/>
      <c r="BA887" s="502"/>
      <c r="BB887" s="502"/>
      <c r="BC887" s="502"/>
      <c r="BD887" s="502"/>
      <c r="BE887" s="502"/>
      <c r="BF887" s="502"/>
      <c r="BG887" s="502"/>
      <c r="BH887" s="502"/>
      <c r="BI887" s="502"/>
      <c r="BJ887" s="502"/>
      <c r="BK887" s="502"/>
      <c r="BL887" s="502"/>
      <c r="BM887" s="502"/>
      <c r="BN887" s="502"/>
      <c r="BO887" s="502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  <c r="DE887" s="5"/>
      <c r="DF887" s="5"/>
      <c r="DG887" s="5"/>
      <c r="DH887" s="5"/>
      <c r="DI887" s="5"/>
      <c r="DJ887" s="5"/>
      <c r="DK887" s="5"/>
      <c r="DL887" s="5"/>
      <c r="DM887" s="5"/>
      <c r="DN887" s="5"/>
      <c r="DO887" s="5"/>
      <c r="DP887" s="5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</row>
    <row r="888" s="504" customFormat="true" ht="12.75" hidden="true" customHeight="true" outlineLevel="0" collapsed="false">
      <c r="A888" s="5"/>
      <c r="B888" s="813" t="n">
        <f aca="false">B887+1</f>
        <v>673</v>
      </c>
      <c r="C888" s="814" t="n">
        <f aca="false">C887+D888</f>
        <v>88704.0980707718</v>
      </c>
      <c r="D888" s="815" t="n">
        <f aca="false">E888*$E$205*M888</f>
        <v>185.423300910889</v>
      </c>
      <c r="E888" s="601" t="n">
        <f aca="false">E887+$C$204</f>
        <v>11.7594686016545</v>
      </c>
      <c r="F888" s="816" t="n">
        <f aca="false">F887+1</f>
        <v>673</v>
      </c>
      <c r="G888" s="775" t="n">
        <f aca="false">C888</f>
        <v>88704.0980707718</v>
      </c>
      <c r="H888" s="817" t="n">
        <f aca="false">1000*(E888-E887)</f>
        <v>9.99999999999979</v>
      </c>
      <c r="I888" s="5"/>
      <c r="J888" s="818" t="n">
        <f aca="false">1000*(E888-$E$215)/(B888-$B$215)</f>
        <v>12.3385881553814</v>
      </c>
      <c r="K888" s="732" t="n">
        <f aca="false">AVERAGE($E$216:E888)</f>
        <v>8.38817588248671</v>
      </c>
      <c r="L888" s="819" t="n">
        <f aca="false">L887+1</f>
        <v>673</v>
      </c>
      <c r="M888" s="820" t="n">
        <f aca="false">IF(B888&lt;$E$104,$E$105,$E$106)</f>
        <v>3</v>
      </c>
      <c r="N888" s="821" t="n">
        <f aca="false">IF(B888&lt;$E$104,$E$105,$E$111)</f>
        <v>2.5</v>
      </c>
      <c r="O888" s="822" t="n">
        <f aca="false">E888*$E$205*N888</f>
        <v>154.519417425741</v>
      </c>
      <c r="P888" s="823" t="n">
        <f aca="false">P887+O888</f>
        <v>73971.7623260194</v>
      </c>
      <c r="Q888" s="606" t="n">
        <f aca="false">Q887+1</f>
        <v>673</v>
      </c>
      <c r="R888" s="824" t="n">
        <f aca="false">R887-1</f>
        <v>-673</v>
      </c>
      <c r="S888" s="5"/>
      <c r="T888" s="5"/>
      <c r="U888" s="5"/>
      <c r="V888" s="10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02"/>
      <c r="AU888" s="502"/>
      <c r="AV888" s="606"/>
      <c r="AW888" s="502"/>
      <c r="AX888" s="502"/>
      <c r="AY888" s="502"/>
      <c r="AZ888" s="502"/>
      <c r="BA888" s="502"/>
      <c r="BB888" s="502"/>
      <c r="BC888" s="502"/>
      <c r="BD888" s="502"/>
      <c r="BE888" s="502"/>
      <c r="BF888" s="502"/>
      <c r="BG888" s="502"/>
      <c r="BH888" s="502"/>
      <c r="BI888" s="502"/>
      <c r="BJ888" s="502"/>
      <c r="BK888" s="502"/>
      <c r="BL888" s="502"/>
      <c r="BM888" s="502"/>
      <c r="BN888" s="502"/>
      <c r="BO888" s="502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</row>
    <row r="889" s="504" customFormat="true" ht="12.75" hidden="true" customHeight="true" outlineLevel="0" collapsed="false">
      <c r="A889" s="5"/>
      <c r="B889" s="813" t="n">
        <f aca="false">B888+1</f>
        <v>674</v>
      </c>
      <c r="C889" s="814" t="n">
        <f aca="false">C888+D889</f>
        <v>88889.6790516827</v>
      </c>
      <c r="D889" s="815" t="n">
        <f aca="false">E889*$E$205*M889</f>
        <v>185.580980910889</v>
      </c>
      <c r="E889" s="601" t="n">
        <f aca="false">E888+$C$204</f>
        <v>11.7694686016545</v>
      </c>
      <c r="F889" s="816" t="n">
        <f aca="false">F888+1</f>
        <v>674</v>
      </c>
      <c r="G889" s="775" t="n">
        <f aca="false">C889</f>
        <v>88889.6790516827</v>
      </c>
      <c r="H889" s="817" t="n">
        <f aca="false">1000*(E889-E888)</f>
        <v>9.99999999999979</v>
      </c>
      <c r="I889" s="5"/>
      <c r="J889" s="818" t="n">
        <f aca="false">1000*(E889-$E$215)/(B889-$B$215)</f>
        <v>12.3351184400174</v>
      </c>
      <c r="K889" s="732" t="n">
        <f aca="false">AVERAGE($E$216:E889)</f>
        <v>8.39319263726293</v>
      </c>
      <c r="L889" s="819" t="n">
        <f aca="false">L888+1</f>
        <v>674</v>
      </c>
      <c r="M889" s="820" t="n">
        <f aca="false">IF(B889&lt;$E$104,$E$105,$E$106)</f>
        <v>3</v>
      </c>
      <c r="N889" s="821" t="n">
        <f aca="false">IF(B889&lt;$E$104,$E$105,$E$111)</f>
        <v>2.5</v>
      </c>
      <c r="O889" s="822" t="n">
        <f aca="false">E889*$E$205*N889</f>
        <v>154.650817425741</v>
      </c>
      <c r="P889" s="823" t="n">
        <f aca="false">P888+O889</f>
        <v>74126.4131434451</v>
      </c>
      <c r="Q889" s="606" t="n">
        <f aca="false">Q888+1</f>
        <v>674</v>
      </c>
      <c r="R889" s="824" t="n">
        <f aca="false">R888-1</f>
        <v>-674</v>
      </c>
      <c r="S889" s="5"/>
      <c r="T889" s="5"/>
      <c r="U889" s="5"/>
      <c r="V889" s="10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02"/>
      <c r="AU889" s="502"/>
      <c r="AV889" s="606"/>
      <c r="AW889" s="502"/>
      <c r="AX889" s="502"/>
      <c r="AY889" s="502"/>
      <c r="AZ889" s="502"/>
      <c r="BA889" s="502"/>
      <c r="BB889" s="502"/>
      <c r="BC889" s="502"/>
      <c r="BD889" s="502"/>
      <c r="BE889" s="502"/>
      <c r="BF889" s="502"/>
      <c r="BG889" s="502"/>
      <c r="BH889" s="502"/>
      <c r="BI889" s="502"/>
      <c r="BJ889" s="502"/>
      <c r="BK889" s="502"/>
      <c r="BL889" s="502"/>
      <c r="BM889" s="502"/>
      <c r="BN889" s="502"/>
      <c r="BO889" s="502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  <c r="DI889" s="5"/>
      <c r="DJ889" s="5"/>
      <c r="DK889" s="5"/>
      <c r="DL889" s="5"/>
      <c r="DM889" s="5"/>
      <c r="DN889" s="5"/>
      <c r="DO889" s="5"/>
      <c r="DP889" s="5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</row>
    <row r="890" s="504" customFormat="true" ht="12.75" hidden="true" customHeight="true" outlineLevel="0" collapsed="false">
      <c r="A890" s="5"/>
      <c r="B890" s="813" t="n">
        <f aca="false">B889+1</f>
        <v>675</v>
      </c>
      <c r="C890" s="814" t="n">
        <f aca="false">C889+D890</f>
        <v>89075.4177125936</v>
      </c>
      <c r="D890" s="815" t="n">
        <f aca="false">E890*$E$205*M890</f>
        <v>185.738660910889</v>
      </c>
      <c r="E890" s="601" t="n">
        <f aca="false">E889+$C$204</f>
        <v>11.7794686016545</v>
      </c>
      <c r="F890" s="816" t="n">
        <f aca="false">F889+1</f>
        <v>675</v>
      </c>
      <c r="G890" s="775" t="n">
        <f aca="false">C890</f>
        <v>89075.4177125936</v>
      </c>
      <c r="H890" s="817" t="n">
        <f aca="false">1000*(E890-E889)</f>
        <v>9.99999999999979</v>
      </c>
      <c r="I890" s="5"/>
      <c r="J890" s="818" t="n">
        <f aca="false">1000*(E890-$E$215)/(B890-$B$215)</f>
        <v>12.3316590052914</v>
      </c>
      <c r="K890" s="732" t="n">
        <f aca="false">AVERAGE($E$216:E890)</f>
        <v>8.39820934239536</v>
      </c>
      <c r="L890" s="819" t="n">
        <f aca="false">L889+1</f>
        <v>675</v>
      </c>
      <c r="M890" s="820" t="n">
        <f aca="false">IF(B890&lt;$E$104,$E$105,$E$106)</f>
        <v>3</v>
      </c>
      <c r="N890" s="821" t="n">
        <f aca="false">IF(B890&lt;$E$104,$E$105,$E$111)</f>
        <v>2.5</v>
      </c>
      <c r="O890" s="822" t="n">
        <f aca="false">E890*$E$205*N890</f>
        <v>154.782217425741</v>
      </c>
      <c r="P890" s="823" t="n">
        <f aca="false">P889+O890</f>
        <v>74281.1953608709</v>
      </c>
      <c r="Q890" s="606" t="n">
        <f aca="false">Q889+1</f>
        <v>675</v>
      </c>
      <c r="R890" s="824" t="n">
        <f aca="false">R889-1</f>
        <v>-675</v>
      </c>
      <c r="S890" s="5"/>
      <c r="T890" s="5"/>
      <c r="U890" s="5"/>
      <c r="V890" s="10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02"/>
      <c r="AU890" s="502"/>
      <c r="AV890" s="606"/>
      <c r="AW890" s="502"/>
      <c r="AX890" s="502"/>
      <c r="AY890" s="502"/>
      <c r="AZ890" s="502"/>
      <c r="BA890" s="502"/>
      <c r="BB890" s="502"/>
      <c r="BC890" s="502"/>
      <c r="BD890" s="502"/>
      <c r="BE890" s="502"/>
      <c r="BF890" s="502"/>
      <c r="BG890" s="502"/>
      <c r="BH890" s="502"/>
      <c r="BI890" s="502"/>
      <c r="BJ890" s="502"/>
      <c r="BK890" s="502"/>
      <c r="BL890" s="502"/>
      <c r="BM890" s="502"/>
      <c r="BN890" s="502"/>
      <c r="BO890" s="502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</row>
    <row r="891" s="504" customFormat="true" ht="12.75" hidden="true" customHeight="true" outlineLevel="0" collapsed="false">
      <c r="A891" s="5"/>
      <c r="B891" s="813" t="n">
        <f aca="false">B890+1</f>
        <v>676</v>
      </c>
      <c r="C891" s="814" t="n">
        <f aca="false">C890+D891</f>
        <v>89261.3140535045</v>
      </c>
      <c r="D891" s="815" t="n">
        <f aca="false">E891*$E$205*M891</f>
        <v>185.896340910889</v>
      </c>
      <c r="E891" s="601" t="n">
        <f aca="false">E890+$C$204</f>
        <v>11.7894686016545</v>
      </c>
      <c r="F891" s="816" t="n">
        <f aca="false">F890+1</f>
        <v>676</v>
      </c>
      <c r="G891" s="775" t="n">
        <f aca="false">C891</f>
        <v>89261.3140535045</v>
      </c>
      <c r="H891" s="817" t="n">
        <f aca="false">1000*(E891-E890)</f>
        <v>9.99999999999979</v>
      </c>
      <c r="I891" s="5"/>
      <c r="J891" s="818" t="n">
        <f aca="false">1000*(E891-$E$215)/(B891-$B$215)</f>
        <v>12.3282098055794</v>
      </c>
      <c r="K891" s="732" t="n">
        <f aca="false">AVERAGE($E$216:E891)</f>
        <v>8.40322599810432</v>
      </c>
      <c r="L891" s="819" t="n">
        <f aca="false">L890+1</f>
        <v>676</v>
      </c>
      <c r="M891" s="820" t="n">
        <f aca="false">IF(B891&lt;$E$104,$E$105,$E$106)</f>
        <v>3</v>
      </c>
      <c r="N891" s="821" t="n">
        <f aca="false">IF(B891&lt;$E$104,$E$105,$E$111)</f>
        <v>2.5</v>
      </c>
      <c r="O891" s="822" t="n">
        <f aca="false">E891*$E$205*N891</f>
        <v>154.913617425741</v>
      </c>
      <c r="P891" s="823" t="n">
        <f aca="false">P890+O891</f>
        <v>74436.1089782966</v>
      </c>
      <c r="Q891" s="606" t="n">
        <f aca="false">Q890+1</f>
        <v>676</v>
      </c>
      <c r="R891" s="824" t="n">
        <f aca="false">R890-1</f>
        <v>-676</v>
      </c>
      <c r="S891" s="5"/>
      <c r="T891" s="5"/>
      <c r="U891" s="5"/>
      <c r="V891" s="10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02"/>
      <c r="AU891" s="502"/>
      <c r="AV891" s="606"/>
      <c r="AW891" s="502"/>
      <c r="AX891" s="502"/>
      <c r="AY891" s="502"/>
      <c r="AZ891" s="502"/>
      <c r="BA891" s="502"/>
      <c r="BB891" s="502"/>
      <c r="BC891" s="502"/>
      <c r="BD891" s="502"/>
      <c r="BE891" s="502"/>
      <c r="BF891" s="502"/>
      <c r="BG891" s="502"/>
      <c r="BH891" s="502"/>
      <c r="BI891" s="502"/>
      <c r="BJ891" s="502"/>
      <c r="BK891" s="502"/>
      <c r="BL891" s="502"/>
      <c r="BM891" s="502"/>
      <c r="BN891" s="502"/>
      <c r="BO891" s="502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  <c r="DI891" s="5"/>
      <c r="DJ891" s="5"/>
      <c r="DK891" s="5"/>
      <c r="DL891" s="5"/>
      <c r="DM891" s="5"/>
      <c r="DN891" s="5"/>
      <c r="DO891" s="5"/>
      <c r="DP891" s="5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</row>
    <row r="892" s="504" customFormat="true" ht="12.75" hidden="true" customHeight="true" outlineLevel="0" collapsed="false">
      <c r="A892" s="5"/>
      <c r="B892" s="813" t="n">
        <f aca="false">B891+1</f>
        <v>677</v>
      </c>
      <c r="C892" s="814" t="n">
        <f aca="false">C891+D892</f>
        <v>89447.3680744154</v>
      </c>
      <c r="D892" s="815" t="n">
        <f aca="false">E892*$E$205*M892</f>
        <v>186.054020910889</v>
      </c>
      <c r="E892" s="601" t="n">
        <f aca="false">E891+$C$204</f>
        <v>11.7994686016545</v>
      </c>
      <c r="F892" s="816" t="n">
        <f aca="false">F891+1</f>
        <v>677</v>
      </c>
      <c r="G892" s="775" t="n">
        <f aca="false">C892</f>
        <v>89447.3680744154</v>
      </c>
      <c r="H892" s="817" t="n">
        <f aca="false">1000*(E892-E891)</f>
        <v>9.99999999999979</v>
      </c>
      <c r="I892" s="5"/>
      <c r="J892" s="818" t="n">
        <f aca="false">1000*(E892-$E$215)/(B892-$B$215)</f>
        <v>12.3247707955269</v>
      </c>
      <c r="K892" s="732" t="n">
        <f aca="false">AVERAGE($E$216:E892)</f>
        <v>8.40824260460883</v>
      </c>
      <c r="L892" s="819" t="n">
        <f aca="false">L891+1</f>
        <v>677</v>
      </c>
      <c r="M892" s="820" t="n">
        <f aca="false">IF(B892&lt;$E$104,$E$105,$E$106)</f>
        <v>3</v>
      </c>
      <c r="N892" s="821" t="n">
        <f aca="false">IF(B892&lt;$E$104,$E$105,$E$111)</f>
        <v>2.5</v>
      </c>
      <c r="O892" s="822" t="n">
        <f aca="false">E892*$E$205*N892</f>
        <v>155.045017425741</v>
      </c>
      <c r="P892" s="823" t="n">
        <f aca="false">P891+O892</f>
        <v>74591.1539957224</v>
      </c>
      <c r="Q892" s="606" t="n">
        <f aca="false">Q891+1</f>
        <v>677</v>
      </c>
      <c r="R892" s="824" t="n">
        <f aca="false">R891-1</f>
        <v>-677</v>
      </c>
      <c r="S892" s="5"/>
      <c r="T892" s="5"/>
      <c r="U892" s="5"/>
      <c r="V892" s="10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02"/>
      <c r="AU892" s="502"/>
      <c r="AV892" s="606"/>
      <c r="AW892" s="502"/>
      <c r="AX892" s="502"/>
      <c r="AY892" s="502"/>
      <c r="AZ892" s="502"/>
      <c r="BA892" s="502"/>
      <c r="BB892" s="502"/>
      <c r="BC892" s="502"/>
      <c r="BD892" s="502"/>
      <c r="BE892" s="502"/>
      <c r="BF892" s="502"/>
      <c r="BG892" s="502"/>
      <c r="BH892" s="502"/>
      <c r="BI892" s="502"/>
      <c r="BJ892" s="502"/>
      <c r="BK892" s="502"/>
      <c r="BL892" s="502"/>
      <c r="BM892" s="502"/>
      <c r="BN892" s="502"/>
      <c r="BO892" s="502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</row>
    <row r="893" s="504" customFormat="true" ht="12.75" hidden="true" customHeight="true" outlineLevel="0" collapsed="false">
      <c r="A893" s="5"/>
      <c r="B893" s="813" t="n">
        <f aca="false">B892+1</f>
        <v>678</v>
      </c>
      <c r="C893" s="814" t="n">
        <f aca="false">C892+D893</f>
        <v>89633.5797753263</v>
      </c>
      <c r="D893" s="815" t="n">
        <f aca="false">E893*$E$205*M893</f>
        <v>186.211700910889</v>
      </c>
      <c r="E893" s="601" t="n">
        <f aca="false">E892+$C$204</f>
        <v>11.8094686016545</v>
      </c>
      <c r="F893" s="816" t="n">
        <f aca="false">F892+1</f>
        <v>678</v>
      </c>
      <c r="G893" s="775" t="n">
        <f aca="false">C893</f>
        <v>89633.5797753263</v>
      </c>
      <c r="H893" s="817" t="n">
        <f aca="false">1000*(E893-E892)</f>
        <v>9.99999999999979</v>
      </c>
      <c r="I893" s="5"/>
      <c r="J893" s="818" t="n">
        <f aca="false">1000*(E893-$E$215)/(B893-$B$215)</f>
        <v>12.3213419300468</v>
      </c>
      <c r="K893" s="732" t="n">
        <f aca="false">AVERAGE($E$216:E893)</f>
        <v>8.41325916212659</v>
      </c>
      <c r="L893" s="819" t="n">
        <f aca="false">L892+1</f>
        <v>678</v>
      </c>
      <c r="M893" s="820" t="n">
        <f aca="false">IF(B893&lt;$E$104,$E$105,$E$106)</f>
        <v>3</v>
      </c>
      <c r="N893" s="821" t="n">
        <f aca="false">IF(B893&lt;$E$104,$E$105,$E$111)</f>
        <v>2.5</v>
      </c>
      <c r="O893" s="822" t="n">
        <f aca="false">E893*$E$205*N893</f>
        <v>155.176417425741</v>
      </c>
      <c r="P893" s="823" t="n">
        <f aca="false">P892+O893</f>
        <v>74746.3304131481</v>
      </c>
      <c r="Q893" s="606" t="n">
        <f aca="false">Q892+1</f>
        <v>678</v>
      </c>
      <c r="R893" s="824" t="n">
        <f aca="false">R892-1</f>
        <v>-678</v>
      </c>
      <c r="S893" s="5"/>
      <c r="T893" s="5"/>
      <c r="U893" s="5"/>
      <c r="V893" s="10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02"/>
      <c r="AU893" s="502"/>
      <c r="AV893" s="606"/>
      <c r="AW893" s="502"/>
      <c r="AX893" s="502"/>
      <c r="AY893" s="502"/>
      <c r="AZ893" s="502"/>
      <c r="BA893" s="502"/>
      <c r="BB893" s="502"/>
      <c r="BC893" s="502"/>
      <c r="BD893" s="502"/>
      <c r="BE893" s="502"/>
      <c r="BF893" s="502"/>
      <c r="BG893" s="502"/>
      <c r="BH893" s="502"/>
      <c r="BI893" s="502"/>
      <c r="BJ893" s="502"/>
      <c r="BK893" s="502"/>
      <c r="BL893" s="502"/>
      <c r="BM893" s="502"/>
      <c r="BN893" s="502"/>
      <c r="BO893" s="502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</row>
    <row r="894" s="504" customFormat="true" ht="12.75" hidden="true" customHeight="true" outlineLevel="0" collapsed="false">
      <c r="A894" s="5"/>
      <c r="B894" s="813" t="n">
        <f aca="false">B893+1</f>
        <v>679</v>
      </c>
      <c r="C894" s="814" t="n">
        <f aca="false">C893+D894</f>
        <v>89819.9491562372</v>
      </c>
      <c r="D894" s="815" t="n">
        <f aca="false">E894*$E$205*M894</f>
        <v>186.369380910889</v>
      </c>
      <c r="E894" s="601" t="n">
        <f aca="false">E893+$C$204</f>
        <v>11.8194686016545</v>
      </c>
      <c r="F894" s="816" t="n">
        <f aca="false">F893+1</f>
        <v>679</v>
      </c>
      <c r="G894" s="775" t="n">
        <f aca="false">C894</f>
        <v>89819.9491562372</v>
      </c>
      <c r="H894" s="817" t="n">
        <f aca="false">1000*(E894-E893)</f>
        <v>9.99999999999979</v>
      </c>
      <c r="I894" s="5"/>
      <c r="J894" s="818" t="n">
        <f aca="false">1000*(E894-$E$215)/(B894-$B$215)</f>
        <v>12.3179231643177</v>
      </c>
      <c r="K894" s="732" t="n">
        <f aca="false">AVERAGE($E$216:E894)</f>
        <v>8.41827567087406</v>
      </c>
      <c r="L894" s="819" t="n">
        <f aca="false">L893+1</f>
        <v>679</v>
      </c>
      <c r="M894" s="820" t="n">
        <f aca="false">IF(B894&lt;$E$104,$E$105,$E$106)</f>
        <v>3</v>
      </c>
      <c r="N894" s="821" t="n">
        <f aca="false">IF(B894&lt;$E$104,$E$105,$E$111)</f>
        <v>2.5</v>
      </c>
      <c r="O894" s="822" t="n">
        <f aca="false">E894*$E$205*N894</f>
        <v>155.307817425741</v>
      </c>
      <c r="P894" s="823" t="n">
        <f aca="false">P893+O894</f>
        <v>74901.6382305738</v>
      </c>
      <c r="Q894" s="606" t="n">
        <f aca="false">Q893+1</f>
        <v>679</v>
      </c>
      <c r="R894" s="824" t="n">
        <f aca="false">R893-1</f>
        <v>-679</v>
      </c>
      <c r="S894" s="5"/>
      <c r="T894" s="5"/>
      <c r="U894" s="5"/>
      <c r="V894" s="10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02"/>
      <c r="AU894" s="502"/>
      <c r="AV894" s="606"/>
      <c r="AW894" s="502"/>
      <c r="AX894" s="502"/>
      <c r="AY894" s="502"/>
      <c r="AZ894" s="502"/>
      <c r="BA894" s="502"/>
      <c r="BB894" s="502"/>
      <c r="BC894" s="502"/>
      <c r="BD894" s="502"/>
      <c r="BE894" s="502"/>
      <c r="BF894" s="502"/>
      <c r="BG894" s="502"/>
      <c r="BH894" s="502"/>
      <c r="BI894" s="502"/>
      <c r="BJ894" s="502"/>
      <c r="BK894" s="502"/>
      <c r="BL894" s="502"/>
      <c r="BM894" s="502"/>
      <c r="BN894" s="502"/>
      <c r="BO894" s="502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  <c r="DI894" s="5"/>
      <c r="DJ894" s="5"/>
      <c r="DK894" s="5"/>
      <c r="DL894" s="5"/>
      <c r="DM894" s="5"/>
      <c r="DN894" s="5"/>
      <c r="DO894" s="5"/>
      <c r="DP894" s="5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</row>
    <row r="895" s="504" customFormat="true" ht="12.75" hidden="true" customHeight="true" outlineLevel="0" collapsed="false">
      <c r="A895" s="5"/>
      <c r="B895" s="813" t="n">
        <f aca="false">B894+1</f>
        <v>680</v>
      </c>
      <c r="C895" s="814" t="n">
        <f aca="false">C894+D895</f>
        <v>90006.4762171481</v>
      </c>
      <c r="D895" s="815" t="n">
        <f aca="false">E895*$E$205*M895</f>
        <v>186.527060910889</v>
      </c>
      <c r="E895" s="601" t="n">
        <f aca="false">E894+$C$204</f>
        <v>11.8294686016545</v>
      </c>
      <c r="F895" s="816" t="n">
        <f aca="false">F894+1</f>
        <v>680</v>
      </c>
      <c r="G895" s="775" t="n">
        <f aca="false">C895</f>
        <v>90006.4762171481</v>
      </c>
      <c r="H895" s="817" t="n">
        <f aca="false">1000*(E895-E894)</f>
        <v>9.99999999999979</v>
      </c>
      <c r="I895" s="5"/>
      <c r="J895" s="818" t="n">
        <f aca="false">1000*(E895-$E$215)/(B895-$B$215)</f>
        <v>12.3145144537819</v>
      </c>
      <c r="K895" s="732" t="n">
        <f aca="false">AVERAGE($E$216:E895)</f>
        <v>8.42329213106638</v>
      </c>
      <c r="L895" s="819" t="n">
        <f aca="false">L894+1</f>
        <v>680</v>
      </c>
      <c r="M895" s="820" t="n">
        <f aca="false">IF(B895&lt;$E$104,$E$105,$E$106)</f>
        <v>3</v>
      </c>
      <c r="N895" s="821" t="n">
        <f aca="false">IF(B895&lt;$E$104,$E$105,$E$111)</f>
        <v>2.5</v>
      </c>
      <c r="O895" s="822" t="n">
        <f aca="false">E895*$E$205*N895</f>
        <v>155.439217425741</v>
      </c>
      <c r="P895" s="823" t="n">
        <f aca="false">P894+O895</f>
        <v>75057.0774479996</v>
      </c>
      <c r="Q895" s="606" t="n">
        <f aca="false">Q894+1</f>
        <v>680</v>
      </c>
      <c r="R895" s="824" t="n">
        <f aca="false">R894-1</f>
        <v>-680</v>
      </c>
      <c r="S895" s="5"/>
      <c r="T895" s="5"/>
      <c r="U895" s="5"/>
      <c r="V895" s="10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02"/>
      <c r="AU895" s="502"/>
      <c r="AV895" s="606"/>
      <c r="AW895" s="502"/>
      <c r="AX895" s="502"/>
      <c r="AY895" s="502"/>
      <c r="AZ895" s="502"/>
      <c r="BA895" s="502"/>
      <c r="BB895" s="502"/>
      <c r="BC895" s="502"/>
      <c r="BD895" s="502"/>
      <c r="BE895" s="502"/>
      <c r="BF895" s="502"/>
      <c r="BG895" s="502"/>
      <c r="BH895" s="502"/>
      <c r="BI895" s="502"/>
      <c r="BJ895" s="502"/>
      <c r="BK895" s="502"/>
      <c r="BL895" s="502"/>
      <c r="BM895" s="502"/>
      <c r="BN895" s="502"/>
      <c r="BO895" s="502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</row>
    <row r="896" s="504" customFormat="true" ht="12.75" hidden="true" customHeight="true" outlineLevel="0" collapsed="false">
      <c r="A896" s="5"/>
      <c r="B896" s="813" t="n">
        <f aca="false">B895+1</f>
        <v>681</v>
      </c>
      <c r="C896" s="814" t="n">
        <f aca="false">C895+D896</f>
        <v>90193.1609580589</v>
      </c>
      <c r="D896" s="815" t="n">
        <f aca="false">E896*$E$205*M896</f>
        <v>186.684740910889</v>
      </c>
      <c r="E896" s="601" t="n">
        <f aca="false">E895+$C$204</f>
        <v>11.8394686016545</v>
      </c>
      <c r="F896" s="816" t="n">
        <f aca="false">F895+1</f>
        <v>681</v>
      </c>
      <c r="G896" s="775" t="n">
        <f aca="false">C896</f>
        <v>90193.1609580589</v>
      </c>
      <c r="H896" s="817" t="n">
        <f aca="false">1000*(E896-E895)</f>
        <v>9.99999999999979</v>
      </c>
      <c r="I896" s="5"/>
      <c r="J896" s="818" t="n">
        <f aca="false">1000*(E896-$E$215)/(B896-$B$215)</f>
        <v>12.3111157541435</v>
      </c>
      <c r="K896" s="732" t="n">
        <f aca="false">AVERAGE($E$216:E896)</f>
        <v>8.42830854291747</v>
      </c>
      <c r="L896" s="819" t="n">
        <f aca="false">L895+1</f>
        <v>681</v>
      </c>
      <c r="M896" s="820" t="n">
        <f aca="false">IF(B896&lt;$E$104,$E$105,$E$106)</f>
        <v>3</v>
      </c>
      <c r="N896" s="821" t="n">
        <f aca="false">IF(B896&lt;$E$104,$E$105,$E$111)</f>
        <v>2.5</v>
      </c>
      <c r="O896" s="822" t="n">
        <f aca="false">E896*$E$205*N896</f>
        <v>155.570617425741</v>
      </c>
      <c r="P896" s="823" t="n">
        <f aca="false">P895+O896</f>
        <v>75212.6480654253</v>
      </c>
      <c r="Q896" s="606" t="n">
        <f aca="false">Q895+1</f>
        <v>681</v>
      </c>
      <c r="R896" s="824" t="n">
        <f aca="false">R895-1</f>
        <v>-681</v>
      </c>
      <c r="S896" s="5"/>
      <c r="T896" s="5"/>
      <c r="U896" s="5"/>
      <c r="V896" s="10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02"/>
      <c r="AU896" s="502"/>
      <c r="AV896" s="606"/>
      <c r="AW896" s="502"/>
      <c r="AX896" s="502"/>
      <c r="AY896" s="502"/>
      <c r="AZ896" s="502"/>
      <c r="BA896" s="502"/>
      <c r="BB896" s="502"/>
      <c r="BC896" s="502"/>
      <c r="BD896" s="502"/>
      <c r="BE896" s="502"/>
      <c r="BF896" s="502"/>
      <c r="BG896" s="502"/>
      <c r="BH896" s="502"/>
      <c r="BI896" s="502"/>
      <c r="BJ896" s="502"/>
      <c r="BK896" s="502"/>
      <c r="BL896" s="502"/>
      <c r="BM896" s="502"/>
      <c r="BN896" s="502"/>
      <c r="BO896" s="502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  <c r="DI896" s="5"/>
      <c r="DJ896" s="5"/>
      <c r="DK896" s="5"/>
      <c r="DL896" s="5"/>
      <c r="DM896" s="5"/>
      <c r="DN896" s="5"/>
      <c r="DO896" s="5"/>
      <c r="DP896" s="5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</row>
    <row r="897" s="504" customFormat="true" ht="12.75" hidden="true" customHeight="true" outlineLevel="0" collapsed="false">
      <c r="A897" s="5"/>
      <c r="B897" s="813" t="n">
        <f aca="false">B896+1</f>
        <v>682</v>
      </c>
      <c r="C897" s="814" t="n">
        <f aca="false">C896+D897</f>
        <v>90380.0033789698</v>
      </c>
      <c r="D897" s="815" t="n">
        <f aca="false">E897*$E$205*M897</f>
        <v>186.842420910889</v>
      </c>
      <c r="E897" s="601" t="n">
        <f aca="false">E896+$C$204</f>
        <v>11.8494686016545</v>
      </c>
      <c r="F897" s="816" t="n">
        <f aca="false">F896+1</f>
        <v>682</v>
      </c>
      <c r="G897" s="775" t="n">
        <f aca="false">C897</f>
        <v>90380.0033789698</v>
      </c>
      <c r="H897" s="817" t="n">
        <f aca="false">1000*(E897-E896)</f>
        <v>9.99999999999979</v>
      </c>
      <c r="I897" s="5"/>
      <c r="J897" s="818" t="n">
        <f aca="false">1000*(E897-$E$215)/(B897-$B$215)</f>
        <v>12.3077270213661</v>
      </c>
      <c r="K897" s="732" t="n">
        <f aca="false">AVERAGE($E$216:E897)</f>
        <v>8.43332490663996</v>
      </c>
      <c r="L897" s="819" t="n">
        <f aca="false">L896+1</f>
        <v>682</v>
      </c>
      <c r="M897" s="820" t="n">
        <f aca="false">IF(B897&lt;$E$104,$E$105,$E$106)</f>
        <v>3</v>
      </c>
      <c r="N897" s="821" t="n">
        <f aca="false">IF(B897&lt;$E$104,$E$105,$E$111)</f>
        <v>2.5</v>
      </c>
      <c r="O897" s="822" t="n">
        <f aca="false">E897*$E$205*N897</f>
        <v>155.702017425741</v>
      </c>
      <c r="P897" s="823" t="n">
        <f aca="false">P896+O897</f>
        <v>75368.350082851</v>
      </c>
      <c r="Q897" s="606" t="n">
        <f aca="false">Q896+1</f>
        <v>682</v>
      </c>
      <c r="R897" s="824" t="n">
        <f aca="false">R896-1</f>
        <v>-682</v>
      </c>
      <c r="S897" s="5"/>
      <c r="T897" s="5"/>
      <c r="U897" s="5"/>
      <c r="V897" s="10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02"/>
      <c r="AU897" s="502"/>
      <c r="AV897" s="606"/>
      <c r="AW897" s="502"/>
      <c r="AX897" s="502"/>
      <c r="AY897" s="502"/>
      <c r="AZ897" s="502"/>
      <c r="BA897" s="502"/>
      <c r="BB897" s="502"/>
      <c r="BC897" s="502"/>
      <c r="BD897" s="502"/>
      <c r="BE897" s="502"/>
      <c r="BF897" s="502"/>
      <c r="BG897" s="502"/>
      <c r="BH897" s="502"/>
      <c r="BI897" s="502"/>
      <c r="BJ897" s="502"/>
      <c r="BK897" s="502"/>
      <c r="BL897" s="502"/>
      <c r="BM897" s="502"/>
      <c r="BN897" s="502"/>
      <c r="BO897" s="502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</row>
    <row r="898" s="504" customFormat="true" ht="12.75" hidden="true" customHeight="true" outlineLevel="0" collapsed="false">
      <c r="A898" s="5"/>
      <c r="B898" s="813" t="n">
        <f aca="false">B897+1</f>
        <v>683</v>
      </c>
      <c r="C898" s="814" t="n">
        <f aca="false">C897+D898</f>
        <v>90567.0034798807</v>
      </c>
      <c r="D898" s="815" t="n">
        <f aca="false">E898*$E$205*M898</f>
        <v>187.000100910889</v>
      </c>
      <c r="E898" s="601" t="n">
        <f aca="false">E897+$C$204</f>
        <v>11.8594686016545</v>
      </c>
      <c r="F898" s="816" t="n">
        <f aca="false">F897+1</f>
        <v>683</v>
      </c>
      <c r="G898" s="775" t="n">
        <f aca="false">C898</f>
        <v>90567.0034798807</v>
      </c>
      <c r="H898" s="817" t="n">
        <f aca="false">1000*(E898-E897)</f>
        <v>9.99999999999979</v>
      </c>
      <c r="I898" s="5"/>
      <c r="J898" s="818" t="n">
        <f aca="false">1000*(E898-$E$215)/(B898-$B$215)</f>
        <v>12.3043482116716</v>
      </c>
      <c r="K898" s="732" t="n">
        <f aca="false">AVERAGE($E$216:E898)</f>
        <v>8.43834122244525</v>
      </c>
      <c r="L898" s="819" t="n">
        <f aca="false">L897+1</f>
        <v>683</v>
      </c>
      <c r="M898" s="820" t="n">
        <f aca="false">IF(B898&lt;$E$104,$E$105,$E$106)</f>
        <v>3</v>
      </c>
      <c r="N898" s="821" t="n">
        <f aca="false">IF(B898&lt;$E$104,$E$105,$E$111)</f>
        <v>2.5</v>
      </c>
      <c r="O898" s="822" t="n">
        <f aca="false">E898*$E$205*N898</f>
        <v>155.833417425741</v>
      </c>
      <c r="P898" s="823" t="n">
        <f aca="false">P897+O898</f>
        <v>75524.1835002768</v>
      </c>
      <c r="Q898" s="606" t="n">
        <f aca="false">Q897+1</f>
        <v>683</v>
      </c>
      <c r="R898" s="824" t="n">
        <f aca="false">R897-1</f>
        <v>-683</v>
      </c>
      <c r="S898" s="5"/>
      <c r="T898" s="5"/>
      <c r="U898" s="5"/>
      <c r="V898" s="10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02"/>
      <c r="AU898" s="502"/>
      <c r="AV898" s="606"/>
      <c r="AW898" s="502"/>
      <c r="AX898" s="502"/>
      <c r="AY898" s="502"/>
      <c r="AZ898" s="502"/>
      <c r="BA898" s="502"/>
      <c r="BB898" s="502"/>
      <c r="BC898" s="502"/>
      <c r="BD898" s="502"/>
      <c r="BE898" s="502"/>
      <c r="BF898" s="502"/>
      <c r="BG898" s="502"/>
      <c r="BH898" s="502"/>
      <c r="BI898" s="502"/>
      <c r="BJ898" s="502"/>
      <c r="BK898" s="502"/>
      <c r="BL898" s="502"/>
      <c r="BM898" s="502"/>
      <c r="BN898" s="502"/>
      <c r="BO898" s="502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</row>
    <row r="899" s="504" customFormat="true" ht="12.75" hidden="true" customHeight="true" outlineLevel="0" collapsed="false">
      <c r="A899" s="5"/>
      <c r="B899" s="813" t="n">
        <f aca="false">B898+1</f>
        <v>684</v>
      </c>
      <c r="C899" s="814" t="n">
        <f aca="false">C898+D899</f>
        <v>90754.1612607916</v>
      </c>
      <c r="D899" s="815" t="n">
        <f aca="false">E899*$E$205*M899</f>
        <v>187.157780910889</v>
      </c>
      <c r="E899" s="601" t="n">
        <f aca="false">E898+$C$204</f>
        <v>11.8694686016545</v>
      </c>
      <c r="F899" s="816" t="n">
        <f aca="false">F898+1</f>
        <v>684</v>
      </c>
      <c r="G899" s="775" t="n">
        <f aca="false">C899</f>
        <v>90754.1612607916</v>
      </c>
      <c r="H899" s="817" t="n">
        <f aca="false">1000*(E899-E898)</f>
        <v>9.99999999999979</v>
      </c>
      <c r="I899" s="5"/>
      <c r="J899" s="818" t="n">
        <f aca="false">1000*(E899-$E$215)/(B899-$B$215)</f>
        <v>12.3009792815376</v>
      </c>
      <c r="K899" s="732" t="n">
        <f aca="false">AVERAGE($E$216:E899)</f>
        <v>8.44335749054351</v>
      </c>
      <c r="L899" s="819" t="n">
        <f aca="false">L898+1</f>
        <v>684</v>
      </c>
      <c r="M899" s="820" t="n">
        <f aca="false">IF(B899&lt;$E$104,$E$105,$E$106)</f>
        <v>3</v>
      </c>
      <c r="N899" s="821" t="n">
        <f aca="false">IF(B899&lt;$E$104,$E$105,$E$111)</f>
        <v>2.5</v>
      </c>
      <c r="O899" s="822" t="n">
        <f aca="false">E899*$E$205*N899</f>
        <v>155.964817425741</v>
      </c>
      <c r="P899" s="823" t="n">
        <f aca="false">P898+O899</f>
        <v>75680.1483177025</v>
      </c>
      <c r="Q899" s="606" t="n">
        <f aca="false">Q898+1</f>
        <v>684</v>
      </c>
      <c r="R899" s="824" t="n">
        <f aca="false">R898-1</f>
        <v>-684</v>
      </c>
      <c r="S899" s="5"/>
      <c r="T899" s="5"/>
      <c r="U899" s="5"/>
      <c r="V899" s="10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02"/>
      <c r="AU899" s="502"/>
      <c r="AV899" s="606"/>
      <c r="AW899" s="502"/>
      <c r="AX899" s="502"/>
      <c r="AY899" s="502"/>
      <c r="AZ899" s="502"/>
      <c r="BA899" s="502"/>
      <c r="BB899" s="502"/>
      <c r="BC899" s="502"/>
      <c r="BD899" s="502"/>
      <c r="BE899" s="502"/>
      <c r="BF899" s="502"/>
      <c r="BG899" s="502"/>
      <c r="BH899" s="502"/>
      <c r="BI899" s="502"/>
      <c r="BJ899" s="502"/>
      <c r="BK899" s="502"/>
      <c r="BL899" s="502"/>
      <c r="BM899" s="502"/>
      <c r="BN899" s="502"/>
      <c r="BO899" s="502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  <c r="DI899" s="5"/>
      <c r="DJ899" s="5"/>
      <c r="DK899" s="5"/>
      <c r="DL899" s="5"/>
      <c r="DM899" s="5"/>
      <c r="DN899" s="5"/>
      <c r="DO899" s="5"/>
      <c r="DP899" s="5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</row>
    <row r="900" s="504" customFormat="true" ht="12.75" hidden="true" customHeight="true" outlineLevel="0" collapsed="false">
      <c r="A900" s="5"/>
      <c r="B900" s="813" t="n">
        <f aca="false">B899+1</f>
        <v>685</v>
      </c>
      <c r="C900" s="814" t="n">
        <f aca="false">C899+D900</f>
        <v>90941.4767217025</v>
      </c>
      <c r="D900" s="815" t="n">
        <f aca="false">E900*$E$205*M900</f>
        <v>187.315460910889</v>
      </c>
      <c r="E900" s="601" t="n">
        <f aca="false">E899+$C$204</f>
        <v>11.8794686016545</v>
      </c>
      <c r="F900" s="816" t="n">
        <f aca="false">F899+1</f>
        <v>685</v>
      </c>
      <c r="G900" s="775" t="n">
        <f aca="false">C900</f>
        <v>90941.4767217025</v>
      </c>
      <c r="H900" s="817" t="n">
        <f aca="false">1000*(E900-E899)</f>
        <v>9.99999999999979</v>
      </c>
      <c r="I900" s="5"/>
      <c r="J900" s="818" t="n">
        <f aca="false">1000*(E900-$E$215)/(B900-$B$215)</f>
        <v>12.2976201876959</v>
      </c>
      <c r="K900" s="732" t="n">
        <f aca="false">AVERAGE($E$216:E900)</f>
        <v>8.44837371114367</v>
      </c>
      <c r="L900" s="819" t="n">
        <f aca="false">L899+1</f>
        <v>685</v>
      </c>
      <c r="M900" s="820" t="n">
        <f aca="false">IF(B900&lt;$E$104,$E$105,$E$106)</f>
        <v>3</v>
      </c>
      <c r="N900" s="821" t="n">
        <f aca="false">IF(B900&lt;$E$104,$E$105,$E$111)</f>
        <v>2.5</v>
      </c>
      <c r="O900" s="822" t="n">
        <f aca="false">E900*$E$205*N900</f>
        <v>156.096217425741</v>
      </c>
      <c r="P900" s="823" t="n">
        <f aca="false">P899+O900</f>
        <v>75836.2445351283</v>
      </c>
      <c r="Q900" s="606" t="n">
        <f aca="false">Q899+1</f>
        <v>685</v>
      </c>
      <c r="R900" s="824" t="n">
        <f aca="false">R899-1</f>
        <v>-685</v>
      </c>
      <c r="S900" s="5"/>
      <c r="T900" s="5"/>
      <c r="U900" s="5"/>
      <c r="V900" s="10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02"/>
      <c r="AU900" s="502"/>
      <c r="AV900" s="606"/>
      <c r="AW900" s="502"/>
      <c r="AX900" s="502"/>
      <c r="AY900" s="502"/>
      <c r="AZ900" s="502"/>
      <c r="BA900" s="502"/>
      <c r="BB900" s="502"/>
      <c r="BC900" s="502"/>
      <c r="BD900" s="502"/>
      <c r="BE900" s="502"/>
      <c r="BF900" s="502"/>
      <c r="BG900" s="502"/>
      <c r="BH900" s="502"/>
      <c r="BI900" s="502"/>
      <c r="BJ900" s="502"/>
      <c r="BK900" s="502"/>
      <c r="BL900" s="502"/>
      <c r="BM900" s="502"/>
      <c r="BN900" s="502"/>
      <c r="BO900" s="502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  <c r="DI900" s="5"/>
      <c r="DJ900" s="5"/>
      <c r="DK900" s="5"/>
      <c r="DL900" s="5"/>
      <c r="DM900" s="5"/>
      <c r="DN900" s="5"/>
      <c r="DO900" s="5"/>
      <c r="DP900" s="5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</row>
    <row r="901" s="504" customFormat="true" ht="12.75" hidden="true" customHeight="true" outlineLevel="0" collapsed="false">
      <c r="A901" s="5"/>
      <c r="B901" s="813" t="n">
        <f aca="false">B900+1</f>
        <v>686</v>
      </c>
      <c r="C901" s="814" t="n">
        <f aca="false">C900+D901</f>
        <v>91128.9498626134</v>
      </c>
      <c r="D901" s="815" t="n">
        <f aca="false">E901*$E$205*M901</f>
        <v>187.473140910889</v>
      </c>
      <c r="E901" s="601" t="n">
        <f aca="false">E900+$C$204</f>
        <v>11.8894686016545</v>
      </c>
      <c r="F901" s="816" t="n">
        <f aca="false">F900+1</f>
        <v>686</v>
      </c>
      <c r="G901" s="775" t="n">
        <f aca="false">C901</f>
        <v>91128.9498626134</v>
      </c>
      <c r="H901" s="817" t="n">
        <f aca="false">1000*(E901-E900)</f>
        <v>9.99999999999979</v>
      </c>
      <c r="I901" s="5"/>
      <c r="J901" s="818" t="n">
        <f aca="false">1000*(E901-$E$215)/(B901-$B$215)</f>
        <v>12.2942708871308</v>
      </c>
      <c r="K901" s="732" t="n">
        <f aca="false">AVERAGE($E$216:E901)</f>
        <v>8.45338988445345</v>
      </c>
      <c r="L901" s="819" t="n">
        <f aca="false">L900+1</f>
        <v>686</v>
      </c>
      <c r="M901" s="820" t="n">
        <f aca="false">IF(B901&lt;$E$104,$E$105,$E$106)</f>
        <v>3</v>
      </c>
      <c r="N901" s="821" t="n">
        <f aca="false">IF(B901&lt;$E$104,$E$105,$E$111)</f>
        <v>2.5</v>
      </c>
      <c r="O901" s="822" t="n">
        <f aca="false">E901*$E$205*N901</f>
        <v>156.227617425741</v>
      </c>
      <c r="P901" s="823" t="n">
        <f aca="false">P900+O901</f>
        <v>75992.472152554</v>
      </c>
      <c r="Q901" s="606" t="n">
        <f aca="false">Q900+1</f>
        <v>686</v>
      </c>
      <c r="R901" s="824" t="n">
        <f aca="false">R900-1</f>
        <v>-686</v>
      </c>
      <c r="S901" s="5"/>
      <c r="T901" s="5"/>
      <c r="U901" s="5"/>
      <c r="V901" s="10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02"/>
      <c r="AU901" s="502"/>
      <c r="AV901" s="606"/>
      <c r="AW901" s="502"/>
      <c r="AX901" s="502"/>
      <c r="AY901" s="502"/>
      <c r="AZ901" s="502"/>
      <c r="BA901" s="502"/>
      <c r="BB901" s="502"/>
      <c r="BC901" s="502"/>
      <c r="BD901" s="502"/>
      <c r="BE901" s="502"/>
      <c r="BF901" s="502"/>
      <c r="BG901" s="502"/>
      <c r="BH901" s="502"/>
      <c r="BI901" s="502"/>
      <c r="BJ901" s="502"/>
      <c r="BK901" s="502"/>
      <c r="BL901" s="502"/>
      <c r="BM901" s="502"/>
      <c r="BN901" s="502"/>
      <c r="BO901" s="502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  <c r="DI901" s="5"/>
      <c r="DJ901" s="5"/>
      <c r="DK901" s="5"/>
      <c r="DL901" s="5"/>
      <c r="DM901" s="5"/>
      <c r="DN901" s="5"/>
      <c r="DO901" s="5"/>
      <c r="DP901" s="5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</row>
    <row r="902" s="504" customFormat="true" ht="12.75" hidden="true" customHeight="true" outlineLevel="0" collapsed="false">
      <c r="A902" s="5"/>
      <c r="B902" s="813" t="n">
        <f aca="false">B901+1</f>
        <v>687</v>
      </c>
      <c r="C902" s="814" t="n">
        <f aca="false">C901+D902</f>
        <v>91316.5806835243</v>
      </c>
      <c r="D902" s="815" t="n">
        <f aca="false">E902*$E$205*M902</f>
        <v>187.630820910889</v>
      </c>
      <c r="E902" s="601" t="n">
        <f aca="false">E901+$C$204</f>
        <v>11.8994686016545</v>
      </c>
      <c r="F902" s="816" t="n">
        <f aca="false">F901+1</f>
        <v>687</v>
      </c>
      <c r="G902" s="775" t="n">
        <f aca="false">C902</f>
        <v>91316.5806835243</v>
      </c>
      <c r="H902" s="817" t="n">
        <f aca="false">1000*(E902-E901)</f>
        <v>9.99999999999979</v>
      </c>
      <c r="I902" s="5"/>
      <c r="J902" s="818" t="n">
        <f aca="false">1000*(E902-$E$215)/(B902-$B$215)</f>
        <v>12.2909313370767</v>
      </c>
      <c r="K902" s="732" t="n">
        <f aca="false">AVERAGE($E$216:E902)</f>
        <v>8.45840601067936</v>
      </c>
      <c r="L902" s="819" t="n">
        <f aca="false">L901+1</f>
        <v>687</v>
      </c>
      <c r="M902" s="820" t="n">
        <f aca="false">IF(B902&lt;$E$104,$E$105,$E$106)</f>
        <v>3</v>
      </c>
      <c r="N902" s="821" t="n">
        <f aca="false">IF(B902&lt;$E$104,$E$105,$E$111)</f>
        <v>2.5</v>
      </c>
      <c r="O902" s="822" t="n">
        <f aca="false">E902*$E$205*N902</f>
        <v>156.359017425741</v>
      </c>
      <c r="P902" s="823" t="n">
        <f aca="false">P901+O902</f>
        <v>76148.8311699798</v>
      </c>
      <c r="Q902" s="606" t="n">
        <f aca="false">Q901+1</f>
        <v>687</v>
      </c>
      <c r="R902" s="824" t="n">
        <f aca="false">R901-1</f>
        <v>-687</v>
      </c>
      <c r="S902" s="5"/>
      <c r="T902" s="5"/>
      <c r="U902" s="5"/>
      <c r="V902" s="10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02"/>
      <c r="AU902" s="502"/>
      <c r="AV902" s="606"/>
      <c r="AW902" s="502"/>
      <c r="AX902" s="502"/>
      <c r="AY902" s="502"/>
      <c r="AZ902" s="502"/>
      <c r="BA902" s="502"/>
      <c r="BB902" s="502"/>
      <c r="BC902" s="502"/>
      <c r="BD902" s="502"/>
      <c r="BE902" s="502"/>
      <c r="BF902" s="502"/>
      <c r="BG902" s="502"/>
      <c r="BH902" s="502"/>
      <c r="BI902" s="502"/>
      <c r="BJ902" s="502"/>
      <c r="BK902" s="502"/>
      <c r="BL902" s="502"/>
      <c r="BM902" s="502"/>
      <c r="BN902" s="502"/>
      <c r="BO902" s="502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</row>
    <row r="903" s="504" customFormat="true" ht="12.75" hidden="true" customHeight="true" outlineLevel="0" collapsed="false">
      <c r="A903" s="5"/>
      <c r="B903" s="813" t="n">
        <f aca="false">B902+1</f>
        <v>688</v>
      </c>
      <c r="C903" s="814" t="n">
        <f aca="false">C902+D903</f>
        <v>91504.3691844352</v>
      </c>
      <c r="D903" s="815" t="n">
        <f aca="false">E903*$E$205*M903</f>
        <v>187.788500910889</v>
      </c>
      <c r="E903" s="601" t="n">
        <f aca="false">E902+$C$204</f>
        <v>11.9094686016545</v>
      </c>
      <c r="F903" s="816" t="n">
        <f aca="false">F902+1</f>
        <v>688</v>
      </c>
      <c r="G903" s="775" t="n">
        <f aca="false">C903</f>
        <v>91504.3691844352</v>
      </c>
      <c r="H903" s="817" t="n">
        <f aca="false">1000*(E903-E902)</f>
        <v>9.99999999999979</v>
      </c>
      <c r="I903" s="5"/>
      <c r="J903" s="818" t="n">
        <f aca="false">1000*(E903-$E$215)/(B903-$B$215)</f>
        <v>12.287601495017</v>
      </c>
      <c r="K903" s="732" t="n">
        <f aca="false">AVERAGE($E$216:E903)</f>
        <v>8.46342209002671</v>
      </c>
      <c r="L903" s="819" t="n">
        <f aca="false">L902+1</f>
        <v>688</v>
      </c>
      <c r="M903" s="820" t="n">
        <f aca="false">IF(B903&lt;$E$104,$E$105,$E$106)</f>
        <v>3</v>
      </c>
      <c r="N903" s="821" t="n">
        <f aca="false">IF(B903&lt;$E$104,$E$105,$E$111)</f>
        <v>2.5</v>
      </c>
      <c r="O903" s="822" t="n">
        <f aca="false">E903*$E$205*N903</f>
        <v>156.490417425741</v>
      </c>
      <c r="P903" s="823" t="n">
        <f aca="false">P902+O903</f>
        <v>76305.3215874055</v>
      </c>
      <c r="Q903" s="606" t="n">
        <f aca="false">Q902+1</f>
        <v>688</v>
      </c>
      <c r="R903" s="824" t="n">
        <f aca="false">R902-1</f>
        <v>-688</v>
      </c>
      <c r="S903" s="5"/>
      <c r="T903" s="5"/>
      <c r="U903" s="5"/>
      <c r="V903" s="10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02"/>
      <c r="AU903" s="502"/>
      <c r="AV903" s="606"/>
      <c r="AW903" s="502"/>
      <c r="AX903" s="502"/>
      <c r="AY903" s="502"/>
      <c r="AZ903" s="502"/>
      <c r="BA903" s="502"/>
      <c r="BB903" s="502"/>
      <c r="BC903" s="502"/>
      <c r="BD903" s="502"/>
      <c r="BE903" s="502"/>
      <c r="BF903" s="502"/>
      <c r="BG903" s="502"/>
      <c r="BH903" s="502"/>
      <c r="BI903" s="502"/>
      <c r="BJ903" s="502"/>
      <c r="BK903" s="502"/>
      <c r="BL903" s="502"/>
      <c r="BM903" s="502"/>
      <c r="BN903" s="502"/>
      <c r="BO903" s="502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  <c r="DI903" s="5"/>
      <c r="DJ903" s="5"/>
      <c r="DK903" s="5"/>
      <c r="DL903" s="5"/>
      <c r="DM903" s="5"/>
      <c r="DN903" s="5"/>
      <c r="DO903" s="5"/>
      <c r="DP903" s="5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</row>
    <row r="904" s="504" customFormat="true" ht="12.75" hidden="true" customHeight="true" outlineLevel="0" collapsed="false">
      <c r="A904" s="5"/>
      <c r="B904" s="813" t="n">
        <f aca="false">B903+1</f>
        <v>689</v>
      </c>
      <c r="C904" s="814" t="n">
        <f aca="false">C903+D904</f>
        <v>91692.3153653461</v>
      </c>
      <c r="D904" s="815" t="n">
        <f aca="false">E904*$E$205*M904</f>
        <v>187.946180910889</v>
      </c>
      <c r="E904" s="601" t="n">
        <f aca="false">E903+$C$204</f>
        <v>11.9194686016545</v>
      </c>
      <c r="F904" s="816" t="n">
        <f aca="false">F903+1</f>
        <v>689</v>
      </c>
      <c r="G904" s="775" t="n">
        <f aca="false">C904</f>
        <v>91692.3153653461</v>
      </c>
      <c r="H904" s="817" t="n">
        <f aca="false">1000*(E904-E903)</f>
        <v>9.99999999999979</v>
      </c>
      <c r="I904" s="5"/>
      <c r="J904" s="818" t="n">
        <f aca="false">1000*(E904-$E$215)/(B904-$B$215)</f>
        <v>12.2842813186817</v>
      </c>
      <c r="K904" s="732" t="n">
        <f aca="false">AVERAGE($E$216:E904)</f>
        <v>8.46843812269961</v>
      </c>
      <c r="L904" s="819" t="n">
        <f aca="false">L903+1</f>
        <v>689</v>
      </c>
      <c r="M904" s="820" t="n">
        <f aca="false">IF(B904&lt;$E$104,$E$105,$E$106)</f>
        <v>3</v>
      </c>
      <c r="N904" s="821" t="n">
        <f aca="false">IF(B904&lt;$E$104,$E$105,$E$111)</f>
        <v>2.5</v>
      </c>
      <c r="O904" s="822" t="n">
        <f aca="false">E904*$E$205*N904</f>
        <v>156.621817425741</v>
      </c>
      <c r="P904" s="823" t="n">
        <f aca="false">P903+O904</f>
        <v>76461.9434048312</v>
      </c>
      <c r="Q904" s="606" t="n">
        <f aca="false">Q903+1</f>
        <v>689</v>
      </c>
      <c r="R904" s="824" t="n">
        <f aca="false">R903-1</f>
        <v>-689</v>
      </c>
      <c r="S904" s="5"/>
      <c r="T904" s="5"/>
      <c r="U904" s="5"/>
      <c r="V904" s="10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02"/>
      <c r="AU904" s="502"/>
      <c r="AV904" s="606"/>
      <c r="AW904" s="502"/>
      <c r="AX904" s="502"/>
      <c r="AY904" s="502"/>
      <c r="AZ904" s="502"/>
      <c r="BA904" s="502"/>
      <c r="BB904" s="502"/>
      <c r="BC904" s="502"/>
      <c r="BD904" s="502"/>
      <c r="BE904" s="502"/>
      <c r="BF904" s="502"/>
      <c r="BG904" s="502"/>
      <c r="BH904" s="502"/>
      <c r="BI904" s="502"/>
      <c r="BJ904" s="502"/>
      <c r="BK904" s="502"/>
      <c r="BL904" s="502"/>
      <c r="BM904" s="502"/>
      <c r="BN904" s="502"/>
      <c r="BO904" s="502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</row>
    <row r="905" s="504" customFormat="true" ht="12.75" hidden="true" customHeight="true" outlineLevel="0" collapsed="false">
      <c r="A905" s="5"/>
      <c r="B905" s="813" t="n">
        <f aca="false">B904+1</f>
        <v>690</v>
      </c>
      <c r="C905" s="814" t="n">
        <f aca="false">C904+D905</f>
        <v>91880.4192262569</v>
      </c>
      <c r="D905" s="815" t="n">
        <f aca="false">E905*$E$205*M905</f>
        <v>188.103860910889</v>
      </c>
      <c r="E905" s="601" t="n">
        <f aca="false">E904+$C$204</f>
        <v>11.9294686016545</v>
      </c>
      <c r="F905" s="816" t="n">
        <f aca="false">F904+1</f>
        <v>690</v>
      </c>
      <c r="G905" s="775" t="n">
        <f aca="false">C905</f>
        <v>91880.4192262569</v>
      </c>
      <c r="H905" s="817" t="n">
        <f aca="false">1000*(E905-E904)</f>
        <v>9.99999999999979</v>
      </c>
      <c r="I905" s="5"/>
      <c r="J905" s="818" t="n">
        <f aca="false">1000*(E905-$E$215)/(B905-$B$215)</f>
        <v>12.2809707660459</v>
      </c>
      <c r="K905" s="732" t="n">
        <f aca="false">AVERAGE($E$216:E905)</f>
        <v>8.47345410890099</v>
      </c>
      <c r="L905" s="819" t="n">
        <f aca="false">L904+1</f>
        <v>690</v>
      </c>
      <c r="M905" s="820" t="n">
        <f aca="false">IF(B905&lt;$E$104,$E$105,$E$106)</f>
        <v>3</v>
      </c>
      <c r="N905" s="821" t="n">
        <f aca="false">IF(B905&lt;$E$104,$E$105,$E$111)</f>
        <v>2.5</v>
      </c>
      <c r="O905" s="822" t="n">
        <f aca="false">E905*$E$205*N905</f>
        <v>156.753217425741</v>
      </c>
      <c r="P905" s="823" t="n">
        <f aca="false">P904+O905</f>
        <v>76618.696622257</v>
      </c>
      <c r="Q905" s="606" t="n">
        <f aca="false">Q904+1</f>
        <v>690</v>
      </c>
      <c r="R905" s="824" t="n">
        <f aca="false">R904-1</f>
        <v>-690</v>
      </c>
      <c r="S905" s="5"/>
      <c r="T905" s="5"/>
      <c r="U905" s="5"/>
      <c r="V905" s="10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02"/>
      <c r="AU905" s="502"/>
      <c r="AV905" s="606"/>
      <c r="AW905" s="502"/>
      <c r="AX905" s="502"/>
      <c r="AY905" s="502"/>
      <c r="AZ905" s="502"/>
      <c r="BA905" s="502"/>
      <c r="BB905" s="502"/>
      <c r="BC905" s="502"/>
      <c r="BD905" s="502"/>
      <c r="BE905" s="502"/>
      <c r="BF905" s="502"/>
      <c r="BG905" s="502"/>
      <c r="BH905" s="502"/>
      <c r="BI905" s="502"/>
      <c r="BJ905" s="502"/>
      <c r="BK905" s="502"/>
      <c r="BL905" s="502"/>
      <c r="BM905" s="502"/>
      <c r="BN905" s="502"/>
      <c r="BO905" s="502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</row>
    <row r="906" s="504" customFormat="true" ht="12.75" hidden="true" customHeight="true" outlineLevel="0" collapsed="false">
      <c r="A906" s="5"/>
      <c r="B906" s="813" t="n">
        <f aca="false">B905+1</f>
        <v>691</v>
      </c>
      <c r="C906" s="814" t="n">
        <f aca="false">C905+D906</f>
        <v>92068.6807671678</v>
      </c>
      <c r="D906" s="815" t="n">
        <f aca="false">E906*$E$205*M906</f>
        <v>188.261540910889</v>
      </c>
      <c r="E906" s="601" t="n">
        <f aca="false">E905+$C$204</f>
        <v>11.9394686016545</v>
      </c>
      <c r="F906" s="816" t="n">
        <f aca="false">F905+1</f>
        <v>691</v>
      </c>
      <c r="G906" s="775" t="n">
        <f aca="false">C906</f>
        <v>92068.6807671678</v>
      </c>
      <c r="H906" s="817" t="n">
        <f aca="false">1000*(E906-E905)</f>
        <v>9.99999999999979</v>
      </c>
      <c r="I906" s="5"/>
      <c r="J906" s="818" t="n">
        <f aca="false">1000*(E906-$E$215)/(B906-$B$215)</f>
        <v>12.2776697953281</v>
      </c>
      <c r="K906" s="732" t="n">
        <f aca="false">AVERAGE($E$216:E906)</f>
        <v>8.47847004883262</v>
      </c>
      <c r="L906" s="819" t="n">
        <f aca="false">L905+1</f>
        <v>691</v>
      </c>
      <c r="M906" s="820" t="n">
        <f aca="false">IF(B906&lt;$E$104,$E$105,$E$106)</f>
        <v>3</v>
      </c>
      <c r="N906" s="821" t="n">
        <f aca="false">IF(B906&lt;$E$104,$E$105,$E$111)</f>
        <v>2.5</v>
      </c>
      <c r="O906" s="822" t="n">
        <f aca="false">E906*$E$205*N906</f>
        <v>156.884617425741</v>
      </c>
      <c r="P906" s="823" t="n">
        <f aca="false">P905+O906</f>
        <v>76775.5812396827</v>
      </c>
      <c r="Q906" s="606" t="n">
        <f aca="false">Q905+1</f>
        <v>691</v>
      </c>
      <c r="R906" s="824" t="n">
        <f aca="false">R905-1</f>
        <v>-691</v>
      </c>
      <c r="S906" s="5"/>
      <c r="T906" s="5"/>
      <c r="U906" s="5"/>
      <c r="V906" s="10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02"/>
      <c r="AU906" s="502"/>
      <c r="AV906" s="606"/>
      <c r="AW906" s="502"/>
      <c r="AX906" s="502"/>
      <c r="AY906" s="502"/>
      <c r="AZ906" s="502"/>
      <c r="BA906" s="502"/>
      <c r="BB906" s="502"/>
      <c r="BC906" s="502"/>
      <c r="BD906" s="502"/>
      <c r="BE906" s="502"/>
      <c r="BF906" s="502"/>
      <c r="BG906" s="502"/>
      <c r="BH906" s="502"/>
      <c r="BI906" s="502"/>
      <c r="BJ906" s="502"/>
      <c r="BK906" s="502"/>
      <c r="BL906" s="502"/>
      <c r="BM906" s="502"/>
      <c r="BN906" s="502"/>
      <c r="BO906" s="502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</row>
    <row r="907" s="504" customFormat="true" ht="12.75" hidden="true" customHeight="true" outlineLevel="0" collapsed="false">
      <c r="A907" s="5"/>
      <c r="B907" s="813" t="n">
        <f aca="false">B906+1</f>
        <v>692</v>
      </c>
      <c r="C907" s="814" t="n">
        <f aca="false">C906+D907</f>
        <v>92257.0999880787</v>
      </c>
      <c r="D907" s="815" t="n">
        <f aca="false">E907*$E$205*M907</f>
        <v>188.419220910889</v>
      </c>
      <c r="E907" s="601" t="n">
        <f aca="false">E906+$C$204</f>
        <v>11.9494686016545</v>
      </c>
      <c r="F907" s="816" t="n">
        <f aca="false">F906+1</f>
        <v>692</v>
      </c>
      <c r="G907" s="775" t="n">
        <f aca="false">C907</f>
        <v>92257.0999880787</v>
      </c>
      <c r="H907" s="817" t="n">
        <f aca="false">1000*(E907-E906)</f>
        <v>9.99999999999979</v>
      </c>
      <c r="I907" s="5"/>
      <c r="J907" s="818" t="n">
        <f aca="false">1000*(E907-$E$215)/(B907-$B$215)</f>
        <v>12.274378364988</v>
      </c>
      <c r="K907" s="732" t="n">
        <f aca="false">AVERAGE($E$216:E907)</f>
        <v>8.48348594269508</v>
      </c>
      <c r="L907" s="819" t="n">
        <f aca="false">L906+1</f>
        <v>692</v>
      </c>
      <c r="M907" s="820" t="n">
        <f aca="false">IF(B907&lt;$E$104,$E$105,$E$106)</f>
        <v>3</v>
      </c>
      <c r="N907" s="821" t="n">
        <f aca="false">IF(B907&lt;$E$104,$E$105,$E$111)</f>
        <v>2.5</v>
      </c>
      <c r="O907" s="822" t="n">
        <f aca="false">E907*$E$205*N907</f>
        <v>157.016017425741</v>
      </c>
      <c r="P907" s="823" t="n">
        <f aca="false">P906+O907</f>
        <v>76932.5972571085</v>
      </c>
      <c r="Q907" s="606" t="n">
        <f aca="false">Q906+1</f>
        <v>692</v>
      </c>
      <c r="R907" s="824" t="n">
        <f aca="false">R906-1</f>
        <v>-692</v>
      </c>
      <c r="S907" s="5"/>
      <c r="T907" s="5"/>
      <c r="U907" s="5"/>
      <c r="V907" s="10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02"/>
      <c r="AU907" s="502"/>
      <c r="AV907" s="606"/>
      <c r="AW907" s="502"/>
      <c r="AX907" s="502"/>
      <c r="AY907" s="502"/>
      <c r="AZ907" s="502"/>
      <c r="BA907" s="502"/>
      <c r="BB907" s="502"/>
      <c r="BC907" s="502"/>
      <c r="BD907" s="502"/>
      <c r="BE907" s="502"/>
      <c r="BF907" s="502"/>
      <c r="BG907" s="502"/>
      <c r="BH907" s="502"/>
      <c r="BI907" s="502"/>
      <c r="BJ907" s="502"/>
      <c r="BK907" s="502"/>
      <c r="BL907" s="502"/>
      <c r="BM907" s="502"/>
      <c r="BN907" s="502"/>
      <c r="BO907" s="502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  <c r="DI907" s="5"/>
      <c r="DJ907" s="5"/>
      <c r="DK907" s="5"/>
      <c r="DL907" s="5"/>
      <c r="DM907" s="5"/>
      <c r="DN907" s="5"/>
      <c r="DO907" s="5"/>
      <c r="DP907" s="5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</row>
    <row r="908" s="504" customFormat="true" ht="12.75" hidden="true" customHeight="true" outlineLevel="0" collapsed="false">
      <c r="A908" s="5"/>
      <c r="B908" s="813" t="n">
        <f aca="false">B907+1</f>
        <v>693</v>
      </c>
      <c r="C908" s="814" t="n">
        <f aca="false">C907+D908</f>
        <v>92445.6768889896</v>
      </c>
      <c r="D908" s="815" t="n">
        <f aca="false">E908*$E$205*M908</f>
        <v>188.576900910889</v>
      </c>
      <c r="E908" s="601" t="n">
        <f aca="false">E907+$C$204</f>
        <v>11.9594686016545</v>
      </c>
      <c r="F908" s="816" t="n">
        <f aca="false">F907+1</f>
        <v>693</v>
      </c>
      <c r="G908" s="775" t="n">
        <f aca="false">C908</f>
        <v>92445.6768889896</v>
      </c>
      <c r="H908" s="817" t="n">
        <f aca="false">1000*(E908-E907)</f>
        <v>9.99999999999979</v>
      </c>
      <c r="I908" s="5"/>
      <c r="J908" s="818" t="n">
        <f aca="false">1000*(E908-$E$215)/(B908-$B$215)</f>
        <v>12.2710964337254</v>
      </c>
      <c r="K908" s="732" t="n">
        <f aca="false">AVERAGE($E$216:E908)</f>
        <v>8.4885017906878</v>
      </c>
      <c r="L908" s="819" t="n">
        <f aca="false">L907+1</f>
        <v>693</v>
      </c>
      <c r="M908" s="820" t="n">
        <f aca="false">IF(B908&lt;$E$104,$E$105,$E$106)</f>
        <v>3</v>
      </c>
      <c r="N908" s="821" t="n">
        <f aca="false">IF(B908&lt;$E$104,$E$105,$E$111)</f>
        <v>2.5</v>
      </c>
      <c r="O908" s="822" t="n">
        <f aca="false">E908*$E$205*N908</f>
        <v>157.147417425741</v>
      </c>
      <c r="P908" s="823" t="n">
        <f aca="false">P907+O908</f>
        <v>77089.7446745342</v>
      </c>
      <c r="Q908" s="606" t="n">
        <f aca="false">Q907+1</f>
        <v>693</v>
      </c>
      <c r="R908" s="824" t="n">
        <f aca="false">R907-1</f>
        <v>-693</v>
      </c>
      <c r="S908" s="5"/>
      <c r="T908" s="5"/>
      <c r="U908" s="5"/>
      <c r="V908" s="10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02"/>
      <c r="AU908" s="502"/>
      <c r="AV908" s="606"/>
      <c r="AW908" s="502"/>
      <c r="AX908" s="502"/>
      <c r="AY908" s="502"/>
      <c r="AZ908" s="502"/>
      <c r="BA908" s="502"/>
      <c r="BB908" s="502"/>
      <c r="BC908" s="502"/>
      <c r="BD908" s="502"/>
      <c r="BE908" s="502"/>
      <c r="BF908" s="502"/>
      <c r="BG908" s="502"/>
      <c r="BH908" s="502"/>
      <c r="BI908" s="502"/>
      <c r="BJ908" s="502"/>
      <c r="BK908" s="502"/>
      <c r="BL908" s="502"/>
      <c r="BM908" s="502"/>
      <c r="BN908" s="502"/>
      <c r="BO908" s="502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  <c r="DI908" s="5"/>
      <c r="DJ908" s="5"/>
      <c r="DK908" s="5"/>
      <c r="DL908" s="5"/>
      <c r="DM908" s="5"/>
      <c r="DN908" s="5"/>
      <c r="DO908" s="5"/>
      <c r="DP908" s="5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</row>
    <row r="909" s="504" customFormat="true" ht="12.75" hidden="true" customHeight="true" outlineLevel="0" collapsed="false">
      <c r="A909" s="5"/>
      <c r="B909" s="813" t="n">
        <f aca="false">B908+1</f>
        <v>694</v>
      </c>
      <c r="C909" s="814" t="n">
        <f aca="false">C908+D909</f>
        <v>92634.4114699005</v>
      </c>
      <c r="D909" s="815" t="n">
        <f aca="false">E909*$E$205*M909</f>
        <v>188.734580910889</v>
      </c>
      <c r="E909" s="601" t="n">
        <f aca="false">E908+$C$204</f>
        <v>11.9694686016545</v>
      </c>
      <c r="F909" s="816" t="n">
        <f aca="false">F908+1</f>
        <v>694</v>
      </c>
      <c r="G909" s="775" t="n">
        <f aca="false">C909</f>
        <v>92634.4114699005</v>
      </c>
      <c r="H909" s="817" t="n">
        <f aca="false">1000*(E909-E908)</f>
        <v>9.99999999999979</v>
      </c>
      <c r="I909" s="5"/>
      <c r="J909" s="818" t="n">
        <f aca="false">1000*(E909-$E$215)/(B909-$B$215)</f>
        <v>12.267823960478</v>
      </c>
      <c r="K909" s="732" t="n">
        <f aca="false">AVERAGE($E$216:E909)</f>
        <v>8.49351759300908</v>
      </c>
      <c r="L909" s="819" t="n">
        <f aca="false">L908+1</f>
        <v>694</v>
      </c>
      <c r="M909" s="820" t="n">
        <f aca="false">IF(B909&lt;$E$104,$E$105,$E$106)</f>
        <v>3</v>
      </c>
      <c r="N909" s="821" t="n">
        <f aca="false">IF(B909&lt;$E$104,$E$105,$E$111)</f>
        <v>2.5</v>
      </c>
      <c r="O909" s="822" t="n">
        <f aca="false">E909*$E$205*N909</f>
        <v>157.278817425741</v>
      </c>
      <c r="P909" s="823" t="n">
        <f aca="false">P908+O909</f>
        <v>77247.0234919599</v>
      </c>
      <c r="Q909" s="606" t="n">
        <f aca="false">Q908+1</f>
        <v>694</v>
      </c>
      <c r="R909" s="824" t="n">
        <f aca="false">R908-1</f>
        <v>-694</v>
      </c>
      <c r="S909" s="5"/>
      <c r="T909" s="5"/>
      <c r="U909" s="5"/>
      <c r="V909" s="10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02"/>
      <c r="AU909" s="502"/>
      <c r="AV909" s="606"/>
      <c r="AW909" s="502"/>
      <c r="AX909" s="502"/>
      <c r="AY909" s="502"/>
      <c r="AZ909" s="502"/>
      <c r="BA909" s="502"/>
      <c r="BB909" s="502"/>
      <c r="BC909" s="502"/>
      <c r="BD909" s="502"/>
      <c r="BE909" s="502"/>
      <c r="BF909" s="502"/>
      <c r="BG909" s="502"/>
      <c r="BH909" s="502"/>
      <c r="BI909" s="502"/>
      <c r="BJ909" s="502"/>
      <c r="BK909" s="502"/>
      <c r="BL909" s="502"/>
      <c r="BM909" s="502"/>
      <c r="BN909" s="502"/>
      <c r="BO909" s="502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  <c r="DI909" s="5"/>
      <c r="DJ909" s="5"/>
      <c r="DK909" s="5"/>
      <c r="DL909" s="5"/>
      <c r="DM909" s="5"/>
      <c r="DN909" s="5"/>
      <c r="DO909" s="5"/>
      <c r="DP909" s="5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</row>
    <row r="910" s="504" customFormat="true" ht="12.75" hidden="true" customHeight="true" outlineLevel="0" collapsed="false">
      <c r="A910" s="5"/>
      <c r="B910" s="813" t="n">
        <f aca="false">B909+1</f>
        <v>695</v>
      </c>
      <c r="C910" s="814" t="n">
        <f aca="false">C909+D910</f>
        <v>92823.3037308114</v>
      </c>
      <c r="D910" s="815" t="n">
        <f aca="false">E910*$E$205*M910</f>
        <v>188.892260910889</v>
      </c>
      <c r="E910" s="601" t="n">
        <f aca="false">E909+$C$204</f>
        <v>11.9794686016545</v>
      </c>
      <c r="F910" s="816" t="n">
        <f aca="false">F909+1</f>
        <v>695</v>
      </c>
      <c r="G910" s="775" t="n">
        <f aca="false">C910</f>
        <v>92823.3037308114</v>
      </c>
      <c r="H910" s="817" t="n">
        <f aca="false">1000*(E910-E909)</f>
        <v>9.99999999999979</v>
      </c>
      <c r="I910" s="5"/>
      <c r="J910" s="818" t="n">
        <f aca="false">1000*(E910-$E$215)/(B910-$B$215)</f>
        <v>12.2645609044197</v>
      </c>
      <c r="K910" s="732" t="n">
        <f aca="false">AVERAGE($E$216:E910)</f>
        <v>8.49853334985606</v>
      </c>
      <c r="L910" s="819" t="n">
        <f aca="false">L909+1</f>
        <v>695</v>
      </c>
      <c r="M910" s="820" t="n">
        <f aca="false">IF(B910&lt;$E$104,$E$105,$E$106)</f>
        <v>3</v>
      </c>
      <c r="N910" s="821" t="n">
        <f aca="false">IF(B910&lt;$E$104,$E$105,$E$111)</f>
        <v>2.5</v>
      </c>
      <c r="O910" s="822" t="n">
        <f aca="false">E910*$E$205*N910</f>
        <v>157.410217425741</v>
      </c>
      <c r="P910" s="823" t="n">
        <f aca="false">P909+O910</f>
        <v>77404.4337093857</v>
      </c>
      <c r="Q910" s="606" t="n">
        <f aca="false">Q909+1</f>
        <v>695</v>
      </c>
      <c r="R910" s="824" t="n">
        <f aca="false">R909-1</f>
        <v>-695</v>
      </c>
      <c r="S910" s="5"/>
      <c r="T910" s="5"/>
      <c r="U910" s="5"/>
      <c r="V910" s="10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02"/>
      <c r="AU910" s="502"/>
      <c r="AV910" s="606"/>
      <c r="AW910" s="502"/>
      <c r="AX910" s="502"/>
      <c r="AY910" s="502"/>
      <c r="AZ910" s="502"/>
      <c r="BA910" s="502"/>
      <c r="BB910" s="502"/>
      <c r="BC910" s="502"/>
      <c r="BD910" s="502"/>
      <c r="BE910" s="502"/>
      <c r="BF910" s="502"/>
      <c r="BG910" s="502"/>
      <c r="BH910" s="502"/>
      <c r="BI910" s="502"/>
      <c r="BJ910" s="502"/>
      <c r="BK910" s="502"/>
      <c r="BL910" s="502"/>
      <c r="BM910" s="502"/>
      <c r="BN910" s="502"/>
      <c r="BO910" s="502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  <c r="DI910" s="5"/>
      <c r="DJ910" s="5"/>
      <c r="DK910" s="5"/>
      <c r="DL910" s="5"/>
      <c r="DM910" s="5"/>
      <c r="DN910" s="5"/>
      <c r="DO910" s="5"/>
      <c r="DP910" s="5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</row>
    <row r="911" s="504" customFormat="true" ht="12.75" hidden="true" customHeight="true" outlineLevel="0" collapsed="false">
      <c r="A911" s="5"/>
      <c r="B911" s="813" t="n">
        <f aca="false">B910+1</f>
        <v>696</v>
      </c>
      <c r="C911" s="814" t="n">
        <f aca="false">C910+D911</f>
        <v>93012.3536717223</v>
      </c>
      <c r="D911" s="815" t="n">
        <f aca="false">E911*$E$205*M911</f>
        <v>189.049940910889</v>
      </c>
      <c r="E911" s="601" t="n">
        <f aca="false">E910+$C$204</f>
        <v>11.9894686016545</v>
      </c>
      <c r="F911" s="816" t="n">
        <f aca="false">F910+1</f>
        <v>696</v>
      </c>
      <c r="G911" s="775" t="n">
        <f aca="false">C911</f>
        <v>93012.3536717223</v>
      </c>
      <c r="H911" s="817" t="n">
        <f aca="false">1000*(E911-E910)</f>
        <v>9.99999999999979</v>
      </c>
      <c r="I911" s="5"/>
      <c r="J911" s="818" t="n">
        <f aca="false">1000*(E911-$E$215)/(B911-$B$215)</f>
        <v>12.2613072249593</v>
      </c>
      <c r="K911" s="732" t="n">
        <f aca="false">AVERAGE($E$216:E911)</f>
        <v>8.50354906142473</v>
      </c>
      <c r="L911" s="819" t="n">
        <f aca="false">L910+1</f>
        <v>696</v>
      </c>
      <c r="M911" s="820" t="n">
        <f aca="false">IF(B911&lt;$E$104,$E$105,$E$106)</f>
        <v>3</v>
      </c>
      <c r="N911" s="821" t="n">
        <f aca="false">IF(B911&lt;$E$104,$E$105,$E$111)</f>
        <v>2.5</v>
      </c>
      <c r="O911" s="822" t="n">
        <f aca="false">E911*$E$205*N911</f>
        <v>157.541617425741</v>
      </c>
      <c r="P911" s="823" t="n">
        <f aca="false">P910+O911</f>
        <v>77561.9753268114</v>
      </c>
      <c r="Q911" s="606" t="n">
        <f aca="false">Q910+1</f>
        <v>696</v>
      </c>
      <c r="R911" s="824" t="n">
        <f aca="false">R910-1</f>
        <v>-696</v>
      </c>
      <c r="S911" s="5"/>
      <c r="T911" s="5"/>
      <c r="U911" s="5"/>
      <c r="V911" s="10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02"/>
      <c r="AU911" s="502"/>
      <c r="AV911" s="606"/>
      <c r="AW911" s="502"/>
      <c r="AX911" s="502"/>
      <c r="AY911" s="502"/>
      <c r="AZ911" s="502"/>
      <c r="BA911" s="502"/>
      <c r="BB911" s="502"/>
      <c r="BC911" s="502"/>
      <c r="BD911" s="502"/>
      <c r="BE911" s="502"/>
      <c r="BF911" s="502"/>
      <c r="BG911" s="502"/>
      <c r="BH911" s="502"/>
      <c r="BI911" s="502"/>
      <c r="BJ911" s="502"/>
      <c r="BK911" s="502"/>
      <c r="BL911" s="502"/>
      <c r="BM911" s="502"/>
      <c r="BN911" s="502"/>
      <c r="BO911" s="502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  <c r="DI911" s="5"/>
      <c r="DJ911" s="5"/>
      <c r="DK911" s="5"/>
      <c r="DL911" s="5"/>
      <c r="DM911" s="5"/>
      <c r="DN911" s="5"/>
      <c r="DO911" s="5"/>
      <c r="DP911" s="5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</row>
    <row r="912" s="504" customFormat="true" ht="12.75" hidden="true" customHeight="true" outlineLevel="0" collapsed="false">
      <c r="A912" s="5"/>
      <c r="B912" s="813" t="n">
        <f aca="false">B911+1</f>
        <v>697</v>
      </c>
      <c r="C912" s="814" t="n">
        <f aca="false">C911+D912</f>
        <v>93201.5612926332</v>
      </c>
      <c r="D912" s="815" t="n">
        <f aca="false">E912*$E$205*M912</f>
        <v>189.207620910889</v>
      </c>
      <c r="E912" s="601" t="n">
        <f aca="false">E911+$C$204</f>
        <v>11.9994686016545</v>
      </c>
      <c r="F912" s="816" t="n">
        <f aca="false">F911+1</f>
        <v>697</v>
      </c>
      <c r="G912" s="775" t="n">
        <f aca="false">C912</f>
        <v>93201.5612926332</v>
      </c>
      <c r="H912" s="817" t="n">
        <f aca="false">1000*(E912-E911)</f>
        <v>9.99999999999979</v>
      </c>
      <c r="I912" s="5"/>
      <c r="J912" s="818" t="n">
        <f aca="false">1000*(E912-$E$215)/(B912-$B$215)</f>
        <v>12.2580628817384</v>
      </c>
      <c r="K912" s="732" t="n">
        <f aca="false">AVERAGE($E$216:E912)</f>
        <v>8.50856472791</v>
      </c>
      <c r="L912" s="819" t="n">
        <f aca="false">L911+1</f>
        <v>697</v>
      </c>
      <c r="M912" s="820" t="n">
        <f aca="false">IF(B912&lt;$E$104,$E$105,$E$106)</f>
        <v>3</v>
      </c>
      <c r="N912" s="821" t="n">
        <f aca="false">IF(B912&lt;$E$104,$E$105,$E$111)</f>
        <v>2.5</v>
      </c>
      <c r="O912" s="822" t="n">
        <f aca="false">E912*$E$205*N912</f>
        <v>157.673017425741</v>
      </c>
      <c r="P912" s="823" t="n">
        <f aca="false">P911+O912</f>
        <v>77719.6483442372</v>
      </c>
      <c r="Q912" s="606" t="n">
        <f aca="false">Q911+1</f>
        <v>697</v>
      </c>
      <c r="R912" s="824" t="n">
        <f aca="false">R911-1</f>
        <v>-697</v>
      </c>
      <c r="S912" s="5"/>
      <c r="T912" s="5"/>
      <c r="U912" s="5"/>
      <c r="V912" s="10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02"/>
      <c r="AU912" s="502"/>
      <c r="AV912" s="606"/>
      <c r="AW912" s="502"/>
      <c r="AX912" s="502"/>
      <c r="AY912" s="502"/>
      <c r="AZ912" s="502"/>
      <c r="BA912" s="502"/>
      <c r="BB912" s="502"/>
      <c r="BC912" s="502"/>
      <c r="BD912" s="502"/>
      <c r="BE912" s="502"/>
      <c r="BF912" s="502"/>
      <c r="BG912" s="502"/>
      <c r="BH912" s="502"/>
      <c r="BI912" s="502"/>
      <c r="BJ912" s="502"/>
      <c r="BK912" s="502"/>
      <c r="BL912" s="502"/>
      <c r="BM912" s="502"/>
      <c r="BN912" s="502"/>
      <c r="BO912" s="502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  <c r="DI912" s="5"/>
      <c r="DJ912" s="5"/>
      <c r="DK912" s="5"/>
      <c r="DL912" s="5"/>
      <c r="DM912" s="5"/>
      <c r="DN912" s="5"/>
      <c r="DO912" s="5"/>
      <c r="DP912" s="5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</row>
    <row r="913" s="504" customFormat="true" ht="12.75" hidden="true" customHeight="true" outlineLevel="0" collapsed="false">
      <c r="A913" s="5"/>
      <c r="B913" s="813" t="n">
        <f aca="false">B912+1</f>
        <v>698</v>
      </c>
      <c r="C913" s="814" t="n">
        <f aca="false">C912+D913</f>
        <v>93390.9265935441</v>
      </c>
      <c r="D913" s="815" t="n">
        <f aca="false">E913*$E$205*M913</f>
        <v>189.365300910889</v>
      </c>
      <c r="E913" s="601" t="n">
        <f aca="false">E912+$C$204</f>
        <v>12.0094686016545</v>
      </c>
      <c r="F913" s="816" t="n">
        <f aca="false">F912+1</f>
        <v>698</v>
      </c>
      <c r="G913" s="775" t="n">
        <f aca="false">C913</f>
        <v>93390.9265935441</v>
      </c>
      <c r="H913" s="817" t="n">
        <f aca="false">1000*(E913-E912)</f>
        <v>9.99999999999979</v>
      </c>
      <c r="I913" s="5"/>
      <c r="J913" s="818" t="n">
        <f aca="false">1000*(E913-$E$215)/(B913-$B$215)</f>
        <v>12.2548278346299</v>
      </c>
      <c r="K913" s="732" t="n">
        <f aca="false">AVERAGE($E$216:E913)</f>
        <v>8.51358034950562</v>
      </c>
      <c r="L913" s="819" t="n">
        <f aca="false">L912+1</f>
        <v>698</v>
      </c>
      <c r="M913" s="820" t="n">
        <f aca="false">IF(B913&lt;$E$104,$E$105,$E$106)</f>
        <v>3</v>
      </c>
      <c r="N913" s="821" t="n">
        <f aca="false">IF(B913&lt;$E$104,$E$105,$E$111)</f>
        <v>2.5</v>
      </c>
      <c r="O913" s="822" t="n">
        <f aca="false">E913*$E$205*N913</f>
        <v>157.804417425741</v>
      </c>
      <c r="P913" s="823" t="n">
        <f aca="false">P912+O913</f>
        <v>77877.4527616629</v>
      </c>
      <c r="Q913" s="606" t="n">
        <f aca="false">Q912+1</f>
        <v>698</v>
      </c>
      <c r="R913" s="824" t="n">
        <f aca="false">R912-1</f>
        <v>-698</v>
      </c>
      <c r="S913" s="5"/>
      <c r="T913" s="5"/>
      <c r="U913" s="5"/>
      <c r="V913" s="10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02"/>
      <c r="AU913" s="502"/>
      <c r="AV913" s="606"/>
      <c r="AW913" s="502"/>
      <c r="AX913" s="502"/>
      <c r="AY913" s="502"/>
      <c r="AZ913" s="502"/>
      <c r="BA913" s="502"/>
      <c r="BB913" s="502"/>
      <c r="BC913" s="502"/>
      <c r="BD913" s="502"/>
      <c r="BE913" s="502"/>
      <c r="BF913" s="502"/>
      <c r="BG913" s="502"/>
      <c r="BH913" s="502"/>
      <c r="BI913" s="502"/>
      <c r="BJ913" s="502"/>
      <c r="BK913" s="502"/>
      <c r="BL913" s="502"/>
      <c r="BM913" s="502"/>
      <c r="BN913" s="502"/>
      <c r="BO913" s="502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  <c r="DI913" s="5"/>
      <c r="DJ913" s="5"/>
      <c r="DK913" s="5"/>
      <c r="DL913" s="5"/>
      <c r="DM913" s="5"/>
      <c r="DN913" s="5"/>
      <c r="DO913" s="5"/>
      <c r="DP913" s="5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</row>
    <row r="914" s="504" customFormat="true" ht="12.75" hidden="true" customHeight="true" outlineLevel="0" collapsed="false">
      <c r="A914" s="5"/>
      <c r="B914" s="813" t="n">
        <f aca="false">B913+1</f>
        <v>699</v>
      </c>
      <c r="C914" s="814" t="n">
        <f aca="false">C913+D914</f>
        <v>93580.4495744549</v>
      </c>
      <c r="D914" s="815" t="n">
        <f aca="false">E914*$E$205*M914</f>
        <v>189.522980910889</v>
      </c>
      <c r="E914" s="601" t="n">
        <f aca="false">E913+$C$204</f>
        <v>12.0194686016545</v>
      </c>
      <c r="F914" s="816" t="n">
        <f aca="false">F913+1</f>
        <v>699</v>
      </c>
      <c r="G914" s="775" t="n">
        <f aca="false">C914</f>
        <v>93580.4495744549</v>
      </c>
      <c r="H914" s="817" t="n">
        <f aca="false">1000*(E914-E913)</f>
        <v>9.99999999999979</v>
      </c>
      <c r="I914" s="5"/>
      <c r="J914" s="818" t="n">
        <f aca="false">1000*(E914-$E$215)/(B914-$B$215)</f>
        <v>12.2516020437363</v>
      </c>
      <c r="K914" s="732" t="n">
        <f aca="false">AVERAGE($E$216:E914)</f>
        <v>8.51859592640426</v>
      </c>
      <c r="L914" s="819" t="n">
        <f aca="false">L913+1</f>
        <v>699</v>
      </c>
      <c r="M914" s="820" t="n">
        <f aca="false">IF(B914&lt;$E$104,$E$105,$E$106)</f>
        <v>3</v>
      </c>
      <c r="N914" s="821" t="n">
        <f aca="false">IF(B914&lt;$E$104,$E$105,$E$111)</f>
        <v>2.5</v>
      </c>
      <c r="O914" s="822" t="n">
        <f aca="false">E914*$E$205*N914</f>
        <v>157.935817425741</v>
      </c>
      <c r="P914" s="823" t="n">
        <f aca="false">P913+O914</f>
        <v>78035.3885790886</v>
      </c>
      <c r="Q914" s="606" t="n">
        <f aca="false">Q913+1</f>
        <v>699</v>
      </c>
      <c r="R914" s="824" t="n">
        <f aca="false">R913-1</f>
        <v>-699</v>
      </c>
      <c r="S914" s="5"/>
      <c r="T914" s="5"/>
      <c r="U914" s="5"/>
      <c r="V914" s="10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02"/>
      <c r="AU914" s="502"/>
      <c r="AV914" s="606"/>
      <c r="AW914" s="502"/>
      <c r="AX914" s="502"/>
      <c r="AY914" s="502"/>
      <c r="AZ914" s="502"/>
      <c r="BA914" s="502"/>
      <c r="BB914" s="502"/>
      <c r="BC914" s="502"/>
      <c r="BD914" s="502"/>
      <c r="BE914" s="502"/>
      <c r="BF914" s="502"/>
      <c r="BG914" s="502"/>
      <c r="BH914" s="502"/>
      <c r="BI914" s="502"/>
      <c r="BJ914" s="502"/>
      <c r="BK914" s="502"/>
      <c r="BL914" s="502"/>
      <c r="BM914" s="502"/>
      <c r="BN914" s="502"/>
      <c r="BO914" s="502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  <c r="DE914" s="5"/>
      <c r="DF914" s="5"/>
      <c r="DG914" s="5"/>
      <c r="DH914" s="5"/>
      <c r="DI914" s="5"/>
      <c r="DJ914" s="5"/>
      <c r="DK914" s="5"/>
      <c r="DL914" s="5"/>
      <c r="DM914" s="5"/>
      <c r="DN914" s="5"/>
      <c r="DO914" s="5"/>
      <c r="DP914" s="5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</row>
    <row r="915" s="504" customFormat="true" ht="12.75" hidden="true" customHeight="true" outlineLevel="0" collapsed="false">
      <c r="A915" s="5"/>
      <c r="B915" s="827" t="n">
        <f aca="false">B914+1</f>
        <v>700</v>
      </c>
      <c r="C915" s="768" t="n">
        <f aca="false">C914+D915</f>
        <v>93770.1302353658</v>
      </c>
      <c r="D915" s="828" t="n">
        <f aca="false">E915*$E$205*M915</f>
        <v>189.680660910889</v>
      </c>
      <c r="E915" s="787" t="n">
        <f aca="false">E914+$C$204</f>
        <v>12.0294686016545</v>
      </c>
      <c r="F915" s="829" t="n">
        <f aca="false">F914+1</f>
        <v>700</v>
      </c>
      <c r="G915" s="830" t="n">
        <f aca="false">C915</f>
        <v>93770.1302353658</v>
      </c>
      <c r="H915" s="831" t="n">
        <f aca="false">1000*(E915-E914)</f>
        <v>9.99999999999979</v>
      </c>
      <c r="I915" s="785"/>
      <c r="J915" s="832" t="n">
        <f aca="false">1000*(E915-$E$215)/(B915-$B$215)</f>
        <v>12.2483854693881</v>
      </c>
      <c r="K915" s="787" t="n">
        <f aca="false">AVERAGE($E$216:E915)</f>
        <v>8.52361145879747</v>
      </c>
      <c r="L915" s="833" t="n">
        <f aca="false">L914+1</f>
        <v>700</v>
      </c>
      <c r="M915" s="834" t="n">
        <f aca="false">IF(B915&lt;$E$104,$E$105,$E$106)</f>
        <v>3</v>
      </c>
      <c r="N915" s="835" t="n">
        <f aca="false">IF(B915&lt;$E$104,$E$105,$E$111)</f>
        <v>2.5</v>
      </c>
      <c r="O915" s="836" t="n">
        <f aca="false">E915*$E$205*N915</f>
        <v>158.067217425741</v>
      </c>
      <c r="P915" s="837" t="n">
        <f aca="false">P914+O915</f>
        <v>78193.4557965144</v>
      </c>
      <c r="Q915" s="742" t="n">
        <f aca="false">Q914+1</f>
        <v>700</v>
      </c>
      <c r="R915" s="838" t="n">
        <f aca="false">R914-1</f>
        <v>-700</v>
      </c>
      <c r="S915" s="5"/>
      <c r="T915" s="5"/>
      <c r="U915" s="5"/>
      <c r="V915" s="10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02"/>
      <c r="AU915" s="502"/>
      <c r="AV915" s="606"/>
      <c r="AW915" s="502"/>
      <c r="AX915" s="502"/>
      <c r="AY915" s="502"/>
      <c r="AZ915" s="502"/>
      <c r="BA915" s="502"/>
      <c r="BB915" s="502"/>
      <c r="BC915" s="502"/>
      <c r="BD915" s="502"/>
      <c r="BE915" s="502"/>
      <c r="BF915" s="502"/>
      <c r="BG915" s="502"/>
      <c r="BH915" s="502"/>
      <c r="BI915" s="502"/>
      <c r="BJ915" s="502"/>
      <c r="BK915" s="502"/>
      <c r="BL915" s="502"/>
      <c r="BM915" s="502"/>
      <c r="BN915" s="502"/>
      <c r="BO915" s="502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  <c r="DE915" s="5"/>
      <c r="DF915" s="5"/>
      <c r="DG915" s="5"/>
      <c r="DH915" s="5"/>
      <c r="DI915" s="5"/>
      <c r="DJ915" s="5"/>
      <c r="DK915" s="5"/>
      <c r="DL915" s="5"/>
      <c r="DM915" s="5"/>
      <c r="DN915" s="5"/>
      <c r="DO915" s="5"/>
      <c r="DP915" s="5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</row>
    <row r="916" s="504" customFormat="true" ht="12.75" hidden="true" customHeight="true" outlineLevel="0" collapsed="false">
      <c r="A916" s="5"/>
      <c r="B916" s="813" t="n">
        <f aca="false">B915+1</f>
        <v>701</v>
      </c>
      <c r="C916" s="814" t="n">
        <f aca="false">C915+D916</f>
        <v>93959.9685762767</v>
      </c>
      <c r="D916" s="815" t="n">
        <f aca="false">E916*$E$205*M916</f>
        <v>189.838340910889</v>
      </c>
      <c r="E916" s="601" t="n">
        <f aca="false">E915+$C$204</f>
        <v>12.0394686016545</v>
      </c>
      <c r="F916" s="816" t="n">
        <f aca="false">F915+1</f>
        <v>701</v>
      </c>
      <c r="G916" s="775" t="n">
        <f aca="false">C916</f>
        <v>93959.9685762767</v>
      </c>
      <c r="H916" s="817" t="n">
        <f aca="false">1000*(E916-E915)</f>
        <v>9.99999999999979</v>
      </c>
      <c r="I916" s="5"/>
      <c r="J916" s="818" t="n">
        <f aca="false">1000*(E916-$E$215)/(B916-$B$215)</f>
        <v>12.2451780721422</v>
      </c>
      <c r="K916" s="732" t="n">
        <f aca="false">AVERAGE($E$216:E916)</f>
        <v>8.52862694687573</v>
      </c>
      <c r="L916" s="819" t="n">
        <f aca="false">L915+1</f>
        <v>701</v>
      </c>
      <c r="M916" s="820" t="n">
        <f aca="false">IF(B916&lt;$E$104,$E$105,$E$106)</f>
        <v>3</v>
      </c>
      <c r="N916" s="821" t="n">
        <f aca="false">IF(B916&lt;$E$104,$E$105,$E$111)</f>
        <v>2.5</v>
      </c>
      <c r="O916" s="822" t="n">
        <f aca="false">E916*$E$205*N916</f>
        <v>158.198617425741</v>
      </c>
      <c r="P916" s="823" t="n">
        <f aca="false">P915+O916</f>
        <v>78351.6544139401</v>
      </c>
      <c r="Q916" s="606" t="n">
        <f aca="false">Q915+1</f>
        <v>701</v>
      </c>
      <c r="R916" s="824" t="n">
        <f aca="false">R915-1</f>
        <v>-701</v>
      </c>
      <c r="S916" s="5"/>
      <c r="T916" s="5"/>
      <c r="U916" s="5"/>
      <c r="V916" s="10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02"/>
      <c r="AU916" s="502"/>
      <c r="AV916" s="606"/>
      <c r="AW916" s="502"/>
      <c r="AX916" s="502"/>
      <c r="AY916" s="502"/>
      <c r="AZ916" s="502"/>
      <c r="BA916" s="502"/>
      <c r="BB916" s="502"/>
      <c r="BC916" s="502"/>
      <c r="BD916" s="502"/>
      <c r="BE916" s="502"/>
      <c r="BF916" s="502"/>
      <c r="BG916" s="502"/>
      <c r="BH916" s="502"/>
      <c r="BI916" s="502"/>
      <c r="BJ916" s="502"/>
      <c r="BK916" s="502"/>
      <c r="BL916" s="502"/>
      <c r="BM916" s="502"/>
      <c r="BN916" s="502"/>
      <c r="BO916" s="502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  <c r="DE916" s="5"/>
      <c r="DF916" s="5"/>
      <c r="DG916" s="5"/>
      <c r="DH916" s="5"/>
      <c r="DI916" s="5"/>
      <c r="DJ916" s="5"/>
      <c r="DK916" s="5"/>
      <c r="DL916" s="5"/>
      <c r="DM916" s="5"/>
      <c r="DN916" s="5"/>
      <c r="DO916" s="5"/>
      <c r="DP916" s="5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</row>
    <row r="917" s="504" customFormat="true" ht="12.75" hidden="true" customHeight="true" outlineLevel="0" collapsed="false">
      <c r="A917" s="5"/>
      <c r="B917" s="813" t="n">
        <f aca="false">B916+1</f>
        <v>702</v>
      </c>
      <c r="C917" s="814" t="n">
        <f aca="false">C916+D917</f>
        <v>94149.9645971876</v>
      </c>
      <c r="D917" s="815" t="n">
        <f aca="false">E917*$E$205*M917</f>
        <v>189.996020910889</v>
      </c>
      <c r="E917" s="601" t="n">
        <f aca="false">E916+$C$204</f>
        <v>12.0494686016545</v>
      </c>
      <c r="F917" s="816" t="n">
        <f aca="false">F916+1</f>
        <v>702</v>
      </c>
      <c r="G917" s="775" t="n">
        <f aca="false">C917</f>
        <v>94149.9645971876</v>
      </c>
      <c r="H917" s="817" t="n">
        <f aca="false">1000*(E917-E916)</f>
        <v>9.99999999999979</v>
      </c>
      <c r="I917" s="5"/>
      <c r="J917" s="818" t="n">
        <f aca="false">1000*(E917-$E$215)/(B917-$B$215)</f>
        <v>12.2419798127802</v>
      </c>
      <c r="K917" s="732" t="n">
        <f aca="false">AVERAGE($E$216:E917)</f>
        <v>8.5336423908284</v>
      </c>
      <c r="L917" s="819" t="n">
        <f aca="false">L916+1</f>
        <v>702</v>
      </c>
      <c r="M917" s="820" t="n">
        <f aca="false">IF(B917&lt;$E$104,$E$105,$E$106)</f>
        <v>3</v>
      </c>
      <c r="N917" s="821" t="n">
        <f aca="false">IF(B917&lt;$E$104,$E$105,$E$111)</f>
        <v>2.5</v>
      </c>
      <c r="O917" s="822" t="n">
        <f aca="false">E917*$E$205*N917</f>
        <v>158.330017425741</v>
      </c>
      <c r="P917" s="823" t="n">
        <f aca="false">P916+O917</f>
        <v>78509.9844313659</v>
      </c>
      <c r="Q917" s="606" t="n">
        <f aca="false">Q916+1</f>
        <v>702</v>
      </c>
      <c r="R917" s="824" t="n">
        <f aca="false">R916-1</f>
        <v>-702</v>
      </c>
      <c r="S917" s="5"/>
      <c r="T917" s="5"/>
      <c r="U917" s="5"/>
      <c r="V917" s="10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02"/>
      <c r="AU917" s="502"/>
      <c r="AV917" s="606"/>
      <c r="AW917" s="502"/>
      <c r="AX917" s="502"/>
      <c r="AY917" s="502"/>
      <c r="AZ917" s="502"/>
      <c r="BA917" s="502"/>
      <c r="BB917" s="502"/>
      <c r="BC917" s="502"/>
      <c r="BD917" s="502"/>
      <c r="BE917" s="502"/>
      <c r="BF917" s="502"/>
      <c r="BG917" s="502"/>
      <c r="BH917" s="502"/>
      <c r="BI917" s="502"/>
      <c r="BJ917" s="502"/>
      <c r="BK917" s="502"/>
      <c r="BL917" s="502"/>
      <c r="BM917" s="502"/>
      <c r="BN917" s="502"/>
      <c r="BO917" s="502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  <c r="DE917" s="5"/>
      <c r="DF917" s="5"/>
      <c r="DG917" s="5"/>
      <c r="DH917" s="5"/>
      <c r="DI917" s="5"/>
      <c r="DJ917" s="5"/>
      <c r="DK917" s="5"/>
      <c r="DL917" s="5"/>
      <c r="DM917" s="5"/>
      <c r="DN917" s="5"/>
      <c r="DO917" s="5"/>
      <c r="DP917" s="5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</row>
    <row r="918" s="504" customFormat="true" ht="12.75" hidden="true" customHeight="true" outlineLevel="0" collapsed="false">
      <c r="A918" s="5"/>
      <c r="B918" s="813" t="n">
        <f aca="false">B917+1</f>
        <v>703</v>
      </c>
      <c r="C918" s="814" t="n">
        <f aca="false">C917+D918</f>
        <v>94340.1182980985</v>
      </c>
      <c r="D918" s="815" t="n">
        <f aca="false">E918*$E$205*M918</f>
        <v>190.153700910889</v>
      </c>
      <c r="E918" s="601" t="n">
        <f aca="false">E917+$C$204</f>
        <v>12.0594686016545</v>
      </c>
      <c r="F918" s="816" t="n">
        <f aca="false">F917+1</f>
        <v>703</v>
      </c>
      <c r="G918" s="775" t="n">
        <f aca="false">C918</f>
        <v>94340.1182980985</v>
      </c>
      <c r="H918" s="817" t="n">
        <f aca="false">1000*(E918-E917)</f>
        <v>9.99999999999979</v>
      </c>
      <c r="I918" s="5"/>
      <c r="J918" s="818" t="n">
        <f aca="false">1000*(E918-$E$215)/(B918-$B$215)</f>
        <v>12.2387906523068</v>
      </c>
      <c r="K918" s="732" t="n">
        <f aca="false">AVERAGE($E$216:E918)</f>
        <v>8.5386577908438</v>
      </c>
      <c r="L918" s="819" t="n">
        <f aca="false">L917+1</f>
        <v>703</v>
      </c>
      <c r="M918" s="820" t="n">
        <f aca="false">IF(B918&lt;$E$104,$E$105,$E$106)</f>
        <v>3</v>
      </c>
      <c r="N918" s="821" t="n">
        <f aca="false">IF(B918&lt;$E$104,$E$105,$E$111)</f>
        <v>2.5</v>
      </c>
      <c r="O918" s="822" t="n">
        <f aca="false">E918*$E$205*N918</f>
        <v>158.461417425741</v>
      </c>
      <c r="P918" s="823" t="n">
        <f aca="false">P917+O918</f>
        <v>78668.4458487916</v>
      </c>
      <c r="Q918" s="606" t="n">
        <f aca="false">Q917+1</f>
        <v>703</v>
      </c>
      <c r="R918" s="824" t="n">
        <f aca="false">R917-1</f>
        <v>-703</v>
      </c>
      <c r="S918" s="5"/>
      <c r="T918" s="5"/>
      <c r="U918" s="5"/>
      <c r="V918" s="10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02"/>
      <c r="AU918" s="502"/>
      <c r="AV918" s="606"/>
      <c r="AW918" s="502"/>
      <c r="AX918" s="502"/>
      <c r="AY918" s="502"/>
      <c r="AZ918" s="502"/>
      <c r="BA918" s="502"/>
      <c r="BB918" s="502"/>
      <c r="BC918" s="502"/>
      <c r="BD918" s="502"/>
      <c r="BE918" s="502"/>
      <c r="BF918" s="502"/>
      <c r="BG918" s="502"/>
      <c r="BH918" s="502"/>
      <c r="BI918" s="502"/>
      <c r="BJ918" s="502"/>
      <c r="BK918" s="502"/>
      <c r="BL918" s="502"/>
      <c r="BM918" s="502"/>
      <c r="BN918" s="502"/>
      <c r="BO918" s="502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  <c r="DE918" s="5"/>
      <c r="DF918" s="5"/>
      <c r="DG918" s="5"/>
      <c r="DH918" s="5"/>
      <c r="DI918" s="5"/>
      <c r="DJ918" s="5"/>
      <c r="DK918" s="5"/>
      <c r="DL918" s="5"/>
      <c r="DM918" s="5"/>
      <c r="DN918" s="5"/>
      <c r="DO918" s="5"/>
      <c r="DP918" s="5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</row>
    <row r="919" s="504" customFormat="true" ht="12.75" hidden="true" customHeight="true" outlineLevel="0" collapsed="false">
      <c r="A919" s="5"/>
      <c r="B919" s="813" t="n">
        <f aca="false">B918+1</f>
        <v>704</v>
      </c>
      <c r="C919" s="814" t="n">
        <f aca="false">C918+D919</f>
        <v>94530.4296790094</v>
      </c>
      <c r="D919" s="815" t="n">
        <f aca="false">E919*$E$205*M919</f>
        <v>190.311380910889</v>
      </c>
      <c r="E919" s="601" t="n">
        <f aca="false">E918+$C$204</f>
        <v>12.0694686016545</v>
      </c>
      <c r="F919" s="816" t="n">
        <f aca="false">F918+1</f>
        <v>704</v>
      </c>
      <c r="G919" s="775" t="n">
        <f aca="false">C919</f>
        <v>94530.4296790094</v>
      </c>
      <c r="H919" s="817" t="n">
        <f aca="false">1000*(E919-E918)</f>
        <v>9.99999999999979</v>
      </c>
      <c r="I919" s="5"/>
      <c r="J919" s="818" t="n">
        <f aca="false">1000*(E919-$E$215)/(B919-$B$215)</f>
        <v>12.2356105519484</v>
      </c>
      <c r="K919" s="732" t="n">
        <f aca="false">AVERAGE($E$216:E919)</f>
        <v>8.54367314710916</v>
      </c>
      <c r="L919" s="819" t="n">
        <f aca="false">L918+1</f>
        <v>704</v>
      </c>
      <c r="M919" s="820" t="n">
        <f aca="false">IF(B919&lt;$E$104,$E$105,$E$106)</f>
        <v>3</v>
      </c>
      <c r="N919" s="821" t="n">
        <f aca="false">IF(B919&lt;$E$104,$E$105,$E$111)</f>
        <v>2.5</v>
      </c>
      <c r="O919" s="822" t="n">
        <f aca="false">E919*$E$205*N919</f>
        <v>158.592817425741</v>
      </c>
      <c r="P919" s="823" t="n">
        <f aca="false">P918+O919</f>
        <v>78827.0386662174</v>
      </c>
      <c r="Q919" s="606" t="n">
        <f aca="false">Q918+1</f>
        <v>704</v>
      </c>
      <c r="R919" s="824" t="n">
        <f aca="false">R918-1</f>
        <v>-704</v>
      </c>
      <c r="S919" s="5"/>
      <c r="T919" s="5"/>
      <c r="U919" s="5"/>
      <c r="V919" s="10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02"/>
      <c r="AU919" s="502"/>
      <c r="AV919" s="606"/>
      <c r="AW919" s="502"/>
      <c r="AX919" s="502"/>
      <c r="AY919" s="502"/>
      <c r="AZ919" s="502"/>
      <c r="BA919" s="502"/>
      <c r="BB919" s="502"/>
      <c r="BC919" s="502"/>
      <c r="BD919" s="502"/>
      <c r="BE919" s="502"/>
      <c r="BF919" s="502"/>
      <c r="BG919" s="502"/>
      <c r="BH919" s="502"/>
      <c r="BI919" s="502"/>
      <c r="BJ919" s="502"/>
      <c r="BK919" s="502"/>
      <c r="BL919" s="502"/>
      <c r="BM919" s="502"/>
      <c r="BN919" s="502"/>
      <c r="BO919" s="502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  <c r="DE919" s="5"/>
      <c r="DF919" s="5"/>
      <c r="DG919" s="5"/>
      <c r="DH919" s="5"/>
      <c r="DI919" s="5"/>
      <c r="DJ919" s="5"/>
      <c r="DK919" s="5"/>
      <c r="DL919" s="5"/>
      <c r="DM919" s="5"/>
      <c r="DN919" s="5"/>
      <c r="DO919" s="5"/>
      <c r="DP919" s="5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</row>
    <row r="920" s="504" customFormat="true" ht="12.75" hidden="true" customHeight="true" outlineLevel="0" collapsed="false">
      <c r="A920" s="5"/>
      <c r="B920" s="813" t="n">
        <f aca="false">B919+1</f>
        <v>705</v>
      </c>
      <c r="C920" s="814" t="n">
        <f aca="false">C919+D920</f>
        <v>94720.8987399203</v>
      </c>
      <c r="D920" s="815" t="n">
        <f aca="false">E920*$E$205*M920</f>
        <v>190.469060910889</v>
      </c>
      <c r="E920" s="601" t="n">
        <f aca="false">E919+$C$204</f>
        <v>12.0794686016545</v>
      </c>
      <c r="F920" s="816" t="n">
        <f aca="false">F919+1</f>
        <v>705</v>
      </c>
      <c r="G920" s="775" t="n">
        <f aca="false">C920</f>
        <v>94720.8987399203</v>
      </c>
      <c r="H920" s="817" t="n">
        <f aca="false">1000*(E920-E919)</f>
        <v>9.99999999999979</v>
      </c>
      <c r="I920" s="5"/>
      <c r="J920" s="818" t="n">
        <f aca="false">1000*(E920-$E$215)/(B920-$B$215)</f>
        <v>12.2324394731513</v>
      </c>
      <c r="K920" s="732" t="n">
        <f aca="false">AVERAGE($E$216:E920)</f>
        <v>8.54868845981064</v>
      </c>
      <c r="L920" s="819" t="n">
        <f aca="false">L919+1</f>
        <v>705</v>
      </c>
      <c r="M920" s="820" t="n">
        <f aca="false">IF(B920&lt;$E$104,$E$105,$E$106)</f>
        <v>3</v>
      </c>
      <c r="N920" s="821" t="n">
        <f aca="false">IF(B920&lt;$E$104,$E$105,$E$111)</f>
        <v>2.5</v>
      </c>
      <c r="O920" s="822" t="n">
        <f aca="false">E920*$E$205*N920</f>
        <v>158.724217425741</v>
      </c>
      <c r="P920" s="823" t="n">
        <f aca="false">P919+O920</f>
        <v>78985.7628836431</v>
      </c>
      <c r="Q920" s="606" t="n">
        <f aca="false">Q919+1</f>
        <v>705</v>
      </c>
      <c r="R920" s="824" t="n">
        <f aca="false">R919-1</f>
        <v>-705</v>
      </c>
      <c r="S920" s="5"/>
      <c r="T920" s="5"/>
      <c r="U920" s="5"/>
      <c r="V920" s="10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02"/>
      <c r="AU920" s="502"/>
      <c r="AV920" s="606"/>
      <c r="AW920" s="502"/>
      <c r="AX920" s="502"/>
      <c r="AY920" s="502"/>
      <c r="AZ920" s="502"/>
      <c r="BA920" s="502"/>
      <c r="BB920" s="502"/>
      <c r="BC920" s="502"/>
      <c r="BD920" s="502"/>
      <c r="BE920" s="502"/>
      <c r="BF920" s="502"/>
      <c r="BG920" s="502"/>
      <c r="BH920" s="502"/>
      <c r="BI920" s="502"/>
      <c r="BJ920" s="502"/>
      <c r="BK920" s="502"/>
      <c r="BL920" s="502"/>
      <c r="BM920" s="502"/>
      <c r="BN920" s="502"/>
      <c r="BO920" s="502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  <c r="DI920" s="5"/>
      <c r="DJ920" s="5"/>
      <c r="DK920" s="5"/>
      <c r="DL920" s="5"/>
      <c r="DM920" s="5"/>
      <c r="DN920" s="5"/>
      <c r="DO920" s="5"/>
      <c r="DP920" s="5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</row>
    <row r="921" s="504" customFormat="true" ht="12.75" hidden="true" customHeight="true" outlineLevel="0" collapsed="false">
      <c r="A921" s="5"/>
      <c r="B921" s="813" t="n">
        <f aca="false">B920+1</f>
        <v>706</v>
      </c>
      <c r="C921" s="814" t="n">
        <f aca="false">C920+D921</f>
        <v>94911.5254808312</v>
      </c>
      <c r="D921" s="815" t="n">
        <f aca="false">E921*$E$205*M921</f>
        <v>190.626740910889</v>
      </c>
      <c r="E921" s="601" t="n">
        <f aca="false">E920+$C$204</f>
        <v>12.0894686016545</v>
      </c>
      <c r="F921" s="816" t="n">
        <f aca="false">F920+1</f>
        <v>706</v>
      </c>
      <c r="G921" s="775" t="n">
        <f aca="false">C921</f>
        <v>94911.5254808312</v>
      </c>
      <c r="H921" s="817" t="n">
        <f aca="false">1000*(E921-E920)</f>
        <v>9.99999999999979</v>
      </c>
      <c r="I921" s="5"/>
      <c r="J921" s="818" t="n">
        <f aca="false">1000*(E921-$E$215)/(B921-$B$215)</f>
        <v>12.2292773775803</v>
      </c>
      <c r="K921" s="732" t="n">
        <f aca="false">AVERAGE($E$216:E921)</f>
        <v>8.55370372913337</v>
      </c>
      <c r="L921" s="819" t="n">
        <f aca="false">L920+1</f>
        <v>706</v>
      </c>
      <c r="M921" s="820" t="n">
        <f aca="false">IF(B921&lt;$E$104,$E$105,$E$106)</f>
        <v>3</v>
      </c>
      <c r="N921" s="821" t="n">
        <f aca="false">IF(B921&lt;$E$104,$E$105,$E$111)</f>
        <v>2.5</v>
      </c>
      <c r="O921" s="822" t="n">
        <f aca="false">E921*$E$205*N921</f>
        <v>158.855617425741</v>
      </c>
      <c r="P921" s="823" t="n">
        <f aca="false">P920+O921</f>
        <v>79144.6185010688</v>
      </c>
      <c r="Q921" s="606" t="n">
        <f aca="false">Q920+1</f>
        <v>706</v>
      </c>
      <c r="R921" s="824" t="n">
        <f aca="false">R920-1</f>
        <v>-706</v>
      </c>
      <c r="S921" s="5"/>
      <c r="T921" s="5"/>
      <c r="U921" s="5"/>
      <c r="V921" s="10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02"/>
      <c r="AU921" s="502"/>
      <c r="AV921" s="606"/>
      <c r="AW921" s="502"/>
      <c r="AX921" s="502"/>
      <c r="AY921" s="502"/>
      <c r="AZ921" s="502"/>
      <c r="BA921" s="502"/>
      <c r="BB921" s="502"/>
      <c r="BC921" s="502"/>
      <c r="BD921" s="502"/>
      <c r="BE921" s="502"/>
      <c r="BF921" s="502"/>
      <c r="BG921" s="502"/>
      <c r="BH921" s="502"/>
      <c r="BI921" s="502"/>
      <c r="BJ921" s="502"/>
      <c r="BK921" s="502"/>
      <c r="BL921" s="502"/>
      <c r="BM921" s="502"/>
      <c r="BN921" s="502"/>
      <c r="BO921" s="502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  <c r="DE921" s="5"/>
      <c r="DF921" s="5"/>
      <c r="DG921" s="5"/>
      <c r="DH921" s="5"/>
      <c r="DI921" s="5"/>
      <c r="DJ921" s="5"/>
      <c r="DK921" s="5"/>
      <c r="DL921" s="5"/>
      <c r="DM921" s="5"/>
      <c r="DN921" s="5"/>
      <c r="DO921" s="5"/>
      <c r="DP921" s="5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</row>
    <row r="922" s="504" customFormat="true" ht="12.75" hidden="true" customHeight="true" outlineLevel="0" collapsed="false">
      <c r="A922" s="5"/>
      <c r="B922" s="813" t="n">
        <f aca="false">B921+1</f>
        <v>707</v>
      </c>
      <c r="C922" s="814" t="n">
        <f aca="false">C921+D922</f>
        <v>95102.309901742</v>
      </c>
      <c r="D922" s="815" t="n">
        <f aca="false">E922*$E$205*M922</f>
        <v>190.784420910889</v>
      </c>
      <c r="E922" s="601" t="n">
        <f aca="false">E921+$C$204</f>
        <v>12.0994686016545</v>
      </c>
      <c r="F922" s="816" t="n">
        <f aca="false">F921+1</f>
        <v>707</v>
      </c>
      <c r="G922" s="775" t="n">
        <f aca="false">C922</f>
        <v>95102.309901742</v>
      </c>
      <c r="H922" s="817" t="n">
        <f aca="false">1000*(E922-E921)</f>
        <v>9.99999999999979</v>
      </c>
      <c r="I922" s="5"/>
      <c r="J922" s="818" t="n">
        <f aca="false">1000*(E922-$E$215)/(B922-$B$215)</f>
        <v>12.226124227117</v>
      </c>
      <c r="K922" s="732" t="n">
        <f aca="false">AVERAGE($E$216:E922)</f>
        <v>8.5587189552614</v>
      </c>
      <c r="L922" s="819" t="n">
        <f aca="false">L921+1</f>
        <v>707</v>
      </c>
      <c r="M922" s="820" t="n">
        <f aca="false">IF(B922&lt;$E$104,$E$105,$E$106)</f>
        <v>3</v>
      </c>
      <c r="N922" s="821" t="n">
        <f aca="false">IF(B922&lt;$E$104,$E$105,$E$111)</f>
        <v>2.5</v>
      </c>
      <c r="O922" s="822" t="n">
        <f aca="false">E922*$E$205*N922</f>
        <v>158.987017425741</v>
      </c>
      <c r="P922" s="823" t="n">
        <f aca="false">P921+O922</f>
        <v>79303.6055184946</v>
      </c>
      <c r="Q922" s="606" t="n">
        <f aca="false">Q921+1</f>
        <v>707</v>
      </c>
      <c r="R922" s="824" t="n">
        <f aca="false">R921-1</f>
        <v>-707</v>
      </c>
      <c r="S922" s="5"/>
      <c r="T922" s="5"/>
      <c r="U922" s="5"/>
      <c r="V922" s="10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02"/>
      <c r="AU922" s="502"/>
      <c r="AV922" s="606"/>
      <c r="AW922" s="502"/>
      <c r="AX922" s="502"/>
      <c r="AY922" s="502"/>
      <c r="AZ922" s="502"/>
      <c r="BA922" s="502"/>
      <c r="BB922" s="502"/>
      <c r="BC922" s="502"/>
      <c r="BD922" s="502"/>
      <c r="BE922" s="502"/>
      <c r="BF922" s="502"/>
      <c r="BG922" s="502"/>
      <c r="BH922" s="502"/>
      <c r="BI922" s="502"/>
      <c r="BJ922" s="502"/>
      <c r="BK922" s="502"/>
      <c r="BL922" s="502"/>
      <c r="BM922" s="502"/>
      <c r="BN922" s="502"/>
      <c r="BO922" s="502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  <c r="DI922" s="5"/>
      <c r="DJ922" s="5"/>
      <c r="DK922" s="5"/>
      <c r="DL922" s="5"/>
      <c r="DM922" s="5"/>
      <c r="DN922" s="5"/>
      <c r="DO922" s="5"/>
      <c r="DP922" s="5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</row>
    <row r="923" s="504" customFormat="true" ht="12.75" hidden="true" customHeight="true" outlineLevel="0" collapsed="false">
      <c r="A923" s="5"/>
      <c r="B923" s="813" t="n">
        <f aca="false">B922+1</f>
        <v>708</v>
      </c>
      <c r="C923" s="814" t="n">
        <f aca="false">C922+D923</f>
        <v>95293.2520026529</v>
      </c>
      <c r="D923" s="815" t="n">
        <f aca="false">E923*$E$205*M923</f>
        <v>190.942100910889</v>
      </c>
      <c r="E923" s="601" t="n">
        <f aca="false">E922+$C$204</f>
        <v>12.1094686016545</v>
      </c>
      <c r="F923" s="816" t="n">
        <f aca="false">F922+1</f>
        <v>708</v>
      </c>
      <c r="G923" s="775" t="n">
        <f aca="false">C923</f>
        <v>95293.2520026529</v>
      </c>
      <c r="H923" s="817" t="n">
        <f aca="false">1000*(E923-E922)</f>
        <v>9.99999999999979</v>
      </c>
      <c r="I923" s="5"/>
      <c r="J923" s="818" t="n">
        <f aca="false">1000*(E923-$E$215)/(B923-$B$215)</f>
        <v>12.2229799838583</v>
      </c>
      <c r="K923" s="732" t="n">
        <f aca="false">AVERAGE($E$216:E923)</f>
        <v>8.56373413837778</v>
      </c>
      <c r="L923" s="819" t="n">
        <f aca="false">L922+1</f>
        <v>708</v>
      </c>
      <c r="M923" s="820" t="n">
        <f aca="false">IF(B923&lt;$E$104,$E$105,$E$106)</f>
        <v>3</v>
      </c>
      <c r="N923" s="821" t="n">
        <f aca="false">IF(B923&lt;$E$104,$E$105,$E$111)</f>
        <v>2.5</v>
      </c>
      <c r="O923" s="822" t="n">
        <f aca="false">E923*$E$205*N923</f>
        <v>159.118417425741</v>
      </c>
      <c r="P923" s="823" t="n">
        <f aca="false">P922+O923</f>
        <v>79462.7239359203</v>
      </c>
      <c r="Q923" s="606" t="n">
        <f aca="false">Q922+1</f>
        <v>708</v>
      </c>
      <c r="R923" s="824" t="n">
        <f aca="false">R922-1</f>
        <v>-708</v>
      </c>
      <c r="S923" s="5"/>
      <c r="T923" s="5"/>
      <c r="U923" s="5"/>
      <c r="V923" s="10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02"/>
      <c r="AU923" s="502"/>
      <c r="AV923" s="606"/>
      <c r="AW923" s="502"/>
      <c r="AX923" s="502"/>
      <c r="AY923" s="502"/>
      <c r="AZ923" s="502"/>
      <c r="BA923" s="502"/>
      <c r="BB923" s="502"/>
      <c r="BC923" s="502"/>
      <c r="BD923" s="502"/>
      <c r="BE923" s="502"/>
      <c r="BF923" s="502"/>
      <c r="BG923" s="502"/>
      <c r="BH923" s="502"/>
      <c r="BI923" s="502"/>
      <c r="BJ923" s="502"/>
      <c r="BK923" s="502"/>
      <c r="BL923" s="502"/>
      <c r="BM923" s="502"/>
      <c r="BN923" s="502"/>
      <c r="BO923" s="502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  <c r="DI923" s="5"/>
      <c r="DJ923" s="5"/>
      <c r="DK923" s="5"/>
      <c r="DL923" s="5"/>
      <c r="DM923" s="5"/>
      <c r="DN923" s="5"/>
      <c r="DO923" s="5"/>
      <c r="DP923" s="5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</row>
    <row r="924" s="504" customFormat="true" ht="12.75" hidden="true" customHeight="true" outlineLevel="0" collapsed="false">
      <c r="A924" s="5"/>
      <c r="B924" s="813" t="n">
        <f aca="false">B923+1</f>
        <v>709</v>
      </c>
      <c r="C924" s="814" t="n">
        <f aca="false">C923+D924</f>
        <v>95484.3517835638</v>
      </c>
      <c r="D924" s="815" t="n">
        <f aca="false">E924*$E$205*M924</f>
        <v>191.099780910889</v>
      </c>
      <c r="E924" s="601" t="n">
        <f aca="false">E923+$C$204</f>
        <v>12.1194686016545</v>
      </c>
      <c r="F924" s="816" t="n">
        <f aca="false">F923+1</f>
        <v>709</v>
      </c>
      <c r="G924" s="775" t="n">
        <f aca="false">C924</f>
        <v>95484.3517835638</v>
      </c>
      <c r="H924" s="817" t="n">
        <f aca="false">1000*(E924-E923)</f>
        <v>9.99999999999979</v>
      </c>
      <c r="I924" s="5"/>
      <c r="J924" s="818" t="n">
        <f aca="false">1000*(E924-$E$215)/(B924-$B$215)</f>
        <v>12.2198446101152</v>
      </c>
      <c r="K924" s="732" t="n">
        <f aca="false">AVERAGE($E$216:E924)</f>
        <v>8.56874927866449</v>
      </c>
      <c r="L924" s="819" t="n">
        <f aca="false">L923+1</f>
        <v>709</v>
      </c>
      <c r="M924" s="820" t="n">
        <f aca="false">IF(B924&lt;$E$104,$E$105,$E$106)</f>
        <v>3</v>
      </c>
      <c r="N924" s="821" t="n">
        <f aca="false">IF(B924&lt;$E$104,$E$105,$E$111)</f>
        <v>2.5</v>
      </c>
      <c r="O924" s="822" t="n">
        <f aca="false">E924*$E$205*N924</f>
        <v>159.249817425741</v>
      </c>
      <c r="P924" s="823" t="n">
        <f aca="false">P923+O924</f>
        <v>79621.973753346</v>
      </c>
      <c r="Q924" s="606" t="n">
        <f aca="false">Q923+1</f>
        <v>709</v>
      </c>
      <c r="R924" s="824" t="n">
        <f aca="false">R923-1</f>
        <v>-709</v>
      </c>
      <c r="S924" s="5"/>
      <c r="T924" s="5"/>
      <c r="U924" s="5"/>
      <c r="V924" s="10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02"/>
      <c r="AU924" s="502"/>
      <c r="AV924" s="606"/>
      <c r="AW924" s="502"/>
      <c r="AX924" s="502"/>
      <c r="AY924" s="502"/>
      <c r="AZ924" s="502"/>
      <c r="BA924" s="502"/>
      <c r="BB924" s="502"/>
      <c r="BC924" s="502"/>
      <c r="BD924" s="502"/>
      <c r="BE924" s="502"/>
      <c r="BF924" s="502"/>
      <c r="BG924" s="502"/>
      <c r="BH924" s="502"/>
      <c r="BI924" s="502"/>
      <c r="BJ924" s="502"/>
      <c r="BK924" s="502"/>
      <c r="BL924" s="502"/>
      <c r="BM924" s="502"/>
      <c r="BN924" s="502"/>
      <c r="BO924" s="502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  <c r="DA924" s="5"/>
      <c r="DB924" s="5"/>
      <c r="DC924" s="5"/>
      <c r="DD924" s="5"/>
      <c r="DE924" s="5"/>
      <c r="DF924" s="5"/>
      <c r="DG924" s="5"/>
      <c r="DH924" s="5"/>
      <c r="DI924" s="5"/>
      <c r="DJ924" s="5"/>
      <c r="DK924" s="5"/>
      <c r="DL924" s="5"/>
      <c r="DM924" s="5"/>
      <c r="DN924" s="5"/>
      <c r="DO924" s="5"/>
      <c r="DP924" s="5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</row>
    <row r="925" s="504" customFormat="true" ht="12.75" hidden="true" customHeight="true" outlineLevel="0" collapsed="false">
      <c r="A925" s="5"/>
      <c r="B925" s="813" t="n">
        <f aca="false">B924+1</f>
        <v>710</v>
      </c>
      <c r="C925" s="814" t="n">
        <f aca="false">C924+D925</f>
        <v>95675.6092444747</v>
      </c>
      <c r="D925" s="815" t="n">
        <f aca="false">E925*$E$205*M925</f>
        <v>191.257460910889</v>
      </c>
      <c r="E925" s="601" t="n">
        <f aca="false">E924+$C$204</f>
        <v>12.1294686016545</v>
      </c>
      <c r="F925" s="816" t="n">
        <f aca="false">F924+1</f>
        <v>710</v>
      </c>
      <c r="G925" s="775" t="n">
        <f aca="false">C925</f>
        <v>95675.6092444747</v>
      </c>
      <c r="H925" s="817" t="n">
        <f aca="false">1000*(E925-E924)</f>
        <v>9.99999999999979</v>
      </c>
      <c r="I925" s="5"/>
      <c r="J925" s="818" t="n">
        <f aca="false">1000*(E925-$E$215)/(B925-$B$215)</f>
        <v>12.2167180684108</v>
      </c>
      <c r="K925" s="732" t="n">
        <f aca="false">AVERAGE($E$216:E925)</f>
        <v>8.5737643763025</v>
      </c>
      <c r="L925" s="819" t="n">
        <f aca="false">L924+1</f>
        <v>710</v>
      </c>
      <c r="M925" s="820" t="n">
        <f aca="false">IF(B925&lt;$E$104,$E$105,$E$106)</f>
        <v>3</v>
      </c>
      <c r="N925" s="821" t="n">
        <f aca="false">IF(B925&lt;$E$104,$E$105,$E$111)</f>
        <v>2.5</v>
      </c>
      <c r="O925" s="822" t="n">
        <f aca="false">E925*$E$205*N925</f>
        <v>159.381217425741</v>
      </c>
      <c r="P925" s="823" t="n">
        <f aca="false">P924+O925</f>
        <v>79781.3549707718</v>
      </c>
      <c r="Q925" s="606" t="n">
        <f aca="false">Q924+1</f>
        <v>710</v>
      </c>
      <c r="R925" s="824" t="n">
        <f aca="false">R924-1</f>
        <v>-710</v>
      </c>
      <c r="S925" s="5"/>
      <c r="T925" s="5"/>
      <c r="U925" s="5"/>
      <c r="V925" s="10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02"/>
      <c r="AU925" s="502"/>
      <c r="AV925" s="606"/>
      <c r="AW925" s="502"/>
      <c r="AX925" s="502"/>
      <c r="AY925" s="502"/>
      <c r="AZ925" s="502"/>
      <c r="BA925" s="502"/>
      <c r="BB925" s="502"/>
      <c r="BC925" s="502"/>
      <c r="BD925" s="502"/>
      <c r="BE925" s="502"/>
      <c r="BF925" s="502"/>
      <c r="BG925" s="502"/>
      <c r="BH925" s="502"/>
      <c r="BI925" s="502"/>
      <c r="BJ925" s="502"/>
      <c r="BK925" s="502"/>
      <c r="BL925" s="502"/>
      <c r="BM925" s="502"/>
      <c r="BN925" s="502"/>
      <c r="BO925" s="502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  <c r="DI925" s="5"/>
      <c r="DJ925" s="5"/>
      <c r="DK925" s="5"/>
      <c r="DL925" s="5"/>
      <c r="DM925" s="5"/>
      <c r="DN925" s="5"/>
      <c r="DO925" s="5"/>
      <c r="DP925" s="5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</row>
    <row r="926" s="504" customFormat="true" ht="12.75" hidden="true" customHeight="true" outlineLevel="0" collapsed="false">
      <c r="A926" s="5"/>
      <c r="B926" s="813" t="n">
        <f aca="false">B925+1</f>
        <v>711</v>
      </c>
      <c r="C926" s="814" t="n">
        <f aca="false">C925+D926</f>
        <v>95867.0243853856</v>
      </c>
      <c r="D926" s="815" t="n">
        <f aca="false">E926*$E$205*M926</f>
        <v>191.415140910889</v>
      </c>
      <c r="E926" s="601" t="n">
        <f aca="false">E925+$C$204</f>
        <v>12.1394686016545</v>
      </c>
      <c r="F926" s="816" t="n">
        <f aca="false">F925+1</f>
        <v>711</v>
      </c>
      <c r="G926" s="775" t="n">
        <f aca="false">C926</f>
        <v>95867.0243853856</v>
      </c>
      <c r="H926" s="817" t="n">
        <f aca="false">1000*(E926-E925)</f>
        <v>9.99999999999979</v>
      </c>
      <c r="I926" s="5"/>
      <c r="J926" s="818" t="n">
        <f aca="false">1000*(E926-$E$215)/(B926-$B$215)</f>
        <v>12.2136003214792</v>
      </c>
      <c r="K926" s="732" t="n">
        <f aca="false">AVERAGE($E$216:E926)</f>
        <v>8.57877943147177</v>
      </c>
      <c r="L926" s="819" t="n">
        <f aca="false">L925+1</f>
        <v>711</v>
      </c>
      <c r="M926" s="820" t="n">
        <f aca="false">IF(B926&lt;$E$104,$E$105,$E$106)</f>
        <v>3</v>
      </c>
      <c r="N926" s="821" t="n">
        <f aca="false">IF(B926&lt;$E$104,$E$105,$E$111)</f>
        <v>2.5</v>
      </c>
      <c r="O926" s="822" t="n">
        <f aca="false">E926*$E$205*N926</f>
        <v>159.512617425741</v>
      </c>
      <c r="P926" s="823" t="n">
        <f aca="false">P925+O926</f>
        <v>79940.8675881975</v>
      </c>
      <c r="Q926" s="606" t="n">
        <f aca="false">Q925+1</f>
        <v>711</v>
      </c>
      <c r="R926" s="824" t="n">
        <f aca="false">R925-1</f>
        <v>-711</v>
      </c>
      <c r="S926" s="5"/>
      <c r="T926" s="5"/>
      <c r="U926" s="5"/>
      <c r="V926" s="10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02"/>
      <c r="AU926" s="502"/>
      <c r="AV926" s="606"/>
      <c r="AW926" s="502"/>
      <c r="AX926" s="502"/>
      <c r="AY926" s="502"/>
      <c r="AZ926" s="502"/>
      <c r="BA926" s="502"/>
      <c r="BB926" s="502"/>
      <c r="BC926" s="502"/>
      <c r="BD926" s="502"/>
      <c r="BE926" s="502"/>
      <c r="BF926" s="502"/>
      <c r="BG926" s="502"/>
      <c r="BH926" s="502"/>
      <c r="BI926" s="502"/>
      <c r="BJ926" s="502"/>
      <c r="BK926" s="502"/>
      <c r="BL926" s="502"/>
      <c r="BM926" s="502"/>
      <c r="BN926" s="502"/>
      <c r="BO926" s="502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  <c r="DI926" s="5"/>
      <c r="DJ926" s="5"/>
      <c r="DK926" s="5"/>
      <c r="DL926" s="5"/>
      <c r="DM926" s="5"/>
      <c r="DN926" s="5"/>
      <c r="DO926" s="5"/>
      <c r="DP926" s="5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</row>
    <row r="927" s="504" customFormat="true" ht="12.75" hidden="true" customHeight="true" outlineLevel="0" collapsed="false">
      <c r="A927" s="5"/>
      <c r="B927" s="813" t="n">
        <f aca="false">B926+1</f>
        <v>712</v>
      </c>
      <c r="C927" s="814" t="n">
        <f aca="false">C926+D927</f>
        <v>96058.5972062965</v>
      </c>
      <c r="D927" s="815" t="n">
        <f aca="false">E927*$E$205*M927</f>
        <v>191.572820910889</v>
      </c>
      <c r="E927" s="601" t="n">
        <f aca="false">E926+$C$204</f>
        <v>12.1494686016545</v>
      </c>
      <c r="F927" s="816" t="n">
        <f aca="false">F926+1</f>
        <v>712</v>
      </c>
      <c r="G927" s="775" t="n">
        <f aca="false">C927</f>
        <v>96058.5972062965</v>
      </c>
      <c r="H927" s="817" t="n">
        <f aca="false">1000*(E927-E926)</f>
        <v>9.99999999999979</v>
      </c>
      <c r="I927" s="5"/>
      <c r="J927" s="818" t="n">
        <f aca="false">1000*(E927-$E$215)/(B927-$B$215)</f>
        <v>12.2104913322636</v>
      </c>
      <c r="K927" s="732" t="n">
        <f aca="false">AVERAGE($E$216:E927)</f>
        <v>8.58379444435125</v>
      </c>
      <c r="L927" s="819" t="n">
        <f aca="false">L926+1</f>
        <v>712</v>
      </c>
      <c r="M927" s="820" t="n">
        <f aca="false">IF(B927&lt;$E$104,$E$105,$E$106)</f>
        <v>3</v>
      </c>
      <c r="N927" s="821" t="n">
        <f aca="false">IF(B927&lt;$E$104,$E$105,$E$111)</f>
        <v>2.5</v>
      </c>
      <c r="O927" s="822" t="n">
        <f aca="false">E927*$E$205*N927</f>
        <v>159.644017425741</v>
      </c>
      <c r="P927" s="823" t="n">
        <f aca="false">P926+O927</f>
        <v>80100.5116056233</v>
      </c>
      <c r="Q927" s="606" t="n">
        <f aca="false">Q926+1</f>
        <v>712</v>
      </c>
      <c r="R927" s="824" t="n">
        <f aca="false">R926-1</f>
        <v>-712</v>
      </c>
      <c r="S927" s="5"/>
      <c r="T927" s="5"/>
      <c r="U927" s="5"/>
      <c r="V927" s="10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02"/>
      <c r="AU927" s="502"/>
      <c r="AV927" s="606"/>
      <c r="AW927" s="502"/>
      <c r="AX927" s="502"/>
      <c r="AY927" s="502"/>
      <c r="AZ927" s="502"/>
      <c r="BA927" s="502"/>
      <c r="BB927" s="502"/>
      <c r="BC927" s="502"/>
      <c r="BD927" s="502"/>
      <c r="BE927" s="502"/>
      <c r="BF927" s="502"/>
      <c r="BG927" s="502"/>
      <c r="BH927" s="502"/>
      <c r="BI927" s="502"/>
      <c r="BJ927" s="502"/>
      <c r="BK927" s="502"/>
      <c r="BL927" s="502"/>
      <c r="BM927" s="502"/>
      <c r="BN927" s="502"/>
      <c r="BO927" s="502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  <c r="DI927" s="5"/>
      <c r="DJ927" s="5"/>
      <c r="DK927" s="5"/>
      <c r="DL927" s="5"/>
      <c r="DM927" s="5"/>
      <c r="DN927" s="5"/>
      <c r="DO927" s="5"/>
      <c r="DP927" s="5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</row>
    <row r="928" s="504" customFormat="true" ht="12.75" hidden="true" customHeight="true" outlineLevel="0" collapsed="false">
      <c r="A928" s="5"/>
      <c r="B928" s="813" t="n">
        <f aca="false">B927+1</f>
        <v>713</v>
      </c>
      <c r="C928" s="814" t="n">
        <f aca="false">C927+D928</f>
        <v>96250.3277072074</v>
      </c>
      <c r="D928" s="815" t="n">
        <f aca="false">E928*$E$205*M928</f>
        <v>191.730500910889</v>
      </c>
      <c r="E928" s="601" t="n">
        <f aca="false">E927+$C$204</f>
        <v>12.1594686016545</v>
      </c>
      <c r="F928" s="816" t="n">
        <f aca="false">F927+1</f>
        <v>713</v>
      </c>
      <c r="G928" s="775" t="n">
        <f aca="false">C928</f>
        <v>96250.3277072074</v>
      </c>
      <c r="H928" s="817" t="n">
        <f aca="false">1000*(E928-E927)</f>
        <v>9.99999999999979</v>
      </c>
      <c r="I928" s="5"/>
      <c r="J928" s="818" t="n">
        <f aca="false">1000*(E928-$E$215)/(B928-$B$215)</f>
        <v>12.2073910639154</v>
      </c>
      <c r="K928" s="732" t="n">
        <f aca="false">AVERAGE($E$216:E928)</f>
        <v>8.58880941511885</v>
      </c>
      <c r="L928" s="819" t="n">
        <f aca="false">L927+1</f>
        <v>713</v>
      </c>
      <c r="M928" s="820" t="n">
        <f aca="false">IF(B928&lt;$E$104,$E$105,$E$106)</f>
        <v>3</v>
      </c>
      <c r="N928" s="821" t="n">
        <f aca="false">IF(B928&lt;$E$104,$E$105,$E$111)</f>
        <v>2.5</v>
      </c>
      <c r="O928" s="822" t="n">
        <f aca="false">E928*$E$205*N928</f>
        <v>159.775417425741</v>
      </c>
      <c r="P928" s="823" t="n">
        <f aca="false">P927+O928</f>
        <v>80260.287023049</v>
      </c>
      <c r="Q928" s="606" t="n">
        <f aca="false">Q927+1</f>
        <v>713</v>
      </c>
      <c r="R928" s="824" t="n">
        <f aca="false">R927-1</f>
        <v>-713</v>
      </c>
      <c r="S928" s="5"/>
      <c r="T928" s="5"/>
      <c r="U928" s="5"/>
      <c r="V928" s="10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02"/>
      <c r="AU928" s="502"/>
      <c r="AV928" s="606"/>
      <c r="AW928" s="502"/>
      <c r="AX928" s="502"/>
      <c r="AY928" s="502"/>
      <c r="AZ928" s="502"/>
      <c r="BA928" s="502"/>
      <c r="BB928" s="502"/>
      <c r="BC928" s="502"/>
      <c r="BD928" s="502"/>
      <c r="BE928" s="502"/>
      <c r="BF928" s="502"/>
      <c r="BG928" s="502"/>
      <c r="BH928" s="502"/>
      <c r="BI928" s="502"/>
      <c r="BJ928" s="502"/>
      <c r="BK928" s="502"/>
      <c r="BL928" s="502"/>
      <c r="BM928" s="502"/>
      <c r="BN928" s="502"/>
      <c r="BO928" s="502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  <c r="DE928" s="5"/>
      <c r="DF928" s="5"/>
      <c r="DG928" s="5"/>
      <c r="DH928" s="5"/>
      <c r="DI928" s="5"/>
      <c r="DJ928" s="5"/>
      <c r="DK928" s="5"/>
      <c r="DL928" s="5"/>
      <c r="DM928" s="5"/>
      <c r="DN928" s="5"/>
      <c r="DO928" s="5"/>
      <c r="DP928" s="5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</row>
    <row r="929" s="504" customFormat="true" ht="12.75" hidden="true" customHeight="true" outlineLevel="0" collapsed="false">
      <c r="A929" s="5"/>
      <c r="B929" s="813" t="n">
        <f aca="false">B928+1</f>
        <v>714</v>
      </c>
      <c r="C929" s="814" t="n">
        <f aca="false">C928+D929</f>
        <v>96442.2158881183</v>
      </c>
      <c r="D929" s="815" t="n">
        <f aca="false">E929*$E$205*M929</f>
        <v>191.888180910889</v>
      </c>
      <c r="E929" s="601" t="n">
        <f aca="false">E928+$C$204</f>
        <v>12.1694686016545</v>
      </c>
      <c r="F929" s="816" t="n">
        <f aca="false">F928+1</f>
        <v>714</v>
      </c>
      <c r="G929" s="775" t="n">
        <f aca="false">C929</f>
        <v>96442.2158881183</v>
      </c>
      <c r="H929" s="817" t="n">
        <f aca="false">1000*(E929-E928)</f>
        <v>9.99999999999979</v>
      </c>
      <c r="I929" s="5"/>
      <c r="J929" s="818" t="n">
        <f aca="false">1000*(E929-$E$215)/(B929-$B$215)</f>
        <v>12.2042994797923</v>
      </c>
      <c r="K929" s="732" t="n">
        <f aca="false">AVERAGE($E$216:E929)</f>
        <v>8.59382434395153</v>
      </c>
      <c r="L929" s="819" t="n">
        <f aca="false">L928+1</f>
        <v>714</v>
      </c>
      <c r="M929" s="820" t="n">
        <f aca="false">IF(B929&lt;$E$104,$E$105,$E$106)</f>
        <v>3</v>
      </c>
      <c r="N929" s="821" t="n">
        <f aca="false">IF(B929&lt;$E$104,$E$105,$E$111)</f>
        <v>2.5</v>
      </c>
      <c r="O929" s="822" t="n">
        <f aca="false">E929*$E$205*N929</f>
        <v>159.906817425741</v>
      </c>
      <c r="P929" s="823" t="n">
        <f aca="false">P928+O929</f>
        <v>80420.1938404748</v>
      </c>
      <c r="Q929" s="606" t="n">
        <f aca="false">Q928+1</f>
        <v>714</v>
      </c>
      <c r="R929" s="824" t="n">
        <f aca="false">R928-1</f>
        <v>-714</v>
      </c>
      <c r="S929" s="5"/>
      <c r="T929" s="5"/>
      <c r="U929" s="5"/>
      <c r="V929" s="10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02"/>
      <c r="AU929" s="502"/>
      <c r="AV929" s="606"/>
      <c r="AW929" s="502"/>
      <c r="AX929" s="502"/>
      <c r="AY929" s="502"/>
      <c r="AZ929" s="502"/>
      <c r="BA929" s="502"/>
      <c r="BB929" s="502"/>
      <c r="BC929" s="502"/>
      <c r="BD929" s="502"/>
      <c r="BE929" s="502"/>
      <c r="BF929" s="502"/>
      <c r="BG929" s="502"/>
      <c r="BH929" s="502"/>
      <c r="BI929" s="502"/>
      <c r="BJ929" s="502"/>
      <c r="BK929" s="502"/>
      <c r="BL929" s="502"/>
      <c r="BM929" s="502"/>
      <c r="BN929" s="502"/>
      <c r="BO929" s="502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  <c r="DI929" s="5"/>
      <c r="DJ929" s="5"/>
      <c r="DK929" s="5"/>
      <c r="DL929" s="5"/>
      <c r="DM929" s="5"/>
      <c r="DN929" s="5"/>
      <c r="DO929" s="5"/>
      <c r="DP929" s="5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</row>
    <row r="930" s="504" customFormat="true" ht="12.75" hidden="true" customHeight="true" outlineLevel="0" collapsed="false">
      <c r="A930" s="5"/>
      <c r="B930" s="813" t="n">
        <f aca="false">B929+1</f>
        <v>715</v>
      </c>
      <c r="C930" s="814" t="n">
        <f aca="false">C929+D930</f>
        <v>96634.2617490292</v>
      </c>
      <c r="D930" s="815" t="n">
        <f aca="false">E930*$E$205*M930</f>
        <v>192.045860910889</v>
      </c>
      <c r="E930" s="601" t="n">
        <f aca="false">E929+$C$204</f>
        <v>12.1794686016545</v>
      </c>
      <c r="F930" s="816" t="n">
        <f aca="false">F929+1</f>
        <v>715</v>
      </c>
      <c r="G930" s="775" t="n">
        <f aca="false">C930</f>
        <v>96634.2617490292</v>
      </c>
      <c r="H930" s="817" t="n">
        <f aca="false">1000*(E930-E929)</f>
        <v>9.99999999999979</v>
      </c>
      <c r="I930" s="5"/>
      <c r="J930" s="818" t="n">
        <f aca="false">1000*(E930-$E$215)/(B930-$B$215)</f>
        <v>12.2012165434569</v>
      </c>
      <c r="K930" s="732" t="n">
        <f aca="false">AVERAGE($E$216:E930)</f>
        <v>8.59883923102524</v>
      </c>
      <c r="L930" s="819" t="n">
        <f aca="false">L929+1</f>
        <v>715</v>
      </c>
      <c r="M930" s="820" t="n">
        <f aca="false">IF(B930&lt;$E$104,$E$105,$E$106)</f>
        <v>3</v>
      </c>
      <c r="N930" s="821" t="n">
        <f aca="false">IF(B930&lt;$E$104,$E$105,$E$111)</f>
        <v>2.5</v>
      </c>
      <c r="O930" s="822" t="n">
        <f aca="false">E930*$E$205*N930</f>
        <v>160.038217425741</v>
      </c>
      <c r="P930" s="823" t="n">
        <f aca="false">P929+O930</f>
        <v>80580.2320579005</v>
      </c>
      <c r="Q930" s="606" t="n">
        <f aca="false">Q929+1</f>
        <v>715</v>
      </c>
      <c r="R930" s="824" t="n">
        <f aca="false">R929-1</f>
        <v>-715</v>
      </c>
      <c r="S930" s="5"/>
      <c r="T930" s="5"/>
      <c r="U930" s="5"/>
      <c r="V930" s="10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02"/>
      <c r="AU930" s="502"/>
      <c r="AV930" s="606"/>
      <c r="AW930" s="502"/>
      <c r="AX930" s="502"/>
      <c r="AY930" s="502"/>
      <c r="AZ930" s="502"/>
      <c r="BA930" s="502"/>
      <c r="BB930" s="502"/>
      <c r="BC930" s="502"/>
      <c r="BD930" s="502"/>
      <c r="BE930" s="502"/>
      <c r="BF930" s="502"/>
      <c r="BG930" s="502"/>
      <c r="BH930" s="502"/>
      <c r="BI930" s="502"/>
      <c r="BJ930" s="502"/>
      <c r="BK930" s="502"/>
      <c r="BL930" s="502"/>
      <c r="BM930" s="502"/>
      <c r="BN930" s="502"/>
      <c r="BO930" s="502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  <c r="DE930" s="5"/>
      <c r="DF930" s="5"/>
      <c r="DG930" s="5"/>
      <c r="DH930" s="5"/>
      <c r="DI930" s="5"/>
      <c r="DJ930" s="5"/>
      <c r="DK930" s="5"/>
      <c r="DL930" s="5"/>
      <c r="DM930" s="5"/>
      <c r="DN930" s="5"/>
      <c r="DO930" s="5"/>
      <c r="DP930" s="5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</row>
    <row r="931" s="504" customFormat="true" ht="12.75" hidden="true" customHeight="true" outlineLevel="0" collapsed="false">
      <c r="A931" s="5"/>
      <c r="B931" s="813" t="n">
        <f aca="false">B930+1</f>
        <v>716</v>
      </c>
      <c r="C931" s="814" t="n">
        <f aca="false">C930+D931</f>
        <v>96826.4652899401</v>
      </c>
      <c r="D931" s="815" t="n">
        <f aca="false">E931*$E$205*M931</f>
        <v>192.203540910889</v>
      </c>
      <c r="E931" s="601" t="n">
        <f aca="false">E930+$C$204</f>
        <v>12.1894686016545</v>
      </c>
      <c r="F931" s="816" t="n">
        <f aca="false">F930+1</f>
        <v>716</v>
      </c>
      <c r="G931" s="775" t="n">
        <f aca="false">C931</f>
        <v>96826.4652899401</v>
      </c>
      <c r="H931" s="817" t="n">
        <f aca="false">1000*(E931-E930)</f>
        <v>9.99999999999979</v>
      </c>
      <c r="I931" s="5"/>
      <c r="J931" s="818" t="n">
        <f aca="false">1000*(E931-$E$215)/(B931-$B$215)</f>
        <v>12.1981422186755</v>
      </c>
      <c r="K931" s="732" t="n">
        <f aca="false">AVERAGE($E$216:E931)</f>
        <v>8.60385407651495</v>
      </c>
      <c r="L931" s="819" t="n">
        <f aca="false">L930+1</f>
        <v>716</v>
      </c>
      <c r="M931" s="820" t="n">
        <f aca="false">IF(B931&lt;$E$104,$E$105,$E$106)</f>
        <v>3</v>
      </c>
      <c r="N931" s="821" t="n">
        <f aca="false">IF(B931&lt;$E$104,$E$105,$E$111)</f>
        <v>2.5</v>
      </c>
      <c r="O931" s="822" t="n">
        <f aca="false">E931*$E$205*N931</f>
        <v>160.169617425741</v>
      </c>
      <c r="P931" s="823" t="n">
        <f aca="false">P930+O931</f>
        <v>80740.4016753262</v>
      </c>
      <c r="Q931" s="606" t="n">
        <f aca="false">Q930+1</f>
        <v>716</v>
      </c>
      <c r="R931" s="824" t="n">
        <f aca="false">R930-1</f>
        <v>-716</v>
      </c>
      <c r="S931" s="5"/>
      <c r="T931" s="5"/>
      <c r="U931" s="5"/>
      <c r="V931" s="10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02"/>
      <c r="AU931" s="502"/>
      <c r="AV931" s="606"/>
      <c r="AW931" s="502"/>
      <c r="AX931" s="502"/>
      <c r="AY931" s="502"/>
      <c r="AZ931" s="502"/>
      <c r="BA931" s="502"/>
      <c r="BB931" s="502"/>
      <c r="BC931" s="502"/>
      <c r="BD931" s="502"/>
      <c r="BE931" s="502"/>
      <c r="BF931" s="502"/>
      <c r="BG931" s="502"/>
      <c r="BH931" s="502"/>
      <c r="BI931" s="502"/>
      <c r="BJ931" s="502"/>
      <c r="BK931" s="502"/>
      <c r="BL931" s="502"/>
      <c r="BM931" s="502"/>
      <c r="BN931" s="502"/>
      <c r="BO931" s="502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  <c r="DE931" s="5"/>
      <c r="DF931" s="5"/>
      <c r="DG931" s="5"/>
      <c r="DH931" s="5"/>
      <c r="DI931" s="5"/>
      <c r="DJ931" s="5"/>
      <c r="DK931" s="5"/>
      <c r="DL931" s="5"/>
      <c r="DM931" s="5"/>
      <c r="DN931" s="5"/>
      <c r="DO931" s="5"/>
      <c r="DP931" s="5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</row>
    <row r="932" s="504" customFormat="true" ht="12.75" hidden="true" customHeight="true" outlineLevel="0" collapsed="false">
      <c r="A932" s="5"/>
      <c r="B932" s="813" t="n">
        <f aca="false">B931+1</f>
        <v>717</v>
      </c>
      <c r="C932" s="814" t="n">
        <f aca="false">C931+D932</f>
        <v>97018.8265108509</v>
      </c>
      <c r="D932" s="815" t="n">
        <f aca="false">E932*$E$205*M932</f>
        <v>192.361220910889</v>
      </c>
      <c r="E932" s="601" t="n">
        <f aca="false">E931+$C$204</f>
        <v>12.1994686016545</v>
      </c>
      <c r="F932" s="816" t="n">
        <f aca="false">F931+1</f>
        <v>717</v>
      </c>
      <c r="G932" s="775" t="n">
        <f aca="false">C932</f>
        <v>97018.8265108509</v>
      </c>
      <c r="H932" s="817" t="n">
        <f aca="false">1000*(E932-E931)</f>
        <v>9.99999999999979</v>
      </c>
      <c r="I932" s="5"/>
      <c r="J932" s="818" t="n">
        <f aca="false">1000*(E932-$E$215)/(B932-$B$215)</f>
        <v>12.1950764694166</v>
      </c>
      <c r="K932" s="732" t="n">
        <f aca="false">AVERAGE($E$216:E932)</f>
        <v>8.60886888059464</v>
      </c>
      <c r="L932" s="819" t="n">
        <f aca="false">L931+1</f>
        <v>717</v>
      </c>
      <c r="M932" s="820" t="n">
        <f aca="false">IF(B932&lt;$E$104,$E$105,$E$106)</f>
        <v>3</v>
      </c>
      <c r="N932" s="821" t="n">
        <f aca="false">IF(B932&lt;$E$104,$E$105,$E$111)</f>
        <v>2.5</v>
      </c>
      <c r="O932" s="822" t="n">
        <f aca="false">E932*$E$205*N932</f>
        <v>160.301017425741</v>
      </c>
      <c r="P932" s="823" t="n">
        <f aca="false">P931+O932</f>
        <v>80900.702692752</v>
      </c>
      <c r="Q932" s="606" t="n">
        <f aca="false">Q931+1</f>
        <v>717</v>
      </c>
      <c r="R932" s="824" t="n">
        <f aca="false">R931-1</f>
        <v>-717</v>
      </c>
      <c r="S932" s="5"/>
      <c r="T932" s="5"/>
      <c r="U932" s="5"/>
      <c r="V932" s="10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02"/>
      <c r="AU932" s="502"/>
      <c r="AV932" s="606"/>
      <c r="AW932" s="502"/>
      <c r="AX932" s="502"/>
      <c r="AY932" s="502"/>
      <c r="AZ932" s="502"/>
      <c r="BA932" s="502"/>
      <c r="BB932" s="502"/>
      <c r="BC932" s="502"/>
      <c r="BD932" s="502"/>
      <c r="BE932" s="502"/>
      <c r="BF932" s="502"/>
      <c r="BG932" s="502"/>
      <c r="BH932" s="502"/>
      <c r="BI932" s="502"/>
      <c r="BJ932" s="502"/>
      <c r="BK932" s="502"/>
      <c r="BL932" s="502"/>
      <c r="BM932" s="502"/>
      <c r="BN932" s="502"/>
      <c r="BO932" s="502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  <c r="DE932" s="5"/>
      <c r="DF932" s="5"/>
      <c r="DG932" s="5"/>
      <c r="DH932" s="5"/>
      <c r="DI932" s="5"/>
      <c r="DJ932" s="5"/>
      <c r="DK932" s="5"/>
      <c r="DL932" s="5"/>
      <c r="DM932" s="5"/>
      <c r="DN932" s="5"/>
      <c r="DO932" s="5"/>
      <c r="DP932" s="5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</row>
    <row r="933" s="504" customFormat="true" ht="12.75" hidden="true" customHeight="true" outlineLevel="0" collapsed="false">
      <c r="A933" s="5"/>
      <c r="B933" s="813" t="n">
        <f aca="false">B932+1</f>
        <v>718</v>
      </c>
      <c r="C933" s="814" t="n">
        <f aca="false">C932+D933</f>
        <v>97211.3454117618</v>
      </c>
      <c r="D933" s="815" t="n">
        <f aca="false">E933*$E$205*M933</f>
        <v>192.518900910889</v>
      </c>
      <c r="E933" s="601" t="n">
        <f aca="false">E932+$C$204</f>
        <v>12.2094686016545</v>
      </c>
      <c r="F933" s="816" t="n">
        <f aca="false">F932+1</f>
        <v>718</v>
      </c>
      <c r="G933" s="775" t="n">
        <f aca="false">C933</f>
        <v>97211.3454117618</v>
      </c>
      <c r="H933" s="817" t="n">
        <f aca="false">1000*(E933-E932)</f>
        <v>9.99999999999979</v>
      </c>
      <c r="I933" s="5"/>
      <c r="J933" s="818" t="n">
        <f aca="false">1000*(E933-$E$215)/(B933-$B$215)</f>
        <v>12.1920192598492</v>
      </c>
      <c r="K933" s="732" t="n">
        <f aca="false">AVERAGE($E$216:E933)</f>
        <v>8.61388364343734</v>
      </c>
      <c r="L933" s="819" t="n">
        <f aca="false">L932+1</f>
        <v>718</v>
      </c>
      <c r="M933" s="820" t="n">
        <f aca="false">IF(B933&lt;$E$104,$E$105,$E$106)</f>
        <v>3</v>
      </c>
      <c r="N933" s="821" t="n">
        <f aca="false">IF(B933&lt;$E$104,$E$105,$E$111)</f>
        <v>2.5</v>
      </c>
      <c r="O933" s="822" t="n">
        <f aca="false">E933*$E$205*N933</f>
        <v>160.432417425741</v>
      </c>
      <c r="P933" s="823" t="n">
        <f aca="false">P932+O933</f>
        <v>81061.1351101777</v>
      </c>
      <c r="Q933" s="606" t="n">
        <f aca="false">Q932+1</f>
        <v>718</v>
      </c>
      <c r="R933" s="824" t="n">
        <f aca="false">R932-1</f>
        <v>-718</v>
      </c>
      <c r="S933" s="5"/>
      <c r="T933" s="5"/>
      <c r="U933" s="5"/>
      <c r="V933" s="10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02"/>
      <c r="AU933" s="502"/>
      <c r="AV933" s="606"/>
      <c r="AW933" s="502"/>
      <c r="AX933" s="502"/>
      <c r="AY933" s="502"/>
      <c r="AZ933" s="502"/>
      <c r="BA933" s="502"/>
      <c r="BB933" s="502"/>
      <c r="BC933" s="502"/>
      <c r="BD933" s="502"/>
      <c r="BE933" s="502"/>
      <c r="BF933" s="502"/>
      <c r="BG933" s="502"/>
      <c r="BH933" s="502"/>
      <c r="BI933" s="502"/>
      <c r="BJ933" s="502"/>
      <c r="BK933" s="502"/>
      <c r="BL933" s="502"/>
      <c r="BM933" s="502"/>
      <c r="BN933" s="502"/>
      <c r="BO933" s="502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  <c r="DI933" s="5"/>
      <c r="DJ933" s="5"/>
      <c r="DK933" s="5"/>
      <c r="DL933" s="5"/>
      <c r="DM933" s="5"/>
      <c r="DN933" s="5"/>
      <c r="DO933" s="5"/>
      <c r="DP933" s="5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</row>
    <row r="934" s="504" customFormat="true" ht="12.75" hidden="true" customHeight="true" outlineLevel="0" collapsed="false">
      <c r="A934" s="5"/>
      <c r="B934" s="813" t="n">
        <f aca="false">B933+1</f>
        <v>719</v>
      </c>
      <c r="C934" s="814" t="n">
        <f aca="false">C933+D934</f>
        <v>97404.0219926727</v>
      </c>
      <c r="D934" s="815" t="n">
        <f aca="false">E934*$E$205*M934</f>
        <v>192.676580910889</v>
      </c>
      <c r="E934" s="601" t="n">
        <f aca="false">E933+$C$204</f>
        <v>12.2194686016545</v>
      </c>
      <c r="F934" s="816" t="n">
        <f aca="false">F933+1</f>
        <v>719</v>
      </c>
      <c r="G934" s="775" t="n">
        <f aca="false">C934</f>
        <v>97404.0219926727</v>
      </c>
      <c r="H934" s="817" t="n">
        <f aca="false">1000*(E934-E933)</f>
        <v>9.99999999999979</v>
      </c>
      <c r="I934" s="5"/>
      <c r="J934" s="818" t="n">
        <f aca="false">1000*(E934-$E$215)/(B934-$B$215)</f>
        <v>12.1889705543417</v>
      </c>
      <c r="K934" s="732" t="n">
        <f aca="false">AVERAGE($E$216:E934)</f>
        <v>8.61889836521512</v>
      </c>
      <c r="L934" s="819" t="n">
        <f aca="false">L933+1</f>
        <v>719</v>
      </c>
      <c r="M934" s="820" t="n">
        <f aca="false">IF(B934&lt;$E$104,$E$105,$E$106)</f>
        <v>3</v>
      </c>
      <c r="N934" s="821" t="n">
        <f aca="false">IF(B934&lt;$E$104,$E$105,$E$111)</f>
        <v>2.5</v>
      </c>
      <c r="O934" s="822" t="n">
        <f aca="false">E934*$E$205*N934</f>
        <v>160.563817425741</v>
      </c>
      <c r="P934" s="823" t="n">
        <f aca="false">P933+O934</f>
        <v>81221.6989276035</v>
      </c>
      <c r="Q934" s="606" t="n">
        <f aca="false">Q933+1</f>
        <v>719</v>
      </c>
      <c r="R934" s="824" t="n">
        <f aca="false">R933-1</f>
        <v>-719</v>
      </c>
      <c r="S934" s="5"/>
      <c r="T934" s="5"/>
      <c r="U934" s="5"/>
      <c r="V934" s="10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02"/>
      <c r="AU934" s="502"/>
      <c r="AV934" s="606"/>
      <c r="AW934" s="502"/>
      <c r="AX934" s="502"/>
      <c r="AY934" s="502"/>
      <c r="AZ934" s="502"/>
      <c r="BA934" s="502"/>
      <c r="BB934" s="502"/>
      <c r="BC934" s="502"/>
      <c r="BD934" s="502"/>
      <c r="BE934" s="502"/>
      <c r="BF934" s="502"/>
      <c r="BG934" s="502"/>
      <c r="BH934" s="502"/>
      <c r="BI934" s="502"/>
      <c r="BJ934" s="502"/>
      <c r="BK934" s="502"/>
      <c r="BL934" s="502"/>
      <c r="BM934" s="502"/>
      <c r="BN934" s="502"/>
      <c r="BO934" s="502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  <c r="DE934" s="5"/>
      <c r="DF934" s="5"/>
      <c r="DG934" s="5"/>
      <c r="DH934" s="5"/>
      <c r="DI934" s="5"/>
      <c r="DJ934" s="5"/>
      <c r="DK934" s="5"/>
      <c r="DL934" s="5"/>
      <c r="DM934" s="5"/>
      <c r="DN934" s="5"/>
      <c r="DO934" s="5"/>
      <c r="DP934" s="5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</row>
    <row r="935" s="504" customFormat="true" ht="12.75" hidden="true" customHeight="true" outlineLevel="0" collapsed="false">
      <c r="A935" s="5"/>
      <c r="B935" s="813" t="n">
        <f aca="false">B934+1</f>
        <v>720</v>
      </c>
      <c r="C935" s="814" t="n">
        <f aca="false">C934+D935</f>
        <v>97596.8562535836</v>
      </c>
      <c r="D935" s="815" t="n">
        <f aca="false">E935*$E$205*M935</f>
        <v>192.834260910889</v>
      </c>
      <c r="E935" s="601" t="n">
        <f aca="false">E934+$C$204</f>
        <v>12.2294686016545</v>
      </c>
      <c r="F935" s="816" t="n">
        <f aca="false">F934+1</f>
        <v>720</v>
      </c>
      <c r="G935" s="775" t="n">
        <f aca="false">C935</f>
        <v>97596.8562535836</v>
      </c>
      <c r="H935" s="817" t="n">
        <f aca="false">1000*(E935-E934)</f>
        <v>9.99999999999979</v>
      </c>
      <c r="I935" s="5"/>
      <c r="J935" s="818" t="n">
        <f aca="false">1000*(E935-$E$215)/(B935-$B$215)</f>
        <v>12.1859303174607</v>
      </c>
      <c r="K935" s="732" t="n">
        <f aca="false">AVERAGE($E$216:E935)</f>
        <v>8.62391304609906</v>
      </c>
      <c r="L935" s="819" t="n">
        <f aca="false">L934+1</f>
        <v>720</v>
      </c>
      <c r="M935" s="820" t="n">
        <f aca="false">IF(B935&lt;$E$104,$E$105,$E$106)</f>
        <v>3</v>
      </c>
      <c r="N935" s="821" t="n">
        <f aca="false">IF(B935&lt;$E$104,$E$105,$E$111)</f>
        <v>2.5</v>
      </c>
      <c r="O935" s="822" t="n">
        <f aca="false">E935*$E$205*N935</f>
        <v>160.695217425741</v>
      </c>
      <c r="P935" s="823" t="n">
        <f aca="false">P934+O935</f>
        <v>81382.3941450292</v>
      </c>
      <c r="Q935" s="606" t="n">
        <f aca="false">Q934+1</f>
        <v>720</v>
      </c>
      <c r="R935" s="824" t="n">
        <f aca="false">R934-1</f>
        <v>-720</v>
      </c>
      <c r="S935" s="5"/>
      <c r="T935" s="5"/>
      <c r="U935" s="5"/>
      <c r="V935" s="10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02"/>
      <c r="AU935" s="502"/>
      <c r="AV935" s="606"/>
      <c r="AW935" s="502"/>
      <c r="AX935" s="502"/>
      <c r="AY935" s="502"/>
      <c r="AZ935" s="502"/>
      <c r="BA935" s="502"/>
      <c r="BB935" s="502"/>
      <c r="BC935" s="502"/>
      <c r="BD935" s="502"/>
      <c r="BE935" s="502"/>
      <c r="BF935" s="502"/>
      <c r="BG935" s="502"/>
      <c r="BH935" s="502"/>
      <c r="BI935" s="502"/>
      <c r="BJ935" s="502"/>
      <c r="BK935" s="502"/>
      <c r="BL935" s="502"/>
      <c r="BM935" s="502"/>
      <c r="BN935" s="502"/>
      <c r="BO935" s="502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  <c r="DI935" s="5"/>
      <c r="DJ935" s="5"/>
      <c r="DK935" s="5"/>
      <c r="DL935" s="5"/>
      <c r="DM935" s="5"/>
      <c r="DN935" s="5"/>
      <c r="DO935" s="5"/>
      <c r="DP935" s="5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</row>
    <row r="936" s="504" customFormat="true" ht="12.75" hidden="true" customHeight="true" outlineLevel="0" collapsed="false">
      <c r="A936" s="5"/>
      <c r="B936" s="813" t="n">
        <f aca="false">B935+1</f>
        <v>721</v>
      </c>
      <c r="C936" s="814" t="n">
        <f aca="false">C935+D936</f>
        <v>97789.8481944945</v>
      </c>
      <c r="D936" s="815" t="n">
        <f aca="false">E936*$E$205*M936</f>
        <v>192.991940910889</v>
      </c>
      <c r="E936" s="601" t="n">
        <f aca="false">E935+$C$204</f>
        <v>12.2394686016545</v>
      </c>
      <c r="F936" s="816" t="n">
        <f aca="false">F935+1</f>
        <v>721</v>
      </c>
      <c r="G936" s="775" t="n">
        <f aca="false">C936</f>
        <v>97789.8481944945</v>
      </c>
      <c r="H936" s="817" t="n">
        <f aca="false">1000*(E936-E935)</f>
        <v>9.99999999999979</v>
      </c>
      <c r="I936" s="5"/>
      <c r="J936" s="818" t="n">
        <f aca="false">1000*(E936-$E$215)/(B936-$B$215)</f>
        <v>12.1828985139691</v>
      </c>
      <c r="K936" s="732" t="n">
        <f aca="false">AVERAGE($E$216:E936)</f>
        <v>8.62892768625933</v>
      </c>
      <c r="L936" s="819" t="n">
        <f aca="false">L935+1</f>
        <v>721</v>
      </c>
      <c r="M936" s="820" t="n">
        <f aca="false">IF(B936&lt;$E$104,$E$105,$E$106)</f>
        <v>3</v>
      </c>
      <c r="N936" s="821" t="n">
        <f aca="false">IF(B936&lt;$E$104,$E$105,$E$111)</f>
        <v>2.5</v>
      </c>
      <c r="O936" s="822" t="n">
        <f aca="false">E936*$E$205*N936</f>
        <v>160.826617425741</v>
      </c>
      <c r="P936" s="823" t="n">
        <f aca="false">P935+O936</f>
        <v>81543.2207624549</v>
      </c>
      <c r="Q936" s="606" t="n">
        <f aca="false">Q935+1</f>
        <v>721</v>
      </c>
      <c r="R936" s="824" t="n">
        <f aca="false">R935-1</f>
        <v>-721</v>
      </c>
      <c r="S936" s="5"/>
      <c r="T936" s="5"/>
      <c r="U936" s="5"/>
      <c r="V936" s="10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02"/>
      <c r="AU936" s="502"/>
      <c r="AV936" s="606"/>
      <c r="AW936" s="502"/>
      <c r="AX936" s="502"/>
      <c r="AY936" s="502"/>
      <c r="AZ936" s="502"/>
      <c r="BA936" s="502"/>
      <c r="BB936" s="502"/>
      <c r="BC936" s="502"/>
      <c r="BD936" s="502"/>
      <c r="BE936" s="502"/>
      <c r="BF936" s="502"/>
      <c r="BG936" s="502"/>
      <c r="BH936" s="502"/>
      <c r="BI936" s="502"/>
      <c r="BJ936" s="502"/>
      <c r="BK936" s="502"/>
      <c r="BL936" s="502"/>
      <c r="BM936" s="502"/>
      <c r="BN936" s="502"/>
      <c r="BO936" s="502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  <c r="DI936" s="5"/>
      <c r="DJ936" s="5"/>
      <c r="DK936" s="5"/>
      <c r="DL936" s="5"/>
      <c r="DM936" s="5"/>
      <c r="DN936" s="5"/>
      <c r="DO936" s="5"/>
      <c r="DP936" s="5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</row>
    <row r="937" s="504" customFormat="true" ht="12.75" hidden="true" customHeight="true" outlineLevel="0" collapsed="false">
      <c r="A937" s="5"/>
      <c r="B937" s="813" t="n">
        <f aca="false">B936+1</f>
        <v>722</v>
      </c>
      <c r="C937" s="814" t="n">
        <f aca="false">C936+D937</f>
        <v>97982.9978154054</v>
      </c>
      <c r="D937" s="815" t="n">
        <f aca="false">E937*$E$205*M937</f>
        <v>193.149620910889</v>
      </c>
      <c r="E937" s="601" t="n">
        <f aca="false">E936+$C$204</f>
        <v>12.2494686016545</v>
      </c>
      <c r="F937" s="816" t="n">
        <f aca="false">F936+1</f>
        <v>722</v>
      </c>
      <c r="G937" s="775" t="n">
        <f aca="false">C937</f>
        <v>97982.9978154054</v>
      </c>
      <c r="H937" s="817" t="n">
        <f aca="false">1000*(E937-E936)</f>
        <v>9.99999999999979</v>
      </c>
      <c r="I937" s="5"/>
      <c r="J937" s="818" t="n">
        <f aca="false">1000*(E937-$E$215)/(B937-$B$215)</f>
        <v>12.1798751088251</v>
      </c>
      <c r="K937" s="732" t="n">
        <f aca="false">AVERAGE($E$216:E937)</f>
        <v>8.63394228586514</v>
      </c>
      <c r="L937" s="819" t="n">
        <f aca="false">L936+1</f>
        <v>722</v>
      </c>
      <c r="M937" s="820" t="n">
        <f aca="false">IF(B937&lt;$E$104,$E$105,$E$106)</f>
        <v>3</v>
      </c>
      <c r="N937" s="821" t="n">
        <f aca="false">IF(B937&lt;$E$104,$E$105,$E$111)</f>
        <v>2.5</v>
      </c>
      <c r="O937" s="822" t="n">
        <f aca="false">E937*$E$205*N937</f>
        <v>160.958017425741</v>
      </c>
      <c r="P937" s="823" t="n">
        <f aca="false">P936+O937</f>
        <v>81704.1787798807</v>
      </c>
      <c r="Q937" s="606" t="n">
        <f aca="false">Q936+1</f>
        <v>722</v>
      </c>
      <c r="R937" s="824" t="n">
        <f aca="false">R936-1</f>
        <v>-722</v>
      </c>
      <c r="S937" s="5"/>
      <c r="T937" s="5"/>
      <c r="U937" s="5"/>
      <c r="V937" s="10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02"/>
      <c r="AU937" s="502"/>
      <c r="AV937" s="606"/>
      <c r="AW937" s="502"/>
      <c r="AX937" s="502"/>
      <c r="AY937" s="502"/>
      <c r="AZ937" s="502"/>
      <c r="BA937" s="502"/>
      <c r="BB937" s="502"/>
      <c r="BC937" s="502"/>
      <c r="BD937" s="502"/>
      <c r="BE937" s="502"/>
      <c r="BF937" s="502"/>
      <c r="BG937" s="502"/>
      <c r="BH937" s="502"/>
      <c r="BI937" s="502"/>
      <c r="BJ937" s="502"/>
      <c r="BK937" s="502"/>
      <c r="BL937" s="502"/>
      <c r="BM937" s="502"/>
      <c r="BN937" s="502"/>
      <c r="BO937" s="502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  <c r="DI937" s="5"/>
      <c r="DJ937" s="5"/>
      <c r="DK937" s="5"/>
      <c r="DL937" s="5"/>
      <c r="DM937" s="5"/>
      <c r="DN937" s="5"/>
      <c r="DO937" s="5"/>
      <c r="DP937" s="5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</row>
    <row r="938" s="504" customFormat="true" ht="12.75" hidden="true" customHeight="true" outlineLevel="0" collapsed="false">
      <c r="A938" s="5"/>
      <c r="B938" s="813" t="n">
        <f aca="false">B937+1</f>
        <v>723</v>
      </c>
      <c r="C938" s="814" t="n">
        <f aca="false">C937+D938</f>
        <v>98176.3051163163</v>
      </c>
      <c r="D938" s="815" t="n">
        <f aca="false">E938*$E$205*M938</f>
        <v>193.307300910889</v>
      </c>
      <c r="E938" s="601" t="n">
        <f aca="false">E937+$C$204</f>
        <v>12.2594686016545</v>
      </c>
      <c r="F938" s="816" t="n">
        <f aca="false">F937+1</f>
        <v>723</v>
      </c>
      <c r="G938" s="775" t="n">
        <f aca="false">C938</f>
        <v>98176.3051163163</v>
      </c>
      <c r="H938" s="817" t="n">
        <f aca="false">1000*(E938-E937)</f>
        <v>9.99999999999979</v>
      </c>
      <c r="I938" s="5"/>
      <c r="J938" s="818" t="n">
        <f aca="false">1000*(E938-$E$215)/(B938-$B$215)</f>
        <v>12.1768600671808</v>
      </c>
      <c r="K938" s="732" t="n">
        <f aca="false">AVERAGE($E$216:E938)</f>
        <v>8.63895684508477</v>
      </c>
      <c r="L938" s="819" t="n">
        <f aca="false">L937+1</f>
        <v>723</v>
      </c>
      <c r="M938" s="820" t="n">
        <f aca="false">IF(B938&lt;$E$104,$E$105,$E$106)</f>
        <v>3</v>
      </c>
      <c r="N938" s="821" t="n">
        <f aca="false">IF(B938&lt;$E$104,$E$105,$E$111)</f>
        <v>2.5</v>
      </c>
      <c r="O938" s="822" t="n">
        <f aca="false">E938*$E$205*N938</f>
        <v>161.089417425741</v>
      </c>
      <c r="P938" s="823" t="n">
        <f aca="false">P937+O938</f>
        <v>81865.2681973064</v>
      </c>
      <c r="Q938" s="606" t="n">
        <f aca="false">Q937+1</f>
        <v>723</v>
      </c>
      <c r="R938" s="824" t="n">
        <f aca="false">R937-1</f>
        <v>-723</v>
      </c>
      <c r="S938" s="5"/>
      <c r="T938" s="5"/>
      <c r="U938" s="5"/>
      <c r="V938" s="10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02"/>
      <c r="AU938" s="502"/>
      <c r="AV938" s="606"/>
      <c r="AW938" s="502"/>
      <c r="AX938" s="502"/>
      <c r="AY938" s="502"/>
      <c r="AZ938" s="502"/>
      <c r="BA938" s="502"/>
      <c r="BB938" s="502"/>
      <c r="BC938" s="502"/>
      <c r="BD938" s="502"/>
      <c r="BE938" s="502"/>
      <c r="BF938" s="502"/>
      <c r="BG938" s="502"/>
      <c r="BH938" s="502"/>
      <c r="BI938" s="502"/>
      <c r="BJ938" s="502"/>
      <c r="BK938" s="502"/>
      <c r="BL938" s="502"/>
      <c r="BM938" s="502"/>
      <c r="BN938" s="502"/>
      <c r="BO938" s="502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  <c r="DE938" s="5"/>
      <c r="DF938" s="5"/>
      <c r="DG938" s="5"/>
      <c r="DH938" s="5"/>
      <c r="DI938" s="5"/>
      <c r="DJ938" s="5"/>
      <c r="DK938" s="5"/>
      <c r="DL938" s="5"/>
      <c r="DM938" s="5"/>
      <c r="DN938" s="5"/>
      <c r="DO938" s="5"/>
      <c r="DP938" s="5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</row>
    <row r="939" s="504" customFormat="true" ht="12.75" hidden="true" customHeight="true" outlineLevel="0" collapsed="false">
      <c r="A939" s="5"/>
      <c r="B939" s="813" t="n">
        <f aca="false">B938+1</f>
        <v>724</v>
      </c>
      <c r="C939" s="814" t="n">
        <f aca="false">C938+D939</f>
        <v>98369.7700972272</v>
      </c>
      <c r="D939" s="815" t="n">
        <f aca="false">E939*$E$205*M939</f>
        <v>193.464980910889</v>
      </c>
      <c r="E939" s="601" t="n">
        <f aca="false">E938+$C$204</f>
        <v>12.2694686016545</v>
      </c>
      <c r="F939" s="816" t="n">
        <f aca="false">F938+1</f>
        <v>724</v>
      </c>
      <c r="G939" s="775" t="n">
        <f aca="false">C939</f>
        <v>98369.7700972272</v>
      </c>
      <c r="H939" s="817" t="n">
        <f aca="false">1000*(E939-E938)</f>
        <v>9.99999999999979</v>
      </c>
      <c r="I939" s="5"/>
      <c r="J939" s="818" t="n">
        <f aca="false">1000*(E939-$E$215)/(B939-$B$215)</f>
        <v>12.1738533543808</v>
      </c>
      <c r="K939" s="732" t="n">
        <f aca="false">AVERAGE($E$216:E939)</f>
        <v>8.64397136408555</v>
      </c>
      <c r="L939" s="819" t="n">
        <f aca="false">L938+1</f>
        <v>724</v>
      </c>
      <c r="M939" s="820" t="n">
        <f aca="false">IF(B939&lt;$E$104,$E$105,$E$106)</f>
        <v>3</v>
      </c>
      <c r="N939" s="821" t="n">
        <f aca="false">IF(B939&lt;$E$104,$E$105,$E$111)</f>
        <v>2.5</v>
      </c>
      <c r="O939" s="822" t="n">
        <f aca="false">E939*$E$205*N939</f>
        <v>161.220817425741</v>
      </c>
      <c r="P939" s="823" t="n">
        <f aca="false">P938+O939</f>
        <v>82026.4890147322</v>
      </c>
      <c r="Q939" s="606" t="n">
        <f aca="false">Q938+1</f>
        <v>724</v>
      </c>
      <c r="R939" s="824" t="n">
        <f aca="false">R938-1</f>
        <v>-724</v>
      </c>
      <c r="S939" s="5"/>
      <c r="T939" s="5"/>
      <c r="U939" s="5"/>
      <c r="V939" s="10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02"/>
      <c r="AU939" s="502"/>
      <c r="AV939" s="606"/>
      <c r="AW939" s="502"/>
      <c r="AX939" s="502"/>
      <c r="AY939" s="502"/>
      <c r="AZ939" s="502"/>
      <c r="BA939" s="502"/>
      <c r="BB939" s="502"/>
      <c r="BC939" s="502"/>
      <c r="BD939" s="502"/>
      <c r="BE939" s="502"/>
      <c r="BF939" s="502"/>
      <c r="BG939" s="502"/>
      <c r="BH939" s="502"/>
      <c r="BI939" s="502"/>
      <c r="BJ939" s="502"/>
      <c r="BK939" s="502"/>
      <c r="BL939" s="502"/>
      <c r="BM939" s="502"/>
      <c r="BN939" s="502"/>
      <c r="BO939" s="502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  <c r="DI939" s="5"/>
      <c r="DJ939" s="5"/>
      <c r="DK939" s="5"/>
      <c r="DL939" s="5"/>
      <c r="DM939" s="5"/>
      <c r="DN939" s="5"/>
      <c r="DO939" s="5"/>
      <c r="DP939" s="5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</row>
    <row r="940" s="504" customFormat="true" ht="12.75" hidden="true" customHeight="true" outlineLevel="0" collapsed="false">
      <c r="A940" s="5"/>
      <c r="B940" s="813" t="n">
        <f aca="false">B939+1</f>
        <v>725</v>
      </c>
      <c r="C940" s="814" t="n">
        <f aca="false">C939+D940</f>
        <v>98563.3927581381</v>
      </c>
      <c r="D940" s="815" t="n">
        <f aca="false">E940*$E$205*M940</f>
        <v>193.622660910889</v>
      </c>
      <c r="E940" s="601" t="n">
        <f aca="false">E939+$C$204</f>
        <v>12.2794686016545</v>
      </c>
      <c r="F940" s="816" t="n">
        <f aca="false">F939+1</f>
        <v>725</v>
      </c>
      <c r="G940" s="775" t="n">
        <f aca="false">C940</f>
        <v>98563.3927581381</v>
      </c>
      <c r="H940" s="817" t="n">
        <f aca="false">1000*(E940-E939)</f>
        <v>9.99999999999979</v>
      </c>
      <c r="I940" s="5"/>
      <c r="J940" s="818" t="n">
        <f aca="false">1000*(E940-$E$215)/(B940-$B$215)</f>
        <v>12.170854935961</v>
      </c>
      <c r="K940" s="732" t="n">
        <f aca="false">AVERAGE($E$216:E940)</f>
        <v>8.64898584303392</v>
      </c>
      <c r="L940" s="819" t="n">
        <f aca="false">L939+1</f>
        <v>725</v>
      </c>
      <c r="M940" s="820" t="n">
        <f aca="false">IF(B940&lt;$E$104,$E$105,$E$106)</f>
        <v>3</v>
      </c>
      <c r="N940" s="821" t="n">
        <f aca="false">IF(B940&lt;$E$104,$E$105,$E$111)</f>
        <v>2.5</v>
      </c>
      <c r="O940" s="822" t="n">
        <f aca="false">E940*$E$205*N940</f>
        <v>161.352217425741</v>
      </c>
      <c r="P940" s="823" t="n">
        <f aca="false">P939+O940</f>
        <v>82187.8412321579</v>
      </c>
      <c r="Q940" s="606" t="n">
        <f aca="false">Q939+1</f>
        <v>725</v>
      </c>
      <c r="R940" s="824" t="n">
        <f aca="false">R939-1</f>
        <v>-725</v>
      </c>
      <c r="S940" s="5"/>
      <c r="T940" s="5"/>
      <c r="U940" s="5"/>
      <c r="V940" s="10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02"/>
      <c r="AU940" s="502"/>
      <c r="AV940" s="606"/>
      <c r="AW940" s="502"/>
      <c r="AX940" s="502"/>
      <c r="AY940" s="502"/>
      <c r="AZ940" s="502"/>
      <c r="BA940" s="502"/>
      <c r="BB940" s="502"/>
      <c r="BC940" s="502"/>
      <c r="BD940" s="502"/>
      <c r="BE940" s="502"/>
      <c r="BF940" s="502"/>
      <c r="BG940" s="502"/>
      <c r="BH940" s="502"/>
      <c r="BI940" s="502"/>
      <c r="BJ940" s="502"/>
      <c r="BK940" s="502"/>
      <c r="BL940" s="502"/>
      <c r="BM940" s="502"/>
      <c r="BN940" s="502"/>
      <c r="BO940" s="502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  <c r="DE940" s="5"/>
      <c r="DF940" s="5"/>
      <c r="DG940" s="5"/>
      <c r="DH940" s="5"/>
      <c r="DI940" s="5"/>
      <c r="DJ940" s="5"/>
      <c r="DK940" s="5"/>
      <c r="DL940" s="5"/>
      <c r="DM940" s="5"/>
      <c r="DN940" s="5"/>
      <c r="DO940" s="5"/>
      <c r="DP940" s="5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</row>
    <row r="941" s="504" customFormat="true" ht="12.75" hidden="true" customHeight="true" outlineLevel="0" collapsed="false">
      <c r="A941" s="5"/>
      <c r="B941" s="813" t="n">
        <f aca="false">B940+1</f>
        <v>726</v>
      </c>
      <c r="C941" s="814" t="n">
        <f aca="false">C940+D941</f>
        <v>98757.1730990489</v>
      </c>
      <c r="D941" s="815" t="n">
        <f aca="false">E941*$E$205*M941</f>
        <v>193.780340910889</v>
      </c>
      <c r="E941" s="601" t="n">
        <f aca="false">E940+$C$204</f>
        <v>12.2894686016545</v>
      </c>
      <c r="F941" s="816" t="n">
        <f aca="false">F940+1</f>
        <v>726</v>
      </c>
      <c r="G941" s="775" t="n">
        <f aca="false">C941</f>
        <v>98757.1730990489</v>
      </c>
      <c r="H941" s="817" t="n">
        <f aca="false">1000*(E941-E940)</f>
        <v>9.99999999999979</v>
      </c>
      <c r="I941" s="5"/>
      <c r="J941" s="818" t="n">
        <f aca="false">1000*(E941-$E$215)/(B941-$B$215)</f>
        <v>12.167864777647</v>
      </c>
      <c r="K941" s="732" t="n">
        <f aca="false">AVERAGE($E$216:E941)</f>
        <v>8.65400028209538</v>
      </c>
      <c r="L941" s="819" t="n">
        <f aca="false">L940+1</f>
        <v>726</v>
      </c>
      <c r="M941" s="820" t="n">
        <f aca="false">IF(B941&lt;$E$104,$E$105,$E$106)</f>
        <v>3</v>
      </c>
      <c r="N941" s="821" t="n">
        <f aca="false">IF(B941&lt;$E$104,$E$105,$E$111)</f>
        <v>2.5</v>
      </c>
      <c r="O941" s="822" t="n">
        <f aca="false">E941*$E$205*N941</f>
        <v>161.483617425741</v>
      </c>
      <c r="P941" s="823" t="n">
        <f aca="false">P940+O941</f>
        <v>82349.3248495836</v>
      </c>
      <c r="Q941" s="606" t="n">
        <f aca="false">Q940+1</f>
        <v>726</v>
      </c>
      <c r="R941" s="824" t="n">
        <f aca="false">R940-1</f>
        <v>-726</v>
      </c>
      <c r="S941" s="5"/>
      <c r="T941" s="5"/>
      <c r="U941" s="5"/>
      <c r="V941" s="10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02"/>
      <c r="AU941" s="502"/>
      <c r="AV941" s="606"/>
      <c r="AW941" s="502"/>
      <c r="AX941" s="502"/>
      <c r="AY941" s="502"/>
      <c r="AZ941" s="502"/>
      <c r="BA941" s="502"/>
      <c r="BB941" s="502"/>
      <c r="BC941" s="502"/>
      <c r="BD941" s="502"/>
      <c r="BE941" s="502"/>
      <c r="BF941" s="502"/>
      <c r="BG941" s="502"/>
      <c r="BH941" s="502"/>
      <c r="BI941" s="502"/>
      <c r="BJ941" s="502"/>
      <c r="BK941" s="502"/>
      <c r="BL941" s="502"/>
      <c r="BM941" s="502"/>
      <c r="BN941" s="502"/>
      <c r="BO941" s="502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  <c r="DE941" s="5"/>
      <c r="DF941" s="5"/>
      <c r="DG941" s="5"/>
      <c r="DH941" s="5"/>
      <c r="DI941" s="5"/>
      <c r="DJ941" s="5"/>
      <c r="DK941" s="5"/>
      <c r="DL941" s="5"/>
      <c r="DM941" s="5"/>
      <c r="DN941" s="5"/>
      <c r="DO941" s="5"/>
      <c r="DP941" s="5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</row>
    <row r="942" s="504" customFormat="true" ht="12.75" hidden="true" customHeight="true" outlineLevel="0" collapsed="false">
      <c r="A942" s="5"/>
      <c r="B942" s="813" t="n">
        <f aca="false">B941+1</f>
        <v>727</v>
      </c>
      <c r="C942" s="814" t="n">
        <f aca="false">C941+D942</f>
        <v>98951.1111199598</v>
      </c>
      <c r="D942" s="815" t="n">
        <f aca="false">E942*$E$205*M942</f>
        <v>193.938020910889</v>
      </c>
      <c r="E942" s="601" t="n">
        <f aca="false">E941+$C$204</f>
        <v>12.2994686016545</v>
      </c>
      <c r="F942" s="816" t="n">
        <f aca="false">F941+1</f>
        <v>727</v>
      </c>
      <c r="G942" s="775" t="n">
        <f aca="false">C942</f>
        <v>98951.1111199598</v>
      </c>
      <c r="H942" s="817" t="n">
        <f aca="false">1000*(E942-E941)</f>
        <v>9.99999999999979</v>
      </c>
      <c r="I942" s="5"/>
      <c r="J942" s="818" t="n">
        <f aca="false">1000*(E942-$E$215)/(B942-$B$215)</f>
        <v>12.1648828453531</v>
      </c>
      <c r="K942" s="732" t="n">
        <f aca="false">AVERAGE($E$216:E942)</f>
        <v>8.65901468143453</v>
      </c>
      <c r="L942" s="819" t="n">
        <f aca="false">L941+1</f>
        <v>727</v>
      </c>
      <c r="M942" s="820" t="n">
        <f aca="false">IF(B942&lt;$E$104,$E$105,$E$106)</f>
        <v>3</v>
      </c>
      <c r="N942" s="821" t="n">
        <f aca="false">IF(B942&lt;$E$104,$E$105,$E$111)</f>
        <v>2.5</v>
      </c>
      <c r="O942" s="822" t="n">
        <f aca="false">E942*$E$205*N942</f>
        <v>161.615017425741</v>
      </c>
      <c r="P942" s="823" t="n">
        <f aca="false">P941+O942</f>
        <v>82510.9398670094</v>
      </c>
      <c r="Q942" s="606" t="n">
        <f aca="false">Q941+1</f>
        <v>727</v>
      </c>
      <c r="R942" s="824" t="n">
        <f aca="false">R941-1</f>
        <v>-727</v>
      </c>
      <c r="S942" s="5"/>
      <c r="T942" s="5"/>
      <c r="U942" s="5"/>
      <c r="V942" s="10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02"/>
      <c r="AU942" s="502"/>
      <c r="AV942" s="606"/>
      <c r="AW942" s="502"/>
      <c r="AX942" s="502"/>
      <c r="AY942" s="502"/>
      <c r="AZ942" s="502"/>
      <c r="BA942" s="502"/>
      <c r="BB942" s="502"/>
      <c r="BC942" s="502"/>
      <c r="BD942" s="502"/>
      <c r="BE942" s="502"/>
      <c r="BF942" s="502"/>
      <c r="BG942" s="502"/>
      <c r="BH942" s="502"/>
      <c r="BI942" s="502"/>
      <c r="BJ942" s="502"/>
      <c r="BK942" s="502"/>
      <c r="BL942" s="502"/>
      <c r="BM942" s="502"/>
      <c r="BN942" s="502"/>
      <c r="BO942" s="502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  <c r="DE942" s="5"/>
      <c r="DF942" s="5"/>
      <c r="DG942" s="5"/>
      <c r="DH942" s="5"/>
      <c r="DI942" s="5"/>
      <c r="DJ942" s="5"/>
      <c r="DK942" s="5"/>
      <c r="DL942" s="5"/>
      <c r="DM942" s="5"/>
      <c r="DN942" s="5"/>
      <c r="DO942" s="5"/>
      <c r="DP942" s="5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</row>
    <row r="943" s="504" customFormat="true" ht="12.75" hidden="true" customHeight="true" outlineLevel="0" collapsed="false">
      <c r="A943" s="5"/>
      <c r="B943" s="813" t="n">
        <f aca="false">B942+1</f>
        <v>728</v>
      </c>
      <c r="C943" s="814" t="n">
        <f aca="false">C942+D943</f>
        <v>99145.2068208707</v>
      </c>
      <c r="D943" s="815" t="n">
        <f aca="false">E943*$E$205*M943</f>
        <v>194.095700910889</v>
      </c>
      <c r="E943" s="601" t="n">
        <f aca="false">E942+$C$204</f>
        <v>12.3094686016545</v>
      </c>
      <c r="F943" s="816" t="n">
        <f aca="false">F942+1</f>
        <v>728</v>
      </c>
      <c r="G943" s="775" t="n">
        <f aca="false">C943</f>
        <v>99145.2068208707</v>
      </c>
      <c r="H943" s="817" t="n">
        <f aca="false">1000*(E943-E942)</f>
        <v>9.99999999999979</v>
      </c>
      <c r="I943" s="5"/>
      <c r="J943" s="818" t="n">
        <f aca="false">1000*(E943-$E$215)/(B943-$B$215)</f>
        <v>12.1619091051809</v>
      </c>
      <c r="K943" s="732" t="n">
        <f aca="false">AVERAGE($E$216:E943)</f>
        <v>8.66402904121505</v>
      </c>
      <c r="L943" s="819" t="n">
        <f aca="false">L942+1</f>
        <v>728</v>
      </c>
      <c r="M943" s="820" t="n">
        <f aca="false">IF(B943&lt;$E$104,$E$105,$E$106)</f>
        <v>3</v>
      </c>
      <c r="N943" s="821" t="n">
        <f aca="false">IF(B943&lt;$E$104,$E$105,$E$111)</f>
        <v>2.5</v>
      </c>
      <c r="O943" s="822" t="n">
        <f aca="false">E943*$E$205*N943</f>
        <v>161.746417425741</v>
      </c>
      <c r="P943" s="823" t="n">
        <f aca="false">P942+O943</f>
        <v>82672.6862844351</v>
      </c>
      <c r="Q943" s="606" t="n">
        <f aca="false">Q942+1</f>
        <v>728</v>
      </c>
      <c r="R943" s="824" t="n">
        <f aca="false">R942-1</f>
        <v>-728</v>
      </c>
      <c r="S943" s="5"/>
      <c r="T943" s="5"/>
      <c r="U943" s="5"/>
      <c r="V943" s="10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02"/>
      <c r="AU943" s="502"/>
      <c r="AV943" s="606"/>
      <c r="AW943" s="502"/>
      <c r="AX943" s="502"/>
      <c r="AY943" s="502"/>
      <c r="AZ943" s="502"/>
      <c r="BA943" s="502"/>
      <c r="BB943" s="502"/>
      <c r="BC943" s="502"/>
      <c r="BD943" s="502"/>
      <c r="BE943" s="502"/>
      <c r="BF943" s="502"/>
      <c r="BG943" s="502"/>
      <c r="BH943" s="502"/>
      <c r="BI943" s="502"/>
      <c r="BJ943" s="502"/>
      <c r="BK943" s="502"/>
      <c r="BL943" s="502"/>
      <c r="BM943" s="502"/>
      <c r="BN943" s="502"/>
      <c r="BO943" s="502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  <c r="DE943" s="5"/>
      <c r="DF943" s="5"/>
      <c r="DG943" s="5"/>
      <c r="DH943" s="5"/>
      <c r="DI943" s="5"/>
      <c r="DJ943" s="5"/>
      <c r="DK943" s="5"/>
      <c r="DL943" s="5"/>
      <c r="DM943" s="5"/>
      <c r="DN943" s="5"/>
      <c r="DO943" s="5"/>
      <c r="DP943" s="5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</row>
    <row r="944" s="504" customFormat="true" ht="12.75" hidden="true" customHeight="true" outlineLevel="0" collapsed="false">
      <c r="A944" s="5"/>
      <c r="B944" s="813" t="n">
        <f aca="false">B943+1</f>
        <v>729</v>
      </c>
      <c r="C944" s="814" t="n">
        <f aca="false">C943+D944</f>
        <v>99339.4602017816</v>
      </c>
      <c r="D944" s="815" t="n">
        <f aca="false">E944*$E$205*M944</f>
        <v>194.253380910889</v>
      </c>
      <c r="E944" s="601" t="n">
        <f aca="false">E943+$C$204</f>
        <v>12.3194686016545</v>
      </c>
      <c r="F944" s="816" t="n">
        <f aca="false">F943+1</f>
        <v>729</v>
      </c>
      <c r="G944" s="775" t="n">
        <f aca="false">C944</f>
        <v>99339.4602017816</v>
      </c>
      <c r="H944" s="817" t="n">
        <f aca="false">1000*(E944-E943)</f>
        <v>9.99999999999979</v>
      </c>
      <c r="I944" s="5"/>
      <c r="J944" s="818" t="n">
        <f aca="false">1000*(E944-$E$215)/(B944-$B$215)</f>
        <v>12.158943523418</v>
      </c>
      <c r="K944" s="732" t="n">
        <f aca="false">AVERAGE($E$216:E944)</f>
        <v>8.66904336159974</v>
      </c>
      <c r="L944" s="819" t="n">
        <f aca="false">L943+1</f>
        <v>729</v>
      </c>
      <c r="M944" s="820" t="n">
        <f aca="false">IF(B944&lt;$E$104,$E$105,$E$106)</f>
        <v>3</v>
      </c>
      <c r="N944" s="821" t="n">
        <f aca="false">IF(B944&lt;$E$104,$E$105,$E$111)</f>
        <v>2.5</v>
      </c>
      <c r="O944" s="822" t="n">
        <f aca="false">E944*$E$205*N944</f>
        <v>161.877817425741</v>
      </c>
      <c r="P944" s="823" t="n">
        <f aca="false">P943+O944</f>
        <v>82834.5641018609</v>
      </c>
      <c r="Q944" s="606" t="n">
        <f aca="false">Q943+1</f>
        <v>729</v>
      </c>
      <c r="R944" s="824" t="n">
        <f aca="false">R943-1</f>
        <v>-729</v>
      </c>
      <c r="S944" s="5"/>
      <c r="T944" s="5"/>
      <c r="U944" s="5"/>
      <c r="V944" s="10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02"/>
      <c r="AU944" s="502"/>
      <c r="AV944" s="606"/>
      <c r="AW944" s="502"/>
      <c r="AX944" s="502"/>
      <c r="AY944" s="502"/>
      <c r="AZ944" s="502"/>
      <c r="BA944" s="502"/>
      <c r="BB944" s="502"/>
      <c r="BC944" s="502"/>
      <c r="BD944" s="502"/>
      <c r="BE944" s="502"/>
      <c r="BF944" s="502"/>
      <c r="BG944" s="502"/>
      <c r="BH944" s="502"/>
      <c r="BI944" s="502"/>
      <c r="BJ944" s="502"/>
      <c r="BK944" s="502"/>
      <c r="BL944" s="502"/>
      <c r="BM944" s="502"/>
      <c r="BN944" s="502"/>
      <c r="BO944" s="502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  <c r="DE944" s="5"/>
      <c r="DF944" s="5"/>
      <c r="DG944" s="5"/>
      <c r="DH944" s="5"/>
      <c r="DI944" s="5"/>
      <c r="DJ944" s="5"/>
      <c r="DK944" s="5"/>
      <c r="DL944" s="5"/>
      <c r="DM944" s="5"/>
      <c r="DN944" s="5"/>
      <c r="DO944" s="5"/>
      <c r="DP944" s="5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</row>
    <row r="945" s="504" customFormat="true" ht="12.75" hidden="true" customHeight="true" outlineLevel="0" collapsed="false">
      <c r="A945" s="5"/>
      <c r="B945" s="813" t="n">
        <f aca="false">B944+1</f>
        <v>730</v>
      </c>
      <c r="C945" s="814" t="n">
        <f aca="false">C944+D945</f>
        <v>99533.8712626925</v>
      </c>
      <c r="D945" s="815" t="n">
        <f aca="false">E945*$E$205*M945</f>
        <v>194.411060910889</v>
      </c>
      <c r="E945" s="601" t="n">
        <f aca="false">E944+$C$204</f>
        <v>12.3294686016545</v>
      </c>
      <c r="F945" s="816" t="n">
        <f aca="false">F944+1</f>
        <v>730</v>
      </c>
      <c r="G945" s="775" t="n">
        <f aca="false">C945</f>
        <v>99533.8712626925</v>
      </c>
      <c r="H945" s="817" t="n">
        <f aca="false">1000*(E945-E944)</f>
        <v>9.99999999999979</v>
      </c>
      <c r="I945" s="5"/>
      <c r="J945" s="818" t="n">
        <f aca="false">1000*(E945-$E$215)/(B945-$B$215)</f>
        <v>12.1559860665366</v>
      </c>
      <c r="K945" s="732" t="n">
        <f aca="false">AVERAGE($E$216:E945)</f>
        <v>8.6740576427505</v>
      </c>
      <c r="L945" s="819" t="n">
        <f aca="false">L944+1</f>
        <v>730</v>
      </c>
      <c r="M945" s="820" t="n">
        <f aca="false">IF(B945&lt;$E$104,$E$105,$E$106)</f>
        <v>3</v>
      </c>
      <c r="N945" s="821" t="n">
        <f aca="false">IF(B945&lt;$E$104,$E$105,$E$111)</f>
        <v>2.5</v>
      </c>
      <c r="O945" s="822" t="n">
        <f aca="false">E945*$E$205*N945</f>
        <v>162.009217425741</v>
      </c>
      <c r="P945" s="823" t="n">
        <f aca="false">P944+O945</f>
        <v>82996.5733192866</v>
      </c>
      <c r="Q945" s="606" t="n">
        <f aca="false">Q944+1</f>
        <v>730</v>
      </c>
      <c r="R945" s="824" t="n">
        <f aca="false">R944-1</f>
        <v>-730</v>
      </c>
      <c r="S945" s="5"/>
      <c r="T945" s="5"/>
      <c r="U945" s="5"/>
      <c r="V945" s="10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02"/>
      <c r="AU945" s="502"/>
      <c r="AV945" s="606"/>
      <c r="AW945" s="502"/>
      <c r="AX945" s="502"/>
      <c r="AY945" s="502"/>
      <c r="AZ945" s="502"/>
      <c r="BA945" s="502"/>
      <c r="BB945" s="502"/>
      <c r="BC945" s="502"/>
      <c r="BD945" s="502"/>
      <c r="BE945" s="502"/>
      <c r="BF945" s="502"/>
      <c r="BG945" s="502"/>
      <c r="BH945" s="502"/>
      <c r="BI945" s="502"/>
      <c r="BJ945" s="502"/>
      <c r="BK945" s="502"/>
      <c r="BL945" s="502"/>
      <c r="BM945" s="502"/>
      <c r="BN945" s="502"/>
      <c r="BO945" s="502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  <c r="DE945" s="5"/>
      <c r="DF945" s="5"/>
      <c r="DG945" s="5"/>
      <c r="DH945" s="5"/>
      <c r="DI945" s="5"/>
      <c r="DJ945" s="5"/>
      <c r="DK945" s="5"/>
      <c r="DL945" s="5"/>
      <c r="DM945" s="5"/>
      <c r="DN945" s="5"/>
      <c r="DO945" s="5"/>
      <c r="DP945" s="5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</row>
    <row r="946" s="504" customFormat="true" ht="12.75" hidden="true" customHeight="true" outlineLevel="0" collapsed="false">
      <c r="A946" s="5"/>
      <c r="B946" s="813" t="n">
        <f aca="false">B945+1</f>
        <v>731</v>
      </c>
      <c r="C946" s="814" t="n">
        <f aca="false">C945+D946</f>
        <v>99728.4400036034</v>
      </c>
      <c r="D946" s="815" t="n">
        <f aca="false">E946*$E$205*M946</f>
        <v>194.568740910889</v>
      </c>
      <c r="E946" s="601" t="n">
        <f aca="false">E945+$C$204</f>
        <v>12.3394686016545</v>
      </c>
      <c r="F946" s="816" t="n">
        <f aca="false">F945+1</f>
        <v>731</v>
      </c>
      <c r="G946" s="775" t="n">
        <f aca="false">C946</f>
        <v>99728.4400036034</v>
      </c>
      <c r="H946" s="817" t="n">
        <f aca="false">1000*(E946-E945)</f>
        <v>9.99999999999979</v>
      </c>
      <c r="I946" s="5"/>
      <c r="J946" s="818" t="n">
        <f aca="false">1000*(E946-$E$215)/(B946-$B$215)</f>
        <v>12.1530367011925</v>
      </c>
      <c r="K946" s="732" t="n">
        <f aca="false">AVERAGE($E$216:E946)</f>
        <v>8.67907188482835</v>
      </c>
      <c r="L946" s="819" t="n">
        <f aca="false">L945+1</f>
        <v>731</v>
      </c>
      <c r="M946" s="820" t="n">
        <f aca="false">IF(B946&lt;$E$104,$E$105,$E$106)</f>
        <v>3</v>
      </c>
      <c r="N946" s="821" t="n">
        <f aca="false">IF(B946&lt;$E$104,$E$105,$E$111)</f>
        <v>2.5</v>
      </c>
      <c r="O946" s="822" t="n">
        <f aca="false">E946*$E$205*N946</f>
        <v>162.140617425741</v>
      </c>
      <c r="P946" s="823" t="n">
        <f aca="false">P945+O946</f>
        <v>83158.7139367124</v>
      </c>
      <c r="Q946" s="606" t="n">
        <f aca="false">Q945+1</f>
        <v>731</v>
      </c>
      <c r="R946" s="824" t="n">
        <f aca="false">R945-1</f>
        <v>-731</v>
      </c>
      <c r="S946" s="5"/>
      <c r="T946" s="5"/>
      <c r="U946" s="5"/>
      <c r="V946" s="10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02"/>
      <c r="AU946" s="502"/>
      <c r="AV946" s="606"/>
      <c r="AW946" s="502"/>
      <c r="AX946" s="502"/>
      <c r="AY946" s="502"/>
      <c r="AZ946" s="502"/>
      <c r="BA946" s="502"/>
      <c r="BB946" s="502"/>
      <c r="BC946" s="502"/>
      <c r="BD946" s="502"/>
      <c r="BE946" s="502"/>
      <c r="BF946" s="502"/>
      <c r="BG946" s="502"/>
      <c r="BH946" s="502"/>
      <c r="BI946" s="502"/>
      <c r="BJ946" s="502"/>
      <c r="BK946" s="502"/>
      <c r="BL946" s="502"/>
      <c r="BM946" s="502"/>
      <c r="BN946" s="502"/>
      <c r="BO946" s="502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  <c r="DE946" s="5"/>
      <c r="DF946" s="5"/>
      <c r="DG946" s="5"/>
      <c r="DH946" s="5"/>
      <c r="DI946" s="5"/>
      <c r="DJ946" s="5"/>
      <c r="DK946" s="5"/>
      <c r="DL946" s="5"/>
      <c r="DM946" s="5"/>
      <c r="DN946" s="5"/>
      <c r="DO946" s="5"/>
      <c r="DP946" s="5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</row>
    <row r="947" s="504" customFormat="true" ht="12.75" hidden="true" customHeight="true" outlineLevel="0" collapsed="false">
      <c r="A947" s="5"/>
      <c r="B947" s="813" t="n">
        <f aca="false">B946+1</f>
        <v>732</v>
      </c>
      <c r="C947" s="814" t="n">
        <f aca="false">C946+D947</f>
        <v>99923.1664245143</v>
      </c>
      <c r="D947" s="815" t="n">
        <f aca="false">E947*$E$205*M947</f>
        <v>194.726420910889</v>
      </c>
      <c r="E947" s="601" t="n">
        <f aca="false">E946+$C$204</f>
        <v>12.3494686016545</v>
      </c>
      <c r="F947" s="816" t="n">
        <f aca="false">F946+1</f>
        <v>732</v>
      </c>
      <c r="G947" s="775" t="n">
        <f aca="false">C947</f>
        <v>99923.1664245143</v>
      </c>
      <c r="H947" s="817" t="n">
        <f aca="false">1000*(E947-E946)</f>
        <v>9.99999999999979</v>
      </c>
      <c r="I947" s="5"/>
      <c r="J947" s="818" t="n">
        <f aca="false">1000*(E947-$E$215)/(B947-$B$215)</f>
        <v>12.1500953942236</v>
      </c>
      <c r="K947" s="732" t="n">
        <f aca="false">AVERAGE($E$216:E947)</f>
        <v>8.68408608799341</v>
      </c>
      <c r="L947" s="819" t="n">
        <f aca="false">L946+1</f>
        <v>732</v>
      </c>
      <c r="M947" s="820" t="n">
        <f aca="false">IF(B947&lt;$E$104,$E$105,$E$106)</f>
        <v>3</v>
      </c>
      <c r="N947" s="821" t="n">
        <f aca="false">IF(B947&lt;$E$104,$E$105,$E$111)</f>
        <v>2.5</v>
      </c>
      <c r="O947" s="822" t="n">
        <f aca="false">E947*$E$205*N947</f>
        <v>162.272017425741</v>
      </c>
      <c r="P947" s="823" t="n">
        <f aca="false">P946+O947</f>
        <v>83320.9859541381</v>
      </c>
      <c r="Q947" s="606" t="n">
        <f aca="false">Q946+1</f>
        <v>732</v>
      </c>
      <c r="R947" s="824" t="n">
        <f aca="false">R946-1</f>
        <v>-732</v>
      </c>
      <c r="S947" s="5"/>
      <c r="T947" s="5"/>
      <c r="U947" s="5"/>
      <c r="V947" s="10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02"/>
      <c r="AU947" s="502"/>
      <c r="AV947" s="606"/>
      <c r="AW947" s="502"/>
      <c r="AX947" s="502"/>
      <c r="AY947" s="502"/>
      <c r="AZ947" s="502"/>
      <c r="BA947" s="502"/>
      <c r="BB947" s="502"/>
      <c r="BC947" s="502"/>
      <c r="BD947" s="502"/>
      <c r="BE947" s="502"/>
      <c r="BF947" s="502"/>
      <c r="BG947" s="502"/>
      <c r="BH947" s="502"/>
      <c r="BI947" s="502"/>
      <c r="BJ947" s="502"/>
      <c r="BK947" s="502"/>
      <c r="BL947" s="502"/>
      <c r="BM947" s="502"/>
      <c r="BN947" s="502"/>
      <c r="BO947" s="502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  <c r="DE947" s="5"/>
      <c r="DF947" s="5"/>
      <c r="DG947" s="5"/>
      <c r="DH947" s="5"/>
      <c r="DI947" s="5"/>
      <c r="DJ947" s="5"/>
      <c r="DK947" s="5"/>
      <c r="DL947" s="5"/>
      <c r="DM947" s="5"/>
      <c r="DN947" s="5"/>
      <c r="DO947" s="5"/>
      <c r="DP947" s="5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</row>
    <row r="948" s="504" customFormat="true" ht="12.75" hidden="true" customHeight="true" outlineLevel="0" collapsed="false">
      <c r="A948" s="5"/>
      <c r="B948" s="813" t="n">
        <f aca="false">B947+1</f>
        <v>733</v>
      </c>
      <c r="C948" s="814" t="n">
        <f aca="false">C947+D948</f>
        <v>100118.050525425</v>
      </c>
      <c r="D948" s="815" t="n">
        <f aca="false">E948*$E$205*M948</f>
        <v>194.884100910889</v>
      </c>
      <c r="E948" s="601" t="n">
        <f aca="false">E947+$C$204</f>
        <v>12.3594686016545</v>
      </c>
      <c r="F948" s="816" t="n">
        <f aca="false">F947+1</f>
        <v>733</v>
      </c>
      <c r="G948" s="775" t="n">
        <f aca="false">C948</f>
        <v>100118.050525425</v>
      </c>
      <c r="H948" s="817" t="n">
        <f aca="false">1000*(E948-E947)</f>
        <v>9.99999999999979</v>
      </c>
      <c r="I948" s="5"/>
      <c r="J948" s="818" t="n">
        <f aca="false">1000*(E948-$E$215)/(B948-$B$215)</f>
        <v>12.147162112649</v>
      </c>
      <c r="K948" s="732" t="n">
        <f aca="false">AVERAGE($E$216:E948)</f>
        <v>8.68910025240495</v>
      </c>
      <c r="L948" s="819" t="n">
        <f aca="false">L947+1</f>
        <v>733</v>
      </c>
      <c r="M948" s="820" t="n">
        <f aca="false">IF(B948&lt;$E$104,$E$105,$E$106)</f>
        <v>3</v>
      </c>
      <c r="N948" s="821" t="n">
        <f aca="false">IF(B948&lt;$E$104,$E$105,$E$111)</f>
        <v>2.5</v>
      </c>
      <c r="O948" s="822" t="n">
        <f aca="false">E948*$E$205*N948</f>
        <v>162.403417425741</v>
      </c>
      <c r="P948" s="823" t="n">
        <f aca="false">P947+O948</f>
        <v>83483.3893715638</v>
      </c>
      <c r="Q948" s="606" t="n">
        <f aca="false">Q947+1</f>
        <v>733</v>
      </c>
      <c r="R948" s="824" t="n">
        <f aca="false">R947-1</f>
        <v>-733</v>
      </c>
      <c r="S948" s="5"/>
      <c r="T948" s="5"/>
      <c r="U948" s="5"/>
      <c r="V948" s="10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02"/>
      <c r="AU948" s="502"/>
      <c r="AV948" s="606"/>
      <c r="AW948" s="502"/>
      <c r="AX948" s="502"/>
      <c r="AY948" s="502"/>
      <c r="AZ948" s="502"/>
      <c r="BA948" s="502"/>
      <c r="BB948" s="502"/>
      <c r="BC948" s="502"/>
      <c r="BD948" s="502"/>
      <c r="BE948" s="502"/>
      <c r="BF948" s="502"/>
      <c r="BG948" s="502"/>
      <c r="BH948" s="502"/>
      <c r="BI948" s="502"/>
      <c r="BJ948" s="502"/>
      <c r="BK948" s="502"/>
      <c r="BL948" s="502"/>
      <c r="BM948" s="502"/>
      <c r="BN948" s="502"/>
      <c r="BO948" s="502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  <c r="DE948" s="5"/>
      <c r="DF948" s="5"/>
      <c r="DG948" s="5"/>
      <c r="DH948" s="5"/>
      <c r="DI948" s="5"/>
      <c r="DJ948" s="5"/>
      <c r="DK948" s="5"/>
      <c r="DL948" s="5"/>
      <c r="DM948" s="5"/>
      <c r="DN948" s="5"/>
      <c r="DO948" s="5"/>
      <c r="DP948" s="5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</row>
    <row r="949" s="504" customFormat="true" ht="12.75" hidden="true" customHeight="true" outlineLevel="0" collapsed="false">
      <c r="A949" s="5"/>
      <c r="B949" s="813" t="n">
        <f aca="false">B948+1</f>
        <v>734</v>
      </c>
      <c r="C949" s="814" t="n">
        <f aca="false">C948+D949</f>
        <v>100313.092306336</v>
      </c>
      <c r="D949" s="815" t="n">
        <f aca="false">E949*$E$205*M949</f>
        <v>195.041780910889</v>
      </c>
      <c r="E949" s="601" t="n">
        <f aca="false">E948+$C$204</f>
        <v>12.3694686016545</v>
      </c>
      <c r="F949" s="816" t="n">
        <f aca="false">F948+1</f>
        <v>734</v>
      </c>
      <c r="G949" s="775" t="n">
        <f aca="false">C949</f>
        <v>100313.092306336</v>
      </c>
      <c r="H949" s="817" t="n">
        <f aca="false">1000*(E949-E948)</f>
        <v>9.99999999999979</v>
      </c>
      <c r="I949" s="5"/>
      <c r="J949" s="818" t="n">
        <f aca="false">1000*(E949-$E$215)/(B949-$B$215)</f>
        <v>12.1442368236671</v>
      </c>
      <c r="K949" s="732" t="n">
        <f aca="false">AVERAGE($E$216:E949)</f>
        <v>8.69411437822137</v>
      </c>
      <c r="L949" s="819" t="n">
        <f aca="false">L948+1</f>
        <v>734</v>
      </c>
      <c r="M949" s="820" t="n">
        <f aca="false">IF(B949&lt;$E$104,$E$105,$E$106)</f>
        <v>3</v>
      </c>
      <c r="N949" s="821" t="n">
        <f aca="false">IF(B949&lt;$E$104,$E$105,$E$111)</f>
        <v>2.5</v>
      </c>
      <c r="O949" s="822" t="n">
        <f aca="false">E949*$E$205*N949</f>
        <v>162.534817425741</v>
      </c>
      <c r="P949" s="823" t="n">
        <f aca="false">P948+O949</f>
        <v>83645.9241889896</v>
      </c>
      <c r="Q949" s="606" t="n">
        <f aca="false">Q948+1</f>
        <v>734</v>
      </c>
      <c r="R949" s="824" t="n">
        <f aca="false">R948-1</f>
        <v>-734</v>
      </c>
      <c r="S949" s="5"/>
      <c r="T949" s="5"/>
      <c r="U949" s="5"/>
      <c r="V949" s="10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02"/>
      <c r="AU949" s="502"/>
      <c r="AV949" s="606"/>
      <c r="AW949" s="502"/>
      <c r="AX949" s="502"/>
      <c r="AY949" s="502"/>
      <c r="AZ949" s="502"/>
      <c r="BA949" s="502"/>
      <c r="BB949" s="502"/>
      <c r="BC949" s="502"/>
      <c r="BD949" s="502"/>
      <c r="BE949" s="502"/>
      <c r="BF949" s="502"/>
      <c r="BG949" s="502"/>
      <c r="BH949" s="502"/>
      <c r="BI949" s="502"/>
      <c r="BJ949" s="502"/>
      <c r="BK949" s="502"/>
      <c r="BL949" s="502"/>
      <c r="BM949" s="502"/>
      <c r="BN949" s="502"/>
      <c r="BO949" s="502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  <c r="DE949" s="5"/>
      <c r="DF949" s="5"/>
      <c r="DG949" s="5"/>
      <c r="DH949" s="5"/>
      <c r="DI949" s="5"/>
      <c r="DJ949" s="5"/>
      <c r="DK949" s="5"/>
      <c r="DL949" s="5"/>
      <c r="DM949" s="5"/>
      <c r="DN949" s="5"/>
      <c r="DO949" s="5"/>
      <c r="DP949" s="5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</row>
    <row r="950" s="504" customFormat="true" ht="12.75" hidden="true" customHeight="true" outlineLevel="0" collapsed="false">
      <c r="A950" s="5"/>
      <c r="B950" s="813" t="n">
        <f aca="false">B949+1</f>
        <v>735</v>
      </c>
      <c r="C950" s="814" t="n">
        <f aca="false">C949+D950</f>
        <v>100508.291767247</v>
      </c>
      <c r="D950" s="815" t="n">
        <f aca="false">E950*$E$205*M950</f>
        <v>195.199460910889</v>
      </c>
      <c r="E950" s="601" t="n">
        <f aca="false">E949+$C$204</f>
        <v>12.3794686016545</v>
      </c>
      <c r="F950" s="816" t="n">
        <f aca="false">F949+1</f>
        <v>735</v>
      </c>
      <c r="G950" s="775" t="n">
        <f aca="false">C950</f>
        <v>100508.291767247</v>
      </c>
      <c r="H950" s="817" t="n">
        <f aca="false">1000*(E950-E949)</f>
        <v>9.99999999999979</v>
      </c>
      <c r="I950" s="5"/>
      <c r="J950" s="818" t="n">
        <f aca="false">1000*(E950-$E$215)/(B950-$B$215)</f>
        <v>12.1413194946554</v>
      </c>
      <c r="K950" s="732" t="n">
        <f aca="false">AVERAGE($E$216:E950)</f>
        <v>8.69912846560019</v>
      </c>
      <c r="L950" s="819" t="n">
        <f aca="false">L949+1</f>
        <v>735</v>
      </c>
      <c r="M950" s="820" t="n">
        <f aca="false">IF(B950&lt;$E$104,$E$105,$E$106)</f>
        <v>3</v>
      </c>
      <c r="N950" s="821" t="n">
        <f aca="false">IF(B950&lt;$E$104,$E$105,$E$111)</f>
        <v>2.5</v>
      </c>
      <c r="O950" s="822" t="n">
        <f aca="false">E950*$E$205*N950</f>
        <v>162.666217425741</v>
      </c>
      <c r="P950" s="823" t="n">
        <f aca="false">P949+O950</f>
        <v>83808.5904064153</v>
      </c>
      <c r="Q950" s="606" t="n">
        <f aca="false">Q949+1</f>
        <v>735</v>
      </c>
      <c r="R950" s="824" t="n">
        <f aca="false">R949-1</f>
        <v>-735</v>
      </c>
      <c r="S950" s="5"/>
      <c r="T950" s="5"/>
      <c r="U950" s="5"/>
      <c r="V950" s="10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02"/>
      <c r="AU950" s="502"/>
      <c r="AV950" s="606"/>
      <c r="AW950" s="502"/>
      <c r="AX950" s="502"/>
      <c r="AY950" s="502"/>
      <c r="AZ950" s="502"/>
      <c r="BA950" s="502"/>
      <c r="BB950" s="502"/>
      <c r="BC950" s="502"/>
      <c r="BD950" s="502"/>
      <c r="BE950" s="502"/>
      <c r="BF950" s="502"/>
      <c r="BG950" s="502"/>
      <c r="BH950" s="502"/>
      <c r="BI950" s="502"/>
      <c r="BJ950" s="502"/>
      <c r="BK950" s="502"/>
      <c r="BL950" s="502"/>
      <c r="BM950" s="502"/>
      <c r="BN950" s="502"/>
      <c r="BO950" s="502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  <c r="DE950" s="5"/>
      <c r="DF950" s="5"/>
      <c r="DG950" s="5"/>
      <c r="DH950" s="5"/>
      <c r="DI950" s="5"/>
      <c r="DJ950" s="5"/>
      <c r="DK950" s="5"/>
      <c r="DL950" s="5"/>
      <c r="DM950" s="5"/>
      <c r="DN950" s="5"/>
      <c r="DO950" s="5"/>
      <c r="DP950" s="5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</row>
    <row r="951" s="504" customFormat="true" ht="12.75" hidden="true" customHeight="true" outlineLevel="0" collapsed="false">
      <c r="A951" s="5"/>
      <c r="B951" s="813" t="n">
        <f aca="false">B950+1</f>
        <v>736</v>
      </c>
      <c r="C951" s="814" t="n">
        <f aca="false">C950+D951</f>
        <v>100703.648908158</v>
      </c>
      <c r="D951" s="815" t="n">
        <f aca="false">E951*$E$205*M951</f>
        <v>195.357140910889</v>
      </c>
      <c r="E951" s="601" t="n">
        <f aca="false">E950+$C$204</f>
        <v>12.3894686016545</v>
      </c>
      <c r="F951" s="816" t="n">
        <f aca="false">F950+1</f>
        <v>736</v>
      </c>
      <c r="G951" s="775" t="n">
        <f aca="false">C951</f>
        <v>100703.648908158</v>
      </c>
      <c r="H951" s="817" t="n">
        <f aca="false">1000*(E951-E950)</f>
        <v>9.99999999999979</v>
      </c>
      <c r="I951" s="5"/>
      <c r="J951" s="818" t="n">
        <f aca="false">1000*(E951-$E$215)/(B951-$B$215)</f>
        <v>12.1384100931681</v>
      </c>
      <c r="K951" s="732" t="n">
        <f aca="false">AVERAGE($E$216:E951)</f>
        <v>8.70414251469809</v>
      </c>
      <c r="L951" s="819" t="n">
        <f aca="false">L950+1</f>
        <v>736</v>
      </c>
      <c r="M951" s="820" t="n">
        <f aca="false">IF(B951&lt;$E$104,$E$105,$E$106)</f>
        <v>3</v>
      </c>
      <c r="N951" s="821" t="n">
        <f aca="false">IF(B951&lt;$E$104,$E$105,$E$111)</f>
        <v>2.5</v>
      </c>
      <c r="O951" s="822" t="n">
        <f aca="false">E951*$E$205*N951</f>
        <v>162.797617425741</v>
      </c>
      <c r="P951" s="823" t="n">
        <f aca="false">P950+O951</f>
        <v>83971.3880238411</v>
      </c>
      <c r="Q951" s="606" t="n">
        <f aca="false">Q950+1</f>
        <v>736</v>
      </c>
      <c r="R951" s="824" t="n">
        <f aca="false">R950-1</f>
        <v>-736</v>
      </c>
      <c r="S951" s="5"/>
      <c r="T951" s="5"/>
      <c r="U951" s="5"/>
      <c r="V951" s="10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02"/>
      <c r="AU951" s="502"/>
      <c r="AV951" s="606"/>
      <c r="AW951" s="502"/>
      <c r="AX951" s="502"/>
      <c r="AY951" s="502"/>
      <c r="AZ951" s="502"/>
      <c r="BA951" s="502"/>
      <c r="BB951" s="502"/>
      <c r="BC951" s="502"/>
      <c r="BD951" s="502"/>
      <c r="BE951" s="502"/>
      <c r="BF951" s="502"/>
      <c r="BG951" s="502"/>
      <c r="BH951" s="502"/>
      <c r="BI951" s="502"/>
      <c r="BJ951" s="502"/>
      <c r="BK951" s="502"/>
      <c r="BL951" s="502"/>
      <c r="BM951" s="502"/>
      <c r="BN951" s="502"/>
      <c r="BO951" s="502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  <c r="DE951" s="5"/>
      <c r="DF951" s="5"/>
      <c r="DG951" s="5"/>
      <c r="DH951" s="5"/>
      <c r="DI951" s="5"/>
      <c r="DJ951" s="5"/>
      <c r="DK951" s="5"/>
      <c r="DL951" s="5"/>
      <c r="DM951" s="5"/>
      <c r="DN951" s="5"/>
      <c r="DO951" s="5"/>
      <c r="DP951" s="5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</row>
    <row r="952" s="504" customFormat="true" ht="12.75" hidden="true" customHeight="true" outlineLevel="0" collapsed="false">
      <c r="A952" s="5"/>
      <c r="B952" s="813" t="n">
        <f aca="false">B951+1</f>
        <v>737</v>
      </c>
      <c r="C952" s="814" t="n">
        <f aca="false">C951+D952</f>
        <v>100899.163729069</v>
      </c>
      <c r="D952" s="815" t="n">
        <f aca="false">E952*$E$205*M952</f>
        <v>195.514820910889</v>
      </c>
      <c r="E952" s="601" t="n">
        <f aca="false">E951+$C$204</f>
        <v>12.3994686016545</v>
      </c>
      <c r="F952" s="816" t="n">
        <f aca="false">F951+1</f>
        <v>737</v>
      </c>
      <c r="G952" s="775" t="n">
        <f aca="false">C952</f>
        <v>100899.163729069</v>
      </c>
      <c r="H952" s="817" t="n">
        <f aca="false">1000*(E952-E951)</f>
        <v>9.99999999999979</v>
      </c>
      <c r="I952" s="5"/>
      <c r="J952" s="818" t="n">
        <f aca="false">1000*(E952-$E$215)/(B952-$B$215)</f>
        <v>12.1355085869358</v>
      </c>
      <c r="K952" s="732" t="n">
        <f aca="false">AVERAGE($E$216:E952)</f>
        <v>8.7091565256709</v>
      </c>
      <c r="L952" s="819" t="n">
        <f aca="false">L951+1</f>
        <v>737</v>
      </c>
      <c r="M952" s="820" t="n">
        <f aca="false">IF(B952&lt;$E$104,$E$105,$E$106)</f>
        <v>3</v>
      </c>
      <c r="N952" s="821" t="n">
        <f aca="false">IF(B952&lt;$E$104,$E$105,$E$111)</f>
        <v>2.5</v>
      </c>
      <c r="O952" s="822" t="n">
        <f aca="false">E952*$E$205*N952</f>
        <v>162.929017425741</v>
      </c>
      <c r="P952" s="823" t="n">
        <f aca="false">P951+O952</f>
        <v>84134.3170412668</v>
      </c>
      <c r="Q952" s="606" t="n">
        <f aca="false">Q951+1</f>
        <v>737</v>
      </c>
      <c r="R952" s="824" t="n">
        <f aca="false">R951-1</f>
        <v>-737</v>
      </c>
      <c r="S952" s="5"/>
      <c r="T952" s="5"/>
      <c r="U952" s="5"/>
      <c r="V952" s="10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02"/>
      <c r="AU952" s="502"/>
      <c r="AV952" s="606"/>
      <c r="AW952" s="502"/>
      <c r="AX952" s="502"/>
      <c r="AY952" s="502"/>
      <c r="AZ952" s="502"/>
      <c r="BA952" s="502"/>
      <c r="BB952" s="502"/>
      <c r="BC952" s="502"/>
      <c r="BD952" s="502"/>
      <c r="BE952" s="502"/>
      <c r="BF952" s="502"/>
      <c r="BG952" s="502"/>
      <c r="BH952" s="502"/>
      <c r="BI952" s="502"/>
      <c r="BJ952" s="502"/>
      <c r="BK952" s="502"/>
      <c r="BL952" s="502"/>
      <c r="BM952" s="502"/>
      <c r="BN952" s="502"/>
      <c r="BO952" s="502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  <c r="DE952" s="5"/>
      <c r="DF952" s="5"/>
      <c r="DG952" s="5"/>
      <c r="DH952" s="5"/>
      <c r="DI952" s="5"/>
      <c r="DJ952" s="5"/>
      <c r="DK952" s="5"/>
      <c r="DL952" s="5"/>
      <c r="DM952" s="5"/>
      <c r="DN952" s="5"/>
      <c r="DO952" s="5"/>
      <c r="DP952" s="5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</row>
    <row r="953" s="504" customFormat="true" ht="12.75" hidden="true" customHeight="true" outlineLevel="0" collapsed="false">
      <c r="A953" s="5"/>
      <c r="B953" s="813" t="n">
        <f aca="false">B952+1</f>
        <v>738</v>
      </c>
      <c r="C953" s="814" t="n">
        <f aca="false">C952+D953</f>
        <v>101094.83622998</v>
      </c>
      <c r="D953" s="815" t="n">
        <f aca="false">E953*$E$205*M953</f>
        <v>195.672500910889</v>
      </c>
      <c r="E953" s="601" t="n">
        <f aca="false">E952+$C$204</f>
        <v>12.4094686016545</v>
      </c>
      <c r="F953" s="816" t="n">
        <f aca="false">F952+1</f>
        <v>738</v>
      </c>
      <c r="G953" s="775" t="n">
        <f aca="false">C953</f>
        <v>101094.83622998</v>
      </c>
      <c r="H953" s="817" t="n">
        <f aca="false">1000*(E953-E952)</f>
        <v>9.99999999999979</v>
      </c>
      <c r="I953" s="5"/>
      <c r="J953" s="818" t="n">
        <f aca="false">1000*(E953-$E$215)/(B953-$B$215)</f>
        <v>12.1326149438641</v>
      </c>
      <c r="K953" s="732" t="n">
        <f aca="false">AVERAGE($E$216:E953)</f>
        <v>8.71417049867358</v>
      </c>
      <c r="L953" s="819" t="n">
        <f aca="false">L952+1</f>
        <v>738</v>
      </c>
      <c r="M953" s="820" t="n">
        <f aca="false">IF(B953&lt;$E$104,$E$105,$E$106)</f>
        <v>3</v>
      </c>
      <c r="N953" s="821" t="n">
        <f aca="false">IF(B953&lt;$E$104,$E$105,$E$111)</f>
        <v>2.5</v>
      </c>
      <c r="O953" s="822" t="n">
        <f aca="false">E953*$E$205*N953</f>
        <v>163.060417425741</v>
      </c>
      <c r="P953" s="823" t="n">
        <f aca="false">P952+O953</f>
        <v>84297.3774586925</v>
      </c>
      <c r="Q953" s="606" t="n">
        <f aca="false">Q952+1</f>
        <v>738</v>
      </c>
      <c r="R953" s="824" t="n">
        <f aca="false">R952-1</f>
        <v>-738</v>
      </c>
      <c r="S953" s="5"/>
      <c r="T953" s="5"/>
      <c r="U953" s="5"/>
      <c r="V953" s="10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02"/>
      <c r="AU953" s="502"/>
      <c r="AV953" s="606"/>
      <c r="AW953" s="502"/>
      <c r="AX953" s="502"/>
      <c r="AY953" s="502"/>
      <c r="AZ953" s="502"/>
      <c r="BA953" s="502"/>
      <c r="BB953" s="502"/>
      <c r="BC953" s="502"/>
      <c r="BD953" s="502"/>
      <c r="BE953" s="502"/>
      <c r="BF953" s="502"/>
      <c r="BG953" s="502"/>
      <c r="BH953" s="502"/>
      <c r="BI953" s="502"/>
      <c r="BJ953" s="502"/>
      <c r="BK953" s="502"/>
      <c r="BL953" s="502"/>
      <c r="BM953" s="502"/>
      <c r="BN953" s="502"/>
      <c r="BO953" s="502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  <c r="DA953" s="5"/>
      <c r="DB953" s="5"/>
      <c r="DC953" s="5"/>
      <c r="DD953" s="5"/>
      <c r="DE953" s="5"/>
      <c r="DF953" s="5"/>
      <c r="DG953" s="5"/>
      <c r="DH953" s="5"/>
      <c r="DI953" s="5"/>
      <c r="DJ953" s="5"/>
      <c r="DK953" s="5"/>
      <c r="DL953" s="5"/>
      <c r="DM953" s="5"/>
      <c r="DN953" s="5"/>
      <c r="DO953" s="5"/>
      <c r="DP953" s="5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</row>
    <row r="954" s="504" customFormat="true" ht="12.75" hidden="true" customHeight="true" outlineLevel="0" collapsed="false">
      <c r="A954" s="5"/>
      <c r="B954" s="813" t="n">
        <f aca="false">B953+1</f>
        <v>739</v>
      </c>
      <c r="C954" s="814" t="n">
        <f aca="false">C953+D954</f>
        <v>101290.66641089</v>
      </c>
      <c r="D954" s="815" t="n">
        <f aca="false">E954*$E$205*M954</f>
        <v>195.830180910889</v>
      </c>
      <c r="E954" s="601" t="n">
        <f aca="false">E953+$C$204</f>
        <v>12.4194686016545</v>
      </c>
      <c r="F954" s="816" t="n">
        <f aca="false">F953+1</f>
        <v>739</v>
      </c>
      <c r="G954" s="775" t="n">
        <f aca="false">C954</f>
        <v>101290.66641089</v>
      </c>
      <c r="H954" s="817" t="n">
        <f aca="false">1000*(E954-E953)</f>
        <v>9.99999999999979</v>
      </c>
      <c r="I954" s="5"/>
      <c r="J954" s="818" t="n">
        <f aca="false">1000*(E954-$E$215)/(B954-$B$215)</f>
        <v>12.1297291320321</v>
      </c>
      <c r="K954" s="732" t="n">
        <f aca="false">AVERAGE($E$216:E954)</f>
        <v>8.7191844338603</v>
      </c>
      <c r="L954" s="819" t="n">
        <f aca="false">L953+1</f>
        <v>739</v>
      </c>
      <c r="M954" s="820" t="n">
        <f aca="false">IF(B954&lt;$E$104,$E$105,$E$106)</f>
        <v>3</v>
      </c>
      <c r="N954" s="821" t="n">
        <f aca="false">IF(B954&lt;$E$104,$E$105,$E$111)</f>
        <v>2.5</v>
      </c>
      <c r="O954" s="822" t="n">
        <f aca="false">E954*$E$205*N954</f>
        <v>163.191817425741</v>
      </c>
      <c r="P954" s="823" t="n">
        <f aca="false">P953+O954</f>
        <v>84460.5692761183</v>
      </c>
      <c r="Q954" s="606" t="n">
        <f aca="false">Q953+1</f>
        <v>739</v>
      </c>
      <c r="R954" s="824" t="n">
        <f aca="false">R953-1</f>
        <v>-739</v>
      </c>
      <c r="S954" s="5"/>
      <c r="T954" s="5"/>
      <c r="U954" s="5"/>
      <c r="V954" s="10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02"/>
      <c r="AU954" s="502"/>
      <c r="AV954" s="606"/>
      <c r="AW954" s="502"/>
      <c r="AX954" s="502"/>
      <c r="AY954" s="502"/>
      <c r="AZ954" s="502"/>
      <c r="BA954" s="502"/>
      <c r="BB954" s="502"/>
      <c r="BC954" s="502"/>
      <c r="BD954" s="502"/>
      <c r="BE954" s="502"/>
      <c r="BF954" s="502"/>
      <c r="BG954" s="502"/>
      <c r="BH954" s="502"/>
      <c r="BI954" s="502"/>
      <c r="BJ954" s="502"/>
      <c r="BK954" s="502"/>
      <c r="BL954" s="502"/>
      <c r="BM954" s="502"/>
      <c r="BN954" s="502"/>
      <c r="BO954" s="502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  <c r="DE954" s="5"/>
      <c r="DF954" s="5"/>
      <c r="DG954" s="5"/>
      <c r="DH954" s="5"/>
      <c r="DI954" s="5"/>
      <c r="DJ954" s="5"/>
      <c r="DK954" s="5"/>
      <c r="DL954" s="5"/>
      <c r="DM954" s="5"/>
      <c r="DN954" s="5"/>
      <c r="DO954" s="5"/>
      <c r="DP954" s="5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</row>
    <row r="955" s="504" customFormat="true" ht="12.75" hidden="true" customHeight="true" outlineLevel="0" collapsed="false">
      <c r="A955" s="5"/>
      <c r="B955" s="813" t="n">
        <f aca="false">B954+1</f>
        <v>740</v>
      </c>
      <c r="C955" s="814" t="n">
        <f aca="false">C954+D955</f>
        <v>101486.654271801</v>
      </c>
      <c r="D955" s="815" t="n">
        <f aca="false">E955*$E$205*M955</f>
        <v>195.987860910889</v>
      </c>
      <c r="E955" s="601" t="n">
        <f aca="false">E954+$C$204</f>
        <v>12.4294686016545</v>
      </c>
      <c r="F955" s="816" t="n">
        <f aca="false">F954+1</f>
        <v>740</v>
      </c>
      <c r="G955" s="775" t="n">
        <f aca="false">C955</f>
        <v>101486.654271801</v>
      </c>
      <c r="H955" s="817" t="n">
        <f aca="false">1000*(E955-E954)</f>
        <v>9.99999999999979</v>
      </c>
      <c r="I955" s="5"/>
      <c r="J955" s="818" t="n">
        <f aca="false">1000*(E955-$E$215)/(B955-$B$215)</f>
        <v>12.1268511196915</v>
      </c>
      <c r="K955" s="732" t="n">
        <f aca="false">AVERAGE($E$216:E955)</f>
        <v>8.72419833138434</v>
      </c>
      <c r="L955" s="819" t="n">
        <f aca="false">L954+1</f>
        <v>740</v>
      </c>
      <c r="M955" s="820" t="n">
        <f aca="false">IF(B955&lt;$E$104,$E$105,$E$106)</f>
        <v>3</v>
      </c>
      <c r="N955" s="821" t="n">
        <f aca="false">IF(B955&lt;$E$104,$E$105,$E$111)</f>
        <v>2.5</v>
      </c>
      <c r="O955" s="822" t="n">
        <f aca="false">E955*$E$205*N955</f>
        <v>163.323217425741</v>
      </c>
      <c r="P955" s="823" t="n">
        <f aca="false">P954+O955</f>
        <v>84623.892493544</v>
      </c>
      <c r="Q955" s="606" t="n">
        <f aca="false">Q954+1</f>
        <v>740</v>
      </c>
      <c r="R955" s="824" t="n">
        <f aca="false">R954-1</f>
        <v>-740</v>
      </c>
      <c r="S955" s="5"/>
      <c r="T955" s="5"/>
      <c r="U955" s="5"/>
      <c r="V955" s="10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02"/>
      <c r="AU955" s="502"/>
      <c r="AV955" s="606"/>
      <c r="AW955" s="502"/>
      <c r="AX955" s="502"/>
      <c r="AY955" s="502"/>
      <c r="AZ955" s="502"/>
      <c r="BA955" s="502"/>
      <c r="BB955" s="502"/>
      <c r="BC955" s="502"/>
      <c r="BD955" s="502"/>
      <c r="BE955" s="502"/>
      <c r="BF955" s="502"/>
      <c r="BG955" s="502"/>
      <c r="BH955" s="502"/>
      <c r="BI955" s="502"/>
      <c r="BJ955" s="502"/>
      <c r="BK955" s="502"/>
      <c r="BL955" s="502"/>
      <c r="BM955" s="502"/>
      <c r="BN955" s="502"/>
      <c r="BO955" s="502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  <c r="DA955" s="5"/>
      <c r="DB955" s="5"/>
      <c r="DC955" s="5"/>
      <c r="DD955" s="5"/>
      <c r="DE955" s="5"/>
      <c r="DF955" s="5"/>
      <c r="DG955" s="5"/>
      <c r="DH955" s="5"/>
      <c r="DI955" s="5"/>
      <c r="DJ955" s="5"/>
      <c r="DK955" s="5"/>
      <c r="DL955" s="5"/>
      <c r="DM955" s="5"/>
      <c r="DN955" s="5"/>
      <c r="DO955" s="5"/>
      <c r="DP955" s="5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</row>
    <row r="956" s="504" customFormat="true" ht="12.75" hidden="true" customHeight="true" outlineLevel="0" collapsed="false">
      <c r="A956" s="5"/>
      <c r="B956" s="813" t="n">
        <f aca="false">B955+1</f>
        <v>741</v>
      </c>
      <c r="C956" s="814" t="n">
        <f aca="false">C955+D956</f>
        <v>101682.799812712</v>
      </c>
      <c r="D956" s="815" t="n">
        <f aca="false">E956*$E$205*M956</f>
        <v>196.145540910889</v>
      </c>
      <c r="E956" s="601" t="n">
        <f aca="false">E955+$C$204</f>
        <v>12.4394686016545</v>
      </c>
      <c r="F956" s="816" t="n">
        <f aca="false">F955+1</f>
        <v>741</v>
      </c>
      <c r="G956" s="775" t="n">
        <f aca="false">C956</f>
        <v>101682.799812712</v>
      </c>
      <c r="H956" s="817" t="n">
        <f aca="false">1000*(E956-E955)</f>
        <v>9.99999999999979</v>
      </c>
      <c r="I956" s="5"/>
      <c r="J956" s="818" t="n">
        <f aca="false">1000*(E956-$E$215)/(B956-$B$215)</f>
        <v>12.1239808752654</v>
      </c>
      <c r="K956" s="732" t="n">
        <f aca="false">AVERAGE($E$216:E956)</f>
        <v>8.7292121913982</v>
      </c>
      <c r="L956" s="819" t="n">
        <f aca="false">L955+1</f>
        <v>741</v>
      </c>
      <c r="M956" s="820" t="n">
        <f aca="false">IF(B956&lt;$E$104,$E$105,$E$106)</f>
        <v>3</v>
      </c>
      <c r="N956" s="821" t="n">
        <f aca="false">IF(B956&lt;$E$104,$E$105,$E$111)</f>
        <v>2.5</v>
      </c>
      <c r="O956" s="822" t="n">
        <f aca="false">E956*$E$205*N956</f>
        <v>163.454617425741</v>
      </c>
      <c r="P956" s="823" t="n">
        <f aca="false">P955+O956</f>
        <v>84787.3471109698</v>
      </c>
      <c r="Q956" s="606" t="n">
        <f aca="false">Q955+1</f>
        <v>741</v>
      </c>
      <c r="R956" s="824" t="n">
        <f aca="false">R955-1</f>
        <v>-741</v>
      </c>
      <c r="S956" s="5"/>
      <c r="T956" s="5"/>
      <c r="U956" s="5"/>
      <c r="V956" s="10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02"/>
      <c r="AU956" s="502"/>
      <c r="AV956" s="606"/>
      <c r="AW956" s="502"/>
      <c r="AX956" s="502"/>
      <c r="AY956" s="502"/>
      <c r="AZ956" s="502"/>
      <c r="BA956" s="502"/>
      <c r="BB956" s="502"/>
      <c r="BC956" s="502"/>
      <c r="BD956" s="502"/>
      <c r="BE956" s="502"/>
      <c r="BF956" s="502"/>
      <c r="BG956" s="502"/>
      <c r="BH956" s="502"/>
      <c r="BI956" s="502"/>
      <c r="BJ956" s="502"/>
      <c r="BK956" s="502"/>
      <c r="BL956" s="502"/>
      <c r="BM956" s="502"/>
      <c r="BN956" s="502"/>
      <c r="BO956" s="502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  <c r="DE956" s="5"/>
      <c r="DF956" s="5"/>
      <c r="DG956" s="5"/>
      <c r="DH956" s="5"/>
      <c r="DI956" s="5"/>
      <c r="DJ956" s="5"/>
      <c r="DK956" s="5"/>
      <c r="DL956" s="5"/>
      <c r="DM956" s="5"/>
      <c r="DN956" s="5"/>
      <c r="DO956" s="5"/>
      <c r="DP956" s="5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</row>
    <row r="957" s="504" customFormat="true" ht="12.75" hidden="true" customHeight="true" outlineLevel="0" collapsed="false">
      <c r="A957" s="5"/>
      <c r="B957" s="813" t="n">
        <f aca="false">B956+1</f>
        <v>742</v>
      </c>
      <c r="C957" s="814" t="n">
        <f aca="false">C956+D957</f>
        <v>101879.103033623</v>
      </c>
      <c r="D957" s="815" t="n">
        <f aca="false">E957*$E$205*M957</f>
        <v>196.303220910889</v>
      </c>
      <c r="E957" s="601" t="n">
        <f aca="false">E956+$C$204</f>
        <v>12.4494686016545</v>
      </c>
      <c r="F957" s="816" t="n">
        <f aca="false">F956+1</f>
        <v>742</v>
      </c>
      <c r="G957" s="775" t="n">
        <f aca="false">C957</f>
        <v>101879.103033623</v>
      </c>
      <c r="H957" s="817" t="n">
        <f aca="false">1000*(E957-E956)</f>
        <v>9.99999999999979</v>
      </c>
      <c r="I957" s="5"/>
      <c r="J957" s="818" t="n">
        <f aca="false">1000*(E957-$E$215)/(B957-$B$215)</f>
        <v>12.1211183673473</v>
      </c>
      <c r="K957" s="732" t="n">
        <f aca="false">AVERAGE($E$216:E957)</f>
        <v>8.73422601405353</v>
      </c>
      <c r="L957" s="819" t="n">
        <f aca="false">L956+1</f>
        <v>742</v>
      </c>
      <c r="M957" s="820" t="n">
        <f aca="false">IF(B957&lt;$E$104,$E$105,$E$106)</f>
        <v>3</v>
      </c>
      <c r="N957" s="821" t="n">
        <f aca="false">IF(B957&lt;$E$104,$E$105,$E$111)</f>
        <v>2.5</v>
      </c>
      <c r="O957" s="822" t="n">
        <f aca="false">E957*$E$205*N957</f>
        <v>163.586017425741</v>
      </c>
      <c r="P957" s="823" t="n">
        <f aca="false">P956+O957</f>
        <v>84950.9331283955</v>
      </c>
      <c r="Q957" s="606" t="n">
        <f aca="false">Q956+1</f>
        <v>742</v>
      </c>
      <c r="R957" s="824" t="n">
        <f aca="false">R956-1</f>
        <v>-742</v>
      </c>
      <c r="S957" s="5"/>
      <c r="T957" s="5"/>
      <c r="U957" s="5"/>
      <c r="V957" s="10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02"/>
      <c r="AU957" s="502"/>
      <c r="AV957" s="606"/>
      <c r="AW957" s="502"/>
      <c r="AX957" s="502"/>
      <c r="AY957" s="502"/>
      <c r="AZ957" s="502"/>
      <c r="BA957" s="502"/>
      <c r="BB957" s="502"/>
      <c r="BC957" s="502"/>
      <c r="BD957" s="502"/>
      <c r="BE957" s="502"/>
      <c r="BF957" s="502"/>
      <c r="BG957" s="502"/>
      <c r="BH957" s="502"/>
      <c r="BI957" s="502"/>
      <c r="BJ957" s="502"/>
      <c r="BK957" s="502"/>
      <c r="BL957" s="502"/>
      <c r="BM957" s="502"/>
      <c r="BN957" s="502"/>
      <c r="BO957" s="502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  <c r="DA957" s="5"/>
      <c r="DB957" s="5"/>
      <c r="DC957" s="5"/>
      <c r="DD957" s="5"/>
      <c r="DE957" s="5"/>
      <c r="DF957" s="5"/>
      <c r="DG957" s="5"/>
      <c r="DH957" s="5"/>
      <c r="DI957" s="5"/>
      <c r="DJ957" s="5"/>
      <c r="DK957" s="5"/>
      <c r="DL957" s="5"/>
      <c r="DM957" s="5"/>
      <c r="DN957" s="5"/>
      <c r="DO957" s="5"/>
      <c r="DP957" s="5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</row>
    <row r="958" s="504" customFormat="true" ht="12.75" hidden="true" customHeight="true" outlineLevel="0" collapsed="false">
      <c r="A958" s="5"/>
      <c r="B958" s="813" t="n">
        <f aca="false">B957+1</f>
        <v>743</v>
      </c>
      <c r="C958" s="814" t="n">
        <f aca="false">C957+D958</f>
        <v>102075.563934534</v>
      </c>
      <c r="D958" s="815" t="n">
        <f aca="false">E958*$E$205*M958</f>
        <v>196.460900910889</v>
      </c>
      <c r="E958" s="601" t="n">
        <f aca="false">E957+$C$204</f>
        <v>12.4594686016545</v>
      </c>
      <c r="F958" s="816" t="n">
        <f aca="false">F957+1</f>
        <v>743</v>
      </c>
      <c r="G958" s="775" t="n">
        <f aca="false">C958</f>
        <v>102075.563934534</v>
      </c>
      <c r="H958" s="817" t="n">
        <f aca="false">1000*(E958-E957)</f>
        <v>9.99999999999979</v>
      </c>
      <c r="I958" s="5"/>
      <c r="J958" s="818" t="n">
        <f aca="false">1000*(E958-$E$215)/(B958-$B$215)</f>
        <v>12.1182635646994</v>
      </c>
      <c r="K958" s="732" t="n">
        <f aca="false">AVERAGE($E$216:E958)</f>
        <v>8.73923979950118</v>
      </c>
      <c r="L958" s="819" t="n">
        <f aca="false">L957+1</f>
        <v>743</v>
      </c>
      <c r="M958" s="820" t="n">
        <f aca="false">IF(B958&lt;$E$104,$E$105,$E$106)</f>
        <v>3</v>
      </c>
      <c r="N958" s="821" t="n">
        <f aca="false">IF(B958&lt;$E$104,$E$105,$E$111)</f>
        <v>2.5</v>
      </c>
      <c r="O958" s="822" t="n">
        <f aca="false">E958*$E$205*N958</f>
        <v>163.717417425741</v>
      </c>
      <c r="P958" s="823" t="n">
        <f aca="false">P957+O958</f>
        <v>85114.6505458213</v>
      </c>
      <c r="Q958" s="606" t="n">
        <f aca="false">Q957+1</f>
        <v>743</v>
      </c>
      <c r="R958" s="824" t="n">
        <f aca="false">R957-1</f>
        <v>-743</v>
      </c>
      <c r="S958" s="5"/>
      <c r="T958" s="5"/>
      <c r="U958" s="5"/>
      <c r="V958" s="10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02"/>
      <c r="AU958" s="502"/>
      <c r="AV958" s="606"/>
      <c r="AW958" s="502"/>
      <c r="AX958" s="502"/>
      <c r="AY958" s="502"/>
      <c r="AZ958" s="502"/>
      <c r="BA958" s="502"/>
      <c r="BB958" s="502"/>
      <c r="BC958" s="502"/>
      <c r="BD958" s="502"/>
      <c r="BE958" s="502"/>
      <c r="BF958" s="502"/>
      <c r="BG958" s="502"/>
      <c r="BH958" s="502"/>
      <c r="BI958" s="502"/>
      <c r="BJ958" s="502"/>
      <c r="BK958" s="502"/>
      <c r="BL958" s="502"/>
      <c r="BM958" s="502"/>
      <c r="BN958" s="502"/>
      <c r="BO958" s="502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  <c r="DI958" s="5"/>
      <c r="DJ958" s="5"/>
      <c r="DK958" s="5"/>
      <c r="DL958" s="5"/>
      <c r="DM958" s="5"/>
      <c r="DN958" s="5"/>
      <c r="DO958" s="5"/>
      <c r="DP958" s="5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</row>
    <row r="959" s="504" customFormat="true" ht="12.75" hidden="true" customHeight="true" outlineLevel="0" collapsed="false">
      <c r="A959" s="5"/>
      <c r="B959" s="813" t="n">
        <f aca="false">B958+1</f>
        <v>744</v>
      </c>
      <c r="C959" s="814" t="n">
        <f aca="false">C958+D959</f>
        <v>102272.182515445</v>
      </c>
      <c r="D959" s="815" t="n">
        <f aca="false">E959*$E$205*M959</f>
        <v>196.618580910889</v>
      </c>
      <c r="E959" s="601" t="n">
        <f aca="false">E958+$C$204</f>
        <v>12.4694686016545</v>
      </c>
      <c r="F959" s="816" t="n">
        <f aca="false">F958+1</f>
        <v>744</v>
      </c>
      <c r="G959" s="775" t="n">
        <f aca="false">C959</f>
        <v>102272.182515445</v>
      </c>
      <c r="H959" s="817" t="n">
        <f aca="false">1000*(E959-E958)</f>
        <v>9.99999999999979</v>
      </c>
      <c r="I959" s="5"/>
      <c r="J959" s="818" t="n">
        <f aca="false">1000*(E959-$E$215)/(B959-$B$215)</f>
        <v>12.1154164362523</v>
      </c>
      <c r="K959" s="732" t="n">
        <f aca="false">AVERAGE($E$216:E959)</f>
        <v>8.74425354789117</v>
      </c>
      <c r="L959" s="819" t="n">
        <f aca="false">L958+1</f>
        <v>744</v>
      </c>
      <c r="M959" s="820" t="n">
        <f aca="false">IF(B959&lt;$E$104,$E$105,$E$106)</f>
        <v>3</v>
      </c>
      <c r="N959" s="821" t="n">
        <f aca="false">IF(B959&lt;$E$104,$E$105,$E$111)</f>
        <v>2.5</v>
      </c>
      <c r="O959" s="822" t="n">
        <f aca="false">E959*$E$205*N959</f>
        <v>163.848817425741</v>
      </c>
      <c r="P959" s="823" t="n">
        <f aca="false">P958+O959</f>
        <v>85278.499363247</v>
      </c>
      <c r="Q959" s="606" t="n">
        <f aca="false">Q958+1</f>
        <v>744</v>
      </c>
      <c r="R959" s="824" t="n">
        <f aca="false">R958-1</f>
        <v>-744</v>
      </c>
      <c r="S959" s="5"/>
      <c r="T959" s="5"/>
      <c r="U959" s="5"/>
      <c r="V959" s="10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02"/>
      <c r="AU959" s="502"/>
      <c r="AV959" s="606"/>
      <c r="AW959" s="502"/>
      <c r="AX959" s="502"/>
      <c r="AY959" s="502"/>
      <c r="AZ959" s="502"/>
      <c r="BA959" s="502"/>
      <c r="BB959" s="502"/>
      <c r="BC959" s="502"/>
      <c r="BD959" s="502"/>
      <c r="BE959" s="502"/>
      <c r="BF959" s="502"/>
      <c r="BG959" s="502"/>
      <c r="BH959" s="502"/>
      <c r="BI959" s="502"/>
      <c r="BJ959" s="502"/>
      <c r="BK959" s="502"/>
      <c r="BL959" s="502"/>
      <c r="BM959" s="502"/>
      <c r="BN959" s="502"/>
      <c r="BO959" s="502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  <c r="DA959" s="5"/>
      <c r="DB959" s="5"/>
      <c r="DC959" s="5"/>
      <c r="DD959" s="5"/>
      <c r="DE959" s="5"/>
      <c r="DF959" s="5"/>
      <c r="DG959" s="5"/>
      <c r="DH959" s="5"/>
      <c r="DI959" s="5"/>
      <c r="DJ959" s="5"/>
      <c r="DK959" s="5"/>
      <c r="DL959" s="5"/>
      <c r="DM959" s="5"/>
      <c r="DN959" s="5"/>
      <c r="DO959" s="5"/>
      <c r="DP959" s="5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</row>
    <row r="960" s="504" customFormat="true" ht="12.75" hidden="true" customHeight="true" outlineLevel="0" collapsed="false">
      <c r="A960" s="5"/>
      <c r="B960" s="813" t="n">
        <f aca="false">B959+1</f>
        <v>745</v>
      </c>
      <c r="C960" s="814" t="n">
        <f aca="false">C959+D960</f>
        <v>102468.958776356</v>
      </c>
      <c r="D960" s="815" t="n">
        <f aca="false">E960*$E$205*M960</f>
        <v>196.776260910889</v>
      </c>
      <c r="E960" s="601" t="n">
        <f aca="false">E959+$C$204</f>
        <v>12.4794686016545</v>
      </c>
      <c r="F960" s="816" t="n">
        <f aca="false">F959+1</f>
        <v>745</v>
      </c>
      <c r="G960" s="775" t="n">
        <f aca="false">C960</f>
        <v>102468.958776356</v>
      </c>
      <c r="H960" s="817" t="n">
        <f aca="false">1000*(E960-E959)</f>
        <v>9.99999999999979</v>
      </c>
      <c r="I960" s="5"/>
      <c r="J960" s="818" t="n">
        <f aca="false">1000*(E960-$E$215)/(B960-$B$215)</f>
        <v>12.1125769511029</v>
      </c>
      <c r="K960" s="732" t="n">
        <f aca="false">AVERAGE($E$216:E960)</f>
        <v>8.74926725937273</v>
      </c>
      <c r="L960" s="819" t="n">
        <f aca="false">L959+1</f>
        <v>745</v>
      </c>
      <c r="M960" s="820" t="n">
        <f aca="false">IF(B960&lt;$E$104,$E$105,$E$106)</f>
        <v>3</v>
      </c>
      <c r="N960" s="821" t="n">
        <f aca="false">IF(B960&lt;$E$104,$E$105,$E$111)</f>
        <v>2.5</v>
      </c>
      <c r="O960" s="822" t="n">
        <f aca="false">E960*$E$205*N960</f>
        <v>163.980217425741</v>
      </c>
      <c r="P960" s="823" t="n">
        <f aca="false">P959+O960</f>
        <v>85442.4795806727</v>
      </c>
      <c r="Q960" s="606" t="n">
        <f aca="false">Q959+1</f>
        <v>745</v>
      </c>
      <c r="R960" s="824" t="n">
        <f aca="false">R959-1</f>
        <v>-745</v>
      </c>
      <c r="S960" s="5"/>
      <c r="T960" s="5"/>
      <c r="U960" s="5"/>
      <c r="V960" s="10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02"/>
      <c r="AU960" s="502"/>
      <c r="AV960" s="606"/>
      <c r="AW960" s="502"/>
      <c r="AX960" s="502"/>
      <c r="AY960" s="502"/>
      <c r="AZ960" s="502"/>
      <c r="BA960" s="502"/>
      <c r="BB960" s="502"/>
      <c r="BC960" s="502"/>
      <c r="BD960" s="502"/>
      <c r="BE960" s="502"/>
      <c r="BF960" s="502"/>
      <c r="BG960" s="502"/>
      <c r="BH960" s="502"/>
      <c r="BI960" s="502"/>
      <c r="BJ960" s="502"/>
      <c r="BK960" s="502"/>
      <c r="BL960" s="502"/>
      <c r="BM960" s="502"/>
      <c r="BN960" s="502"/>
      <c r="BO960" s="502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  <c r="DE960" s="5"/>
      <c r="DF960" s="5"/>
      <c r="DG960" s="5"/>
      <c r="DH960" s="5"/>
      <c r="DI960" s="5"/>
      <c r="DJ960" s="5"/>
      <c r="DK960" s="5"/>
      <c r="DL960" s="5"/>
      <c r="DM960" s="5"/>
      <c r="DN960" s="5"/>
      <c r="DO960" s="5"/>
      <c r="DP960" s="5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</row>
    <row r="961" s="504" customFormat="true" ht="12.75" hidden="true" customHeight="true" outlineLevel="0" collapsed="false">
      <c r="A961" s="5"/>
      <c r="B961" s="813" t="n">
        <f aca="false">B960+1</f>
        <v>746</v>
      </c>
      <c r="C961" s="814" t="n">
        <f aca="false">C960+D961</f>
        <v>102665.892717267</v>
      </c>
      <c r="D961" s="815" t="n">
        <f aca="false">E961*$E$205*M961</f>
        <v>196.933940910889</v>
      </c>
      <c r="E961" s="601" t="n">
        <f aca="false">E960+$C$204</f>
        <v>12.4894686016545</v>
      </c>
      <c r="F961" s="816" t="n">
        <f aca="false">F960+1</f>
        <v>746</v>
      </c>
      <c r="G961" s="775" t="n">
        <f aca="false">C961</f>
        <v>102665.892717267</v>
      </c>
      <c r="H961" s="817" t="n">
        <f aca="false">1000*(E961-E960)</f>
        <v>9.99999999999979</v>
      </c>
      <c r="I961" s="5"/>
      <c r="J961" s="818" t="n">
        <f aca="false">1000*(E961-$E$215)/(B961-$B$215)</f>
        <v>12.1097450785143</v>
      </c>
      <c r="K961" s="732" t="n">
        <f aca="false">AVERAGE($E$216:E961)</f>
        <v>8.75428093409429</v>
      </c>
      <c r="L961" s="819" t="n">
        <f aca="false">L960+1</f>
        <v>746</v>
      </c>
      <c r="M961" s="820" t="n">
        <f aca="false">IF(B961&lt;$E$104,$E$105,$E$106)</f>
        <v>3</v>
      </c>
      <c r="N961" s="821" t="n">
        <f aca="false">IF(B961&lt;$E$104,$E$105,$E$111)</f>
        <v>2.5</v>
      </c>
      <c r="O961" s="822" t="n">
        <f aca="false">E961*$E$205*N961</f>
        <v>164.111617425741</v>
      </c>
      <c r="P961" s="823" t="n">
        <f aca="false">P960+O961</f>
        <v>85606.5911980985</v>
      </c>
      <c r="Q961" s="606" t="n">
        <f aca="false">Q960+1</f>
        <v>746</v>
      </c>
      <c r="R961" s="824" t="n">
        <f aca="false">R960-1</f>
        <v>-746</v>
      </c>
      <c r="S961" s="5"/>
      <c r="T961" s="5"/>
      <c r="U961" s="5"/>
      <c r="V961" s="10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02"/>
      <c r="AU961" s="502"/>
      <c r="AV961" s="606"/>
      <c r="AW961" s="502"/>
      <c r="AX961" s="502"/>
      <c r="AY961" s="502"/>
      <c r="AZ961" s="502"/>
      <c r="BA961" s="502"/>
      <c r="BB961" s="502"/>
      <c r="BC961" s="502"/>
      <c r="BD961" s="502"/>
      <c r="BE961" s="502"/>
      <c r="BF961" s="502"/>
      <c r="BG961" s="502"/>
      <c r="BH961" s="502"/>
      <c r="BI961" s="502"/>
      <c r="BJ961" s="502"/>
      <c r="BK961" s="502"/>
      <c r="BL961" s="502"/>
      <c r="BM961" s="502"/>
      <c r="BN961" s="502"/>
      <c r="BO961" s="502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  <c r="DA961" s="5"/>
      <c r="DB961" s="5"/>
      <c r="DC961" s="5"/>
      <c r="DD961" s="5"/>
      <c r="DE961" s="5"/>
      <c r="DF961" s="5"/>
      <c r="DG961" s="5"/>
      <c r="DH961" s="5"/>
      <c r="DI961" s="5"/>
      <c r="DJ961" s="5"/>
      <c r="DK961" s="5"/>
      <c r="DL961" s="5"/>
      <c r="DM961" s="5"/>
      <c r="DN961" s="5"/>
      <c r="DO961" s="5"/>
      <c r="DP961" s="5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</row>
    <row r="962" s="504" customFormat="true" ht="12.75" hidden="true" customHeight="true" outlineLevel="0" collapsed="false">
      <c r="A962" s="5"/>
      <c r="B962" s="813" t="n">
        <f aca="false">B961+1</f>
        <v>747</v>
      </c>
      <c r="C962" s="814" t="n">
        <f aca="false">C961+D962</f>
        <v>102862.984338178</v>
      </c>
      <c r="D962" s="815" t="n">
        <f aca="false">E962*$E$205*M962</f>
        <v>197.091620910889</v>
      </c>
      <c r="E962" s="601" t="n">
        <f aca="false">E961+$C$204</f>
        <v>12.4994686016545</v>
      </c>
      <c r="F962" s="816" t="n">
        <f aca="false">F961+1</f>
        <v>747</v>
      </c>
      <c r="G962" s="775" t="n">
        <f aca="false">C962</f>
        <v>102862.984338178</v>
      </c>
      <c r="H962" s="817" t="n">
        <f aca="false">1000*(E962-E961)</f>
        <v>9.99999999999979</v>
      </c>
      <c r="I962" s="5"/>
      <c r="J962" s="818" t="n">
        <f aca="false">1000*(E962-$E$215)/(B962-$B$215)</f>
        <v>12.1069207879139</v>
      </c>
      <c r="K962" s="732" t="n">
        <f aca="false">AVERAGE($E$216:E962)</f>
        <v>8.75929457220347</v>
      </c>
      <c r="L962" s="819" t="n">
        <f aca="false">L961+1</f>
        <v>747</v>
      </c>
      <c r="M962" s="820" t="n">
        <f aca="false">IF(B962&lt;$E$104,$E$105,$E$106)</f>
        <v>3</v>
      </c>
      <c r="N962" s="821" t="n">
        <f aca="false">IF(B962&lt;$E$104,$E$105,$E$111)</f>
        <v>2.5</v>
      </c>
      <c r="O962" s="822" t="n">
        <f aca="false">E962*$E$205*N962</f>
        <v>164.243017425741</v>
      </c>
      <c r="P962" s="823" t="n">
        <f aca="false">P961+O962</f>
        <v>85770.8342155242</v>
      </c>
      <c r="Q962" s="606" t="n">
        <f aca="false">Q961+1</f>
        <v>747</v>
      </c>
      <c r="R962" s="824" t="n">
        <f aca="false">R961-1</f>
        <v>-747</v>
      </c>
      <c r="S962" s="5"/>
      <c r="T962" s="5"/>
      <c r="U962" s="5"/>
      <c r="V962" s="10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02"/>
      <c r="AU962" s="502"/>
      <c r="AV962" s="606"/>
      <c r="AW962" s="502"/>
      <c r="AX962" s="502"/>
      <c r="AY962" s="502"/>
      <c r="AZ962" s="502"/>
      <c r="BA962" s="502"/>
      <c r="BB962" s="502"/>
      <c r="BC962" s="502"/>
      <c r="BD962" s="502"/>
      <c r="BE962" s="502"/>
      <c r="BF962" s="502"/>
      <c r="BG962" s="502"/>
      <c r="BH962" s="502"/>
      <c r="BI962" s="502"/>
      <c r="BJ962" s="502"/>
      <c r="BK962" s="502"/>
      <c r="BL962" s="502"/>
      <c r="BM962" s="502"/>
      <c r="BN962" s="502"/>
      <c r="BO962" s="502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  <c r="DE962" s="5"/>
      <c r="DF962" s="5"/>
      <c r="DG962" s="5"/>
      <c r="DH962" s="5"/>
      <c r="DI962" s="5"/>
      <c r="DJ962" s="5"/>
      <c r="DK962" s="5"/>
      <c r="DL962" s="5"/>
      <c r="DM962" s="5"/>
      <c r="DN962" s="5"/>
      <c r="DO962" s="5"/>
      <c r="DP962" s="5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</row>
    <row r="963" s="504" customFormat="true" ht="12.75" hidden="true" customHeight="true" outlineLevel="0" collapsed="false">
      <c r="A963" s="5"/>
      <c r="B963" s="813" t="n">
        <f aca="false">B962+1</f>
        <v>748</v>
      </c>
      <c r="C963" s="814" t="n">
        <f aca="false">C962+D963</f>
        <v>103060.233639089</v>
      </c>
      <c r="D963" s="815" t="n">
        <f aca="false">E963*$E$205*M963</f>
        <v>197.249300910889</v>
      </c>
      <c r="E963" s="601" t="n">
        <f aca="false">E962+$C$204</f>
        <v>12.5094686016545</v>
      </c>
      <c r="F963" s="816" t="n">
        <f aca="false">F962+1</f>
        <v>748</v>
      </c>
      <c r="G963" s="775" t="n">
        <f aca="false">C963</f>
        <v>103060.233639089</v>
      </c>
      <c r="H963" s="817" t="n">
        <f aca="false">1000*(E963-E962)</f>
        <v>9.99999999999979</v>
      </c>
      <c r="I963" s="5"/>
      <c r="J963" s="818" t="n">
        <f aca="false">1000*(E963-$E$215)/(B963-$B$215)</f>
        <v>12.1041040488926</v>
      </c>
      <c r="K963" s="732" t="n">
        <f aca="false">AVERAGE($E$216:E963)</f>
        <v>8.76430817384713</v>
      </c>
      <c r="L963" s="819" t="n">
        <f aca="false">L962+1</f>
        <v>748</v>
      </c>
      <c r="M963" s="820" t="n">
        <f aca="false">IF(B963&lt;$E$104,$E$105,$E$106)</f>
        <v>3</v>
      </c>
      <c r="N963" s="821" t="n">
        <f aca="false">IF(B963&lt;$E$104,$E$105,$E$111)</f>
        <v>2.5</v>
      </c>
      <c r="O963" s="822" t="n">
        <f aca="false">E963*$E$205*N963</f>
        <v>164.374417425741</v>
      </c>
      <c r="P963" s="823" t="n">
        <f aca="false">P962+O963</f>
        <v>85935.20863295</v>
      </c>
      <c r="Q963" s="606" t="n">
        <f aca="false">Q962+1</f>
        <v>748</v>
      </c>
      <c r="R963" s="824" t="n">
        <f aca="false">R962-1</f>
        <v>-748</v>
      </c>
      <c r="S963" s="5"/>
      <c r="T963" s="5"/>
      <c r="U963" s="5"/>
      <c r="V963" s="10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02"/>
      <c r="AU963" s="502"/>
      <c r="AV963" s="606"/>
      <c r="AW963" s="502"/>
      <c r="AX963" s="502"/>
      <c r="AY963" s="502"/>
      <c r="AZ963" s="502"/>
      <c r="BA963" s="502"/>
      <c r="BB963" s="502"/>
      <c r="BC963" s="502"/>
      <c r="BD963" s="502"/>
      <c r="BE963" s="502"/>
      <c r="BF963" s="502"/>
      <c r="BG963" s="502"/>
      <c r="BH963" s="502"/>
      <c r="BI963" s="502"/>
      <c r="BJ963" s="502"/>
      <c r="BK963" s="502"/>
      <c r="BL963" s="502"/>
      <c r="BM963" s="502"/>
      <c r="BN963" s="502"/>
      <c r="BO963" s="502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  <c r="DA963" s="5"/>
      <c r="DB963" s="5"/>
      <c r="DC963" s="5"/>
      <c r="DD963" s="5"/>
      <c r="DE963" s="5"/>
      <c r="DF963" s="5"/>
      <c r="DG963" s="5"/>
      <c r="DH963" s="5"/>
      <c r="DI963" s="5"/>
      <c r="DJ963" s="5"/>
      <c r="DK963" s="5"/>
      <c r="DL963" s="5"/>
      <c r="DM963" s="5"/>
      <c r="DN963" s="5"/>
      <c r="DO963" s="5"/>
      <c r="DP963" s="5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</row>
    <row r="964" s="504" customFormat="true" ht="12.75" hidden="true" customHeight="true" outlineLevel="0" collapsed="false">
      <c r="A964" s="5"/>
      <c r="B964" s="813" t="n">
        <f aca="false">B963+1</f>
        <v>749</v>
      </c>
      <c r="C964" s="814" t="n">
        <f aca="false">C963+D964</f>
        <v>103257.640619999</v>
      </c>
      <c r="D964" s="815" t="n">
        <f aca="false">E964*$E$205*M964</f>
        <v>197.406980910889</v>
      </c>
      <c r="E964" s="601" t="n">
        <f aca="false">E963+$C$204</f>
        <v>12.5194686016545</v>
      </c>
      <c r="F964" s="816" t="n">
        <f aca="false">F963+1</f>
        <v>749</v>
      </c>
      <c r="G964" s="775" t="n">
        <f aca="false">C964</f>
        <v>103257.640619999</v>
      </c>
      <c r="H964" s="817" t="n">
        <f aca="false">1000*(E964-E963)</f>
        <v>9.99999999999979</v>
      </c>
      <c r="I964" s="5"/>
      <c r="J964" s="818" t="n">
        <f aca="false">1000*(E964-$E$215)/(B964-$B$215)</f>
        <v>12.1012948312039</v>
      </c>
      <c r="K964" s="732" t="n">
        <f aca="false">AVERAGE($E$216:E964)</f>
        <v>8.7693217391713</v>
      </c>
      <c r="L964" s="819" t="n">
        <f aca="false">L963+1</f>
        <v>749</v>
      </c>
      <c r="M964" s="820" t="n">
        <f aca="false">IF(B964&lt;$E$104,$E$105,$E$106)</f>
        <v>3</v>
      </c>
      <c r="N964" s="821" t="n">
        <f aca="false">IF(B964&lt;$E$104,$E$105,$E$111)</f>
        <v>2.5</v>
      </c>
      <c r="O964" s="822" t="n">
        <f aca="false">E964*$E$205*N964</f>
        <v>164.505817425741</v>
      </c>
      <c r="P964" s="823" t="n">
        <f aca="false">P963+O964</f>
        <v>86099.7144503757</v>
      </c>
      <c r="Q964" s="606" t="n">
        <f aca="false">Q963+1</f>
        <v>749</v>
      </c>
      <c r="R964" s="824" t="n">
        <f aca="false">R963-1</f>
        <v>-749</v>
      </c>
      <c r="S964" s="5"/>
      <c r="T964" s="5"/>
      <c r="U964" s="5"/>
      <c r="V964" s="10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02"/>
      <c r="AU964" s="502"/>
      <c r="AV964" s="606"/>
      <c r="AW964" s="502"/>
      <c r="AX964" s="502"/>
      <c r="AY964" s="502"/>
      <c r="AZ964" s="502"/>
      <c r="BA964" s="502"/>
      <c r="BB964" s="502"/>
      <c r="BC964" s="502"/>
      <c r="BD964" s="502"/>
      <c r="BE964" s="502"/>
      <c r="BF964" s="502"/>
      <c r="BG964" s="502"/>
      <c r="BH964" s="502"/>
      <c r="BI964" s="502"/>
      <c r="BJ964" s="502"/>
      <c r="BK964" s="502"/>
      <c r="BL964" s="502"/>
      <c r="BM964" s="502"/>
      <c r="BN964" s="502"/>
      <c r="BO964" s="502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  <c r="DA964" s="5"/>
      <c r="DB964" s="5"/>
      <c r="DC964" s="5"/>
      <c r="DD964" s="5"/>
      <c r="DE964" s="5"/>
      <c r="DF964" s="5"/>
      <c r="DG964" s="5"/>
      <c r="DH964" s="5"/>
      <c r="DI964" s="5"/>
      <c r="DJ964" s="5"/>
      <c r="DK964" s="5"/>
      <c r="DL964" s="5"/>
      <c r="DM964" s="5"/>
      <c r="DN964" s="5"/>
      <c r="DO964" s="5"/>
      <c r="DP964" s="5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</row>
    <row r="965" s="504" customFormat="true" ht="12.75" hidden="true" customHeight="true" outlineLevel="0" collapsed="false">
      <c r="A965" s="5"/>
      <c r="B965" s="813" t="n">
        <f aca="false">B964+1</f>
        <v>750</v>
      </c>
      <c r="C965" s="814" t="n">
        <f aca="false">C964+D965</f>
        <v>103455.20528091</v>
      </c>
      <c r="D965" s="815" t="n">
        <f aca="false">E965*$E$205*M965</f>
        <v>197.564660910889</v>
      </c>
      <c r="E965" s="601" t="n">
        <f aca="false">E964+$C$204</f>
        <v>12.5294686016545</v>
      </c>
      <c r="F965" s="816" t="n">
        <f aca="false">F964+1</f>
        <v>750</v>
      </c>
      <c r="G965" s="775" t="n">
        <f aca="false">C965</f>
        <v>103455.20528091</v>
      </c>
      <c r="H965" s="817" t="n">
        <f aca="false">1000*(E965-E964)</f>
        <v>9.99999999999979</v>
      </c>
      <c r="I965" s="5"/>
      <c r="J965" s="818" t="n">
        <f aca="false">1000*(E965-$E$215)/(B965-$B$215)</f>
        <v>12.0984931047622</v>
      </c>
      <c r="K965" s="732" t="n">
        <f aca="false">AVERAGE($E$216:E965)</f>
        <v>8.77433526832128</v>
      </c>
      <c r="L965" s="819" t="n">
        <f aca="false">L964+1</f>
        <v>750</v>
      </c>
      <c r="M965" s="820" t="n">
        <f aca="false">IF(B965&lt;$E$104,$E$105,$E$106)</f>
        <v>3</v>
      </c>
      <c r="N965" s="821" t="n">
        <f aca="false">IF(B965&lt;$E$104,$E$105,$E$111)</f>
        <v>2.5</v>
      </c>
      <c r="O965" s="822" t="n">
        <f aca="false">E965*$E$205*N965</f>
        <v>164.637217425741</v>
      </c>
      <c r="P965" s="823" t="n">
        <f aca="false">P964+O965</f>
        <v>86264.3516678014</v>
      </c>
      <c r="Q965" s="606" t="n">
        <f aca="false">Q964+1</f>
        <v>750</v>
      </c>
      <c r="R965" s="824" t="n">
        <f aca="false">R964-1</f>
        <v>-750</v>
      </c>
      <c r="S965" s="5"/>
      <c r="T965" s="5"/>
      <c r="U965" s="5"/>
      <c r="V965" s="10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02"/>
      <c r="AU965" s="502"/>
      <c r="AV965" s="606"/>
      <c r="AW965" s="502"/>
      <c r="AX965" s="502"/>
      <c r="AY965" s="502"/>
      <c r="AZ965" s="502"/>
      <c r="BA965" s="502"/>
      <c r="BB965" s="502"/>
      <c r="BC965" s="502"/>
      <c r="BD965" s="502"/>
      <c r="BE965" s="502"/>
      <c r="BF965" s="502"/>
      <c r="BG965" s="502"/>
      <c r="BH965" s="502"/>
      <c r="BI965" s="502"/>
      <c r="BJ965" s="502"/>
      <c r="BK965" s="502"/>
      <c r="BL965" s="502"/>
      <c r="BM965" s="502"/>
      <c r="BN965" s="502"/>
      <c r="BO965" s="502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  <c r="DA965" s="5"/>
      <c r="DB965" s="5"/>
      <c r="DC965" s="5"/>
      <c r="DD965" s="5"/>
      <c r="DE965" s="5"/>
      <c r="DF965" s="5"/>
      <c r="DG965" s="5"/>
      <c r="DH965" s="5"/>
      <c r="DI965" s="5"/>
      <c r="DJ965" s="5"/>
      <c r="DK965" s="5"/>
      <c r="DL965" s="5"/>
      <c r="DM965" s="5"/>
      <c r="DN965" s="5"/>
      <c r="DO965" s="5"/>
      <c r="DP965" s="5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</row>
    <row r="966" s="504" customFormat="true" ht="12.75" hidden="true" customHeight="true" outlineLevel="0" collapsed="false">
      <c r="A966" s="5"/>
      <c r="B966" s="813" t="n">
        <f aca="false">B965+1</f>
        <v>751</v>
      </c>
      <c r="C966" s="814" t="n">
        <f aca="false">C965+D966</f>
        <v>103652.927621821</v>
      </c>
      <c r="D966" s="815" t="n">
        <f aca="false">E966*$E$205*M966</f>
        <v>197.722340910889</v>
      </c>
      <c r="E966" s="601" t="n">
        <f aca="false">E965+$C$204</f>
        <v>12.5394686016545</v>
      </c>
      <c r="F966" s="816" t="n">
        <f aca="false">F965+1</f>
        <v>751</v>
      </c>
      <c r="G966" s="775" t="n">
        <f aca="false">C966</f>
        <v>103652.927621821</v>
      </c>
      <c r="H966" s="817" t="n">
        <f aca="false">1000*(E966-E965)</f>
        <v>9.99999999999979</v>
      </c>
      <c r="I966" s="5"/>
      <c r="J966" s="818" t="n">
        <f aca="false">1000*(E966-$E$215)/(B966-$B$215)</f>
        <v>12.0956988396427</v>
      </c>
      <c r="K966" s="732" t="n">
        <f aca="false">AVERAGE($E$216:E966)</f>
        <v>8.77934876144156</v>
      </c>
      <c r="L966" s="819" t="n">
        <f aca="false">L965+1</f>
        <v>751</v>
      </c>
      <c r="M966" s="820" t="n">
        <f aca="false">IF(B966&lt;$E$104,$E$105,$E$106)</f>
        <v>3</v>
      </c>
      <c r="N966" s="821" t="n">
        <f aca="false">IF(B966&lt;$E$104,$E$105,$E$111)</f>
        <v>2.5</v>
      </c>
      <c r="O966" s="822" t="n">
        <f aca="false">E966*$E$205*N966</f>
        <v>164.768617425741</v>
      </c>
      <c r="P966" s="823" t="n">
        <f aca="false">P965+O966</f>
        <v>86429.1202852272</v>
      </c>
      <c r="Q966" s="606" t="n">
        <f aca="false">Q965+1</f>
        <v>751</v>
      </c>
      <c r="R966" s="824" t="n">
        <f aca="false">R965-1</f>
        <v>-751</v>
      </c>
      <c r="S966" s="5"/>
      <c r="T966" s="5"/>
      <c r="U966" s="5"/>
      <c r="V966" s="10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02"/>
      <c r="AU966" s="502"/>
      <c r="AV966" s="606"/>
      <c r="AW966" s="502"/>
      <c r="AX966" s="502"/>
      <c r="AY966" s="502"/>
      <c r="AZ966" s="502"/>
      <c r="BA966" s="502"/>
      <c r="BB966" s="502"/>
      <c r="BC966" s="502"/>
      <c r="BD966" s="502"/>
      <c r="BE966" s="502"/>
      <c r="BF966" s="502"/>
      <c r="BG966" s="502"/>
      <c r="BH966" s="502"/>
      <c r="BI966" s="502"/>
      <c r="BJ966" s="502"/>
      <c r="BK966" s="502"/>
      <c r="BL966" s="502"/>
      <c r="BM966" s="502"/>
      <c r="BN966" s="502"/>
      <c r="BO966" s="502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  <c r="DA966" s="5"/>
      <c r="DB966" s="5"/>
      <c r="DC966" s="5"/>
      <c r="DD966" s="5"/>
      <c r="DE966" s="5"/>
      <c r="DF966" s="5"/>
      <c r="DG966" s="5"/>
      <c r="DH966" s="5"/>
      <c r="DI966" s="5"/>
      <c r="DJ966" s="5"/>
      <c r="DK966" s="5"/>
      <c r="DL966" s="5"/>
      <c r="DM966" s="5"/>
      <c r="DN966" s="5"/>
      <c r="DO966" s="5"/>
      <c r="DP966" s="5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</row>
    <row r="967" s="504" customFormat="true" ht="12.75" hidden="true" customHeight="true" outlineLevel="0" collapsed="false">
      <c r="A967" s="5"/>
      <c r="B967" s="813" t="n">
        <f aca="false">B966+1</f>
        <v>752</v>
      </c>
      <c r="C967" s="814" t="n">
        <f aca="false">C966+D967</f>
        <v>103850.807642732</v>
      </c>
      <c r="D967" s="815" t="n">
        <f aca="false">E967*$E$205*M967</f>
        <v>197.880020910889</v>
      </c>
      <c r="E967" s="601" t="n">
        <f aca="false">E966+$C$204</f>
        <v>12.5494686016545</v>
      </c>
      <c r="F967" s="816" t="n">
        <f aca="false">F966+1</f>
        <v>752</v>
      </c>
      <c r="G967" s="775" t="n">
        <f aca="false">C967</f>
        <v>103850.807642732</v>
      </c>
      <c r="H967" s="817" t="n">
        <f aca="false">1000*(E967-E966)</f>
        <v>9.99999999999979</v>
      </c>
      <c r="I967" s="5"/>
      <c r="J967" s="818" t="n">
        <f aca="false">1000*(E967-$E$215)/(B967-$B$215)</f>
        <v>12.0929120060794</v>
      </c>
      <c r="K967" s="732" t="n">
        <f aca="false">AVERAGE($E$216:E967)</f>
        <v>8.78436221867589</v>
      </c>
      <c r="L967" s="819" t="n">
        <f aca="false">L966+1</f>
        <v>752</v>
      </c>
      <c r="M967" s="820" t="n">
        <f aca="false">IF(B967&lt;$E$104,$E$105,$E$106)</f>
        <v>3</v>
      </c>
      <c r="N967" s="821" t="n">
        <f aca="false">IF(B967&lt;$E$104,$E$105,$E$111)</f>
        <v>2.5</v>
      </c>
      <c r="O967" s="822" t="n">
        <f aca="false">E967*$E$205*N967</f>
        <v>164.900017425741</v>
      </c>
      <c r="P967" s="823" t="n">
        <f aca="false">P966+O967</f>
        <v>86594.0203026529</v>
      </c>
      <c r="Q967" s="606" t="n">
        <f aca="false">Q966+1</f>
        <v>752</v>
      </c>
      <c r="R967" s="824" t="n">
        <f aca="false">R966-1</f>
        <v>-752</v>
      </c>
      <c r="S967" s="5"/>
      <c r="T967" s="5"/>
      <c r="U967" s="5"/>
      <c r="V967" s="10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02"/>
      <c r="AU967" s="502"/>
      <c r="AV967" s="606"/>
      <c r="AW967" s="502"/>
      <c r="AX967" s="502"/>
      <c r="AY967" s="502"/>
      <c r="AZ967" s="502"/>
      <c r="BA967" s="502"/>
      <c r="BB967" s="502"/>
      <c r="BC967" s="502"/>
      <c r="BD967" s="502"/>
      <c r="BE967" s="502"/>
      <c r="BF967" s="502"/>
      <c r="BG967" s="502"/>
      <c r="BH967" s="502"/>
      <c r="BI967" s="502"/>
      <c r="BJ967" s="502"/>
      <c r="BK967" s="502"/>
      <c r="BL967" s="502"/>
      <c r="BM967" s="502"/>
      <c r="BN967" s="502"/>
      <c r="BO967" s="502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  <c r="DA967" s="5"/>
      <c r="DB967" s="5"/>
      <c r="DC967" s="5"/>
      <c r="DD967" s="5"/>
      <c r="DE967" s="5"/>
      <c r="DF967" s="5"/>
      <c r="DG967" s="5"/>
      <c r="DH967" s="5"/>
      <c r="DI967" s="5"/>
      <c r="DJ967" s="5"/>
      <c r="DK967" s="5"/>
      <c r="DL967" s="5"/>
      <c r="DM967" s="5"/>
      <c r="DN967" s="5"/>
      <c r="DO967" s="5"/>
      <c r="DP967" s="5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</row>
    <row r="968" s="504" customFormat="true" ht="12.75" hidden="true" customHeight="true" outlineLevel="0" collapsed="false">
      <c r="A968" s="5"/>
      <c r="B968" s="813" t="n">
        <f aca="false">B967+1</f>
        <v>753</v>
      </c>
      <c r="C968" s="814" t="n">
        <f aca="false">C967+D968</f>
        <v>104048.845343643</v>
      </c>
      <c r="D968" s="815" t="n">
        <f aca="false">E968*$E$205*M968</f>
        <v>198.037700910889</v>
      </c>
      <c r="E968" s="601" t="n">
        <f aca="false">E967+$C$204</f>
        <v>12.5594686016545</v>
      </c>
      <c r="F968" s="816" t="n">
        <f aca="false">F967+1</f>
        <v>753</v>
      </c>
      <c r="G968" s="775" t="n">
        <f aca="false">C968</f>
        <v>104048.845343643</v>
      </c>
      <c r="H968" s="817" t="n">
        <f aca="false">1000*(E968-E967)</f>
        <v>9.99999999999979</v>
      </c>
      <c r="I968" s="5"/>
      <c r="J968" s="818" t="n">
        <f aca="false">1000*(E968-$E$215)/(B968-$B$215)</f>
        <v>12.0901325744644</v>
      </c>
      <c r="K968" s="732" t="n">
        <f aca="false">AVERAGE($E$216:E968)</f>
        <v>8.78937564016723</v>
      </c>
      <c r="L968" s="819" t="n">
        <f aca="false">L967+1</f>
        <v>753</v>
      </c>
      <c r="M968" s="820" t="n">
        <f aca="false">IF(B968&lt;$E$104,$E$105,$E$106)</f>
        <v>3</v>
      </c>
      <c r="N968" s="821" t="n">
        <f aca="false">IF(B968&lt;$E$104,$E$105,$E$111)</f>
        <v>2.5</v>
      </c>
      <c r="O968" s="822" t="n">
        <f aca="false">E968*$E$205*N968</f>
        <v>165.031417425741</v>
      </c>
      <c r="P968" s="823" t="n">
        <f aca="false">P967+O968</f>
        <v>86759.0517200787</v>
      </c>
      <c r="Q968" s="606" t="n">
        <f aca="false">Q967+1</f>
        <v>753</v>
      </c>
      <c r="R968" s="824" t="n">
        <f aca="false">R967-1</f>
        <v>-753</v>
      </c>
      <c r="S968" s="5"/>
      <c r="T968" s="5"/>
      <c r="U968" s="5"/>
      <c r="V968" s="10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02"/>
      <c r="AU968" s="502"/>
      <c r="AV968" s="606"/>
      <c r="AW968" s="502"/>
      <c r="AX968" s="502"/>
      <c r="AY968" s="502"/>
      <c r="AZ968" s="502"/>
      <c r="BA968" s="502"/>
      <c r="BB968" s="502"/>
      <c r="BC968" s="502"/>
      <c r="BD968" s="502"/>
      <c r="BE968" s="502"/>
      <c r="BF968" s="502"/>
      <c r="BG968" s="502"/>
      <c r="BH968" s="502"/>
      <c r="BI968" s="502"/>
      <c r="BJ968" s="502"/>
      <c r="BK968" s="502"/>
      <c r="BL968" s="502"/>
      <c r="BM968" s="502"/>
      <c r="BN968" s="502"/>
      <c r="BO968" s="502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  <c r="DA968" s="5"/>
      <c r="DB968" s="5"/>
      <c r="DC968" s="5"/>
      <c r="DD968" s="5"/>
      <c r="DE968" s="5"/>
      <c r="DF968" s="5"/>
      <c r="DG968" s="5"/>
      <c r="DH968" s="5"/>
      <c r="DI968" s="5"/>
      <c r="DJ968" s="5"/>
      <c r="DK968" s="5"/>
      <c r="DL968" s="5"/>
      <c r="DM968" s="5"/>
      <c r="DN968" s="5"/>
      <c r="DO968" s="5"/>
      <c r="DP968" s="5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</row>
    <row r="969" s="504" customFormat="true" ht="12.75" hidden="true" customHeight="true" outlineLevel="0" collapsed="false">
      <c r="A969" s="5"/>
      <c r="B969" s="813" t="n">
        <f aca="false">B968+1</f>
        <v>754</v>
      </c>
      <c r="C969" s="814" t="n">
        <f aca="false">C968+D969</f>
        <v>104247.040724554</v>
      </c>
      <c r="D969" s="815" t="n">
        <f aca="false">E969*$E$205*M969</f>
        <v>198.195380910889</v>
      </c>
      <c r="E969" s="601" t="n">
        <f aca="false">E968+$C$204</f>
        <v>12.5694686016545</v>
      </c>
      <c r="F969" s="816" t="n">
        <f aca="false">F968+1</f>
        <v>754</v>
      </c>
      <c r="G969" s="775" t="n">
        <f aca="false">C969</f>
        <v>104247.040724554</v>
      </c>
      <c r="H969" s="817" t="n">
        <f aca="false">1000*(E969-E968)</f>
        <v>9.99999999999979</v>
      </c>
      <c r="I969" s="5"/>
      <c r="J969" s="818" t="n">
        <f aca="false">1000*(E969-$E$215)/(B969-$B$215)</f>
        <v>12.0873605153471</v>
      </c>
      <c r="K969" s="732" t="n">
        <f aca="false">AVERAGE($E$216:E969)</f>
        <v>8.79438902605779</v>
      </c>
      <c r="L969" s="819" t="n">
        <f aca="false">L968+1</f>
        <v>754</v>
      </c>
      <c r="M969" s="820" t="n">
        <f aca="false">IF(B969&lt;$E$104,$E$105,$E$106)</f>
        <v>3</v>
      </c>
      <c r="N969" s="821" t="n">
        <f aca="false">IF(B969&lt;$E$104,$E$105,$E$111)</f>
        <v>2.5</v>
      </c>
      <c r="O969" s="822" t="n">
        <f aca="false">E969*$E$205*N969</f>
        <v>165.162817425741</v>
      </c>
      <c r="P969" s="823" t="n">
        <f aca="false">P968+O969</f>
        <v>86924.2145375044</v>
      </c>
      <c r="Q969" s="606" t="n">
        <f aca="false">Q968+1</f>
        <v>754</v>
      </c>
      <c r="R969" s="824" t="n">
        <f aca="false">R968-1</f>
        <v>-754</v>
      </c>
      <c r="S969" s="5"/>
      <c r="T969" s="5"/>
      <c r="U969" s="5"/>
      <c r="V969" s="10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02"/>
      <c r="AU969" s="502"/>
      <c r="AV969" s="606"/>
      <c r="AW969" s="502"/>
      <c r="AX969" s="502"/>
      <c r="AY969" s="502"/>
      <c r="AZ969" s="502"/>
      <c r="BA969" s="502"/>
      <c r="BB969" s="502"/>
      <c r="BC969" s="502"/>
      <c r="BD969" s="502"/>
      <c r="BE969" s="502"/>
      <c r="BF969" s="502"/>
      <c r="BG969" s="502"/>
      <c r="BH969" s="502"/>
      <c r="BI969" s="502"/>
      <c r="BJ969" s="502"/>
      <c r="BK969" s="502"/>
      <c r="BL969" s="502"/>
      <c r="BM969" s="502"/>
      <c r="BN969" s="502"/>
      <c r="BO969" s="502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  <c r="DA969" s="5"/>
      <c r="DB969" s="5"/>
      <c r="DC969" s="5"/>
      <c r="DD969" s="5"/>
      <c r="DE969" s="5"/>
      <c r="DF969" s="5"/>
      <c r="DG969" s="5"/>
      <c r="DH969" s="5"/>
      <c r="DI969" s="5"/>
      <c r="DJ969" s="5"/>
      <c r="DK969" s="5"/>
      <c r="DL969" s="5"/>
      <c r="DM969" s="5"/>
      <c r="DN969" s="5"/>
      <c r="DO969" s="5"/>
      <c r="DP969" s="5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</row>
    <row r="970" s="504" customFormat="true" ht="12.75" hidden="true" customHeight="true" outlineLevel="0" collapsed="false">
      <c r="A970" s="5"/>
      <c r="B970" s="813" t="n">
        <f aca="false">B969+1</f>
        <v>755</v>
      </c>
      <c r="C970" s="814" t="n">
        <f aca="false">C969+D970</f>
        <v>104445.393785465</v>
      </c>
      <c r="D970" s="815" t="n">
        <f aca="false">E970*$E$205*M970</f>
        <v>198.353060910889</v>
      </c>
      <c r="E970" s="601" t="n">
        <f aca="false">E969+$C$204</f>
        <v>12.5794686016545</v>
      </c>
      <c r="F970" s="816" t="n">
        <f aca="false">F969+1</f>
        <v>755</v>
      </c>
      <c r="G970" s="775" t="n">
        <f aca="false">C970</f>
        <v>104445.393785465</v>
      </c>
      <c r="H970" s="817" t="n">
        <f aca="false">1000*(E970-E969)</f>
        <v>9.99999999999979</v>
      </c>
      <c r="I970" s="5"/>
      <c r="J970" s="818" t="n">
        <f aca="false">1000*(E970-$E$215)/(B970-$B$215)</f>
        <v>12.0845957994327</v>
      </c>
      <c r="K970" s="732" t="n">
        <f aca="false">AVERAGE($E$216:E970)</f>
        <v>8.79940237648905</v>
      </c>
      <c r="L970" s="819" t="n">
        <f aca="false">L969+1</f>
        <v>755</v>
      </c>
      <c r="M970" s="820" t="n">
        <f aca="false">IF(B970&lt;$E$104,$E$105,$E$106)</f>
        <v>3</v>
      </c>
      <c r="N970" s="821" t="n">
        <f aca="false">IF(B970&lt;$E$104,$E$105,$E$111)</f>
        <v>2.5</v>
      </c>
      <c r="O970" s="822" t="n">
        <f aca="false">E970*$E$205*N970</f>
        <v>165.294217425741</v>
      </c>
      <c r="P970" s="823" t="n">
        <f aca="false">P969+O970</f>
        <v>87089.5087549302</v>
      </c>
      <c r="Q970" s="606" t="n">
        <f aca="false">Q969+1</f>
        <v>755</v>
      </c>
      <c r="R970" s="824" t="n">
        <f aca="false">R969-1</f>
        <v>-755</v>
      </c>
      <c r="S970" s="5"/>
      <c r="T970" s="5"/>
      <c r="U970" s="5"/>
      <c r="V970" s="10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02"/>
      <c r="AU970" s="502"/>
      <c r="AV970" s="606"/>
      <c r="AW970" s="502"/>
      <c r="AX970" s="502"/>
      <c r="AY970" s="502"/>
      <c r="AZ970" s="502"/>
      <c r="BA970" s="502"/>
      <c r="BB970" s="502"/>
      <c r="BC970" s="502"/>
      <c r="BD970" s="502"/>
      <c r="BE970" s="502"/>
      <c r="BF970" s="502"/>
      <c r="BG970" s="502"/>
      <c r="BH970" s="502"/>
      <c r="BI970" s="502"/>
      <c r="BJ970" s="502"/>
      <c r="BK970" s="502"/>
      <c r="BL970" s="502"/>
      <c r="BM970" s="502"/>
      <c r="BN970" s="502"/>
      <c r="BO970" s="502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  <c r="DE970" s="5"/>
      <c r="DF970" s="5"/>
      <c r="DG970" s="5"/>
      <c r="DH970" s="5"/>
      <c r="DI970" s="5"/>
      <c r="DJ970" s="5"/>
      <c r="DK970" s="5"/>
      <c r="DL970" s="5"/>
      <c r="DM970" s="5"/>
      <c r="DN970" s="5"/>
      <c r="DO970" s="5"/>
      <c r="DP970" s="5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</row>
    <row r="971" s="504" customFormat="true" ht="12.75" hidden="true" customHeight="true" outlineLevel="0" collapsed="false">
      <c r="A971" s="5"/>
      <c r="B971" s="813" t="n">
        <f aca="false">B970+1</f>
        <v>756</v>
      </c>
      <c r="C971" s="814" t="n">
        <f aca="false">C970+D971</f>
        <v>104643.904526376</v>
      </c>
      <c r="D971" s="815" t="n">
        <f aca="false">E971*$E$205*M971</f>
        <v>198.510740910889</v>
      </c>
      <c r="E971" s="601" t="n">
        <f aca="false">E970+$C$204</f>
        <v>12.5894686016545</v>
      </c>
      <c r="F971" s="816" t="n">
        <f aca="false">F970+1</f>
        <v>756</v>
      </c>
      <c r="G971" s="775" t="n">
        <f aca="false">C971</f>
        <v>104643.904526376</v>
      </c>
      <c r="H971" s="817" t="n">
        <f aca="false">1000*(E971-E970)</f>
        <v>9.99999999999979</v>
      </c>
      <c r="I971" s="5"/>
      <c r="J971" s="818" t="n">
        <f aca="false">1000*(E971-$E$215)/(B971-$B$215)</f>
        <v>12.0818383975816</v>
      </c>
      <c r="K971" s="732" t="n">
        <f aca="false">AVERAGE($E$216:E971)</f>
        <v>8.8044156916017</v>
      </c>
      <c r="L971" s="819" t="n">
        <f aca="false">L970+1</f>
        <v>756</v>
      </c>
      <c r="M971" s="820" t="n">
        <f aca="false">IF(B971&lt;$E$104,$E$105,$E$106)</f>
        <v>3</v>
      </c>
      <c r="N971" s="821" t="n">
        <f aca="false">IF(B971&lt;$E$104,$E$105,$E$111)</f>
        <v>2.5</v>
      </c>
      <c r="O971" s="822" t="n">
        <f aca="false">E971*$E$205*N971</f>
        <v>165.425617425741</v>
      </c>
      <c r="P971" s="823" t="n">
        <f aca="false">P970+O971</f>
        <v>87254.9343723559</v>
      </c>
      <c r="Q971" s="606" t="n">
        <f aca="false">Q970+1</f>
        <v>756</v>
      </c>
      <c r="R971" s="824" t="n">
        <f aca="false">R970-1</f>
        <v>-756</v>
      </c>
      <c r="S971" s="5"/>
      <c r="T971" s="5"/>
      <c r="U971" s="5"/>
      <c r="V971" s="10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02"/>
      <c r="AU971" s="502"/>
      <c r="AV971" s="606"/>
      <c r="AW971" s="502"/>
      <c r="AX971" s="502"/>
      <c r="AY971" s="502"/>
      <c r="AZ971" s="502"/>
      <c r="BA971" s="502"/>
      <c r="BB971" s="502"/>
      <c r="BC971" s="502"/>
      <c r="BD971" s="502"/>
      <c r="BE971" s="502"/>
      <c r="BF971" s="502"/>
      <c r="BG971" s="502"/>
      <c r="BH971" s="502"/>
      <c r="BI971" s="502"/>
      <c r="BJ971" s="502"/>
      <c r="BK971" s="502"/>
      <c r="BL971" s="502"/>
      <c r="BM971" s="502"/>
      <c r="BN971" s="502"/>
      <c r="BO971" s="502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  <c r="DE971" s="5"/>
      <c r="DF971" s="5"/>
      <c r="DG971" s="5"/>
      <c r="DH971" s="5"/>
      <c r="DI971" s="5"/>
      <c r="DJ971" s="5"/>
      <c r="DK971" s="5"/>
      <c r="DL971" s="5"/>
      <c r="DM971" s="5"/>
      <c r="DN971" s="5"/>
      <c r="DO971" s="5"/>
      <c r="DP971" s="5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</row>
    <row r="972" s="504" customFormat="true" ht="12.75" hidden="true" customHeight="true" outlineLevel="0" collapsed="false">
      <c r="A972" s="5"/>
      <c r="B972" s="813" t="n">
        <f aca="false">B971+1</f>
        <v>757</v>
      </c>
      <c r="C972" s="814" t="n">
        <f aca="false">C971+D972</f>
        <v>104842.572947287</v>
      </c>
      <c r="D972" s="815" t="n">
        <f aca="false">E972*$E$205*M972</f>
        <v>198.668420910889</v>
      </c>
      <c r="E972" s="601" t="n">
        <f aca="false">E971+$C$204</f>
        <v>12.5994686016545</v>
      </c>
      <c r="F972" s="816" t="n">
        <f aca="false">F971+1</f>
        <v>757</v>
      </c>
      <c r="G972" s="775" t="n">
        <f aca="false">C972</f>
        <v>104842.572947287</v>
      </c>
      <c r="H972" s="817" t="n">
        <f aca="false">1000*(E972-E971)</f>
        <v>9.99999999999979</v>
      </c>
      <c r="I972" s="5"/>
      <c r="J972" s="818" t="n">
        <f aca="false">1000*(E972-$E$215)/(B972-$B$215)</f>
        <v>12.079088280808</v>
      </c>
      <c r="K972" s="732" t="n">
        <f aca="false">AVERAGE($E$216:E972)</f>
        <v>8.80942897153572</v>
      </c>
      <c r="L972" s="819" t="n">
        <f aca="false">L971+1</f>
        <v>757</v>
      </c>
      <c r="M972" s="820" t="n">
        <f aca="false">IF(B972&lt;$E$104,$E$105,$E$106)</f>
        <v>3</v>
      </c>
      <c r="N972" s="821" t="n">
        <f aca="false">IF(B972&lt;$E$104,$E$105,$E$111)</f>
        <v>2.5</v>
      </c>
      <c r="O972" s="822" t="n">
        <f aca="false">E972*$E$205*N972</f>
        <v>165.557017425741</v>
      </c>
      <c r="P972" s="823" t="n">
        <f aca="false">P971+O972</f>
        <v>87420.4913897816</v>
      </c>
      <c r="Q972" s="606" t="n">
        <f aca="false">Q971+1</f>
        <v>757</v>
      </c>
      <c r="R972" s="824" t="n">
        <f aca="false">R971-1</f>
        <v>-757</v>
      </c>
      <c r="S972" s="5"/>
      <c r="T972" s="5"/>
      <c r="U972" s="5"/>
      <c r="V972" s="10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02"/>
      <c r="AU972" s="502"/>
      <c r="AV972" s="606"/>
      <c r="AW972" s="502"/>
      <c r="AX972" s="502"/>
      <c r="AY972" s="502"/>
      <c r="AZ972" s="502"/>
      <c r="BA972" s="502"/>
      <c r="BB972" s="502"/>
      <c r="BC972" s="502"/>
      <c r="BD972" s="502"/>
      <c r="BE972" s="502"/>
      <c r="BF972" s="502"/>
      <c r="BG972" s="502"/>
      <c r="BH972" s="502"/>
      <c r="BI972" s="502"/>
      <c r="BJ972" s="502"/>
      <c r="BK972" s="502"/>
      <c r="BL972" s="502"/>
      <c r="BM972" s="502"/>
      <c r="BN972" s="502"/>
      <c r="BO972" s="502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  <c r="DE972" s="5"/>
      <c r="DF972" s="5"/>
      <c r="DG972" s="5"/>
      <c r="DH972" s="5"/>
      <c r="DI972" s="5"/>
      <c r="DJ972" s="5"/>
      <c r="DK972" s="5"/>
      <c r="DL972" s="5"/>
      <c r="DM972" s="5"/>
      <c r="DN972" s="5"/>
      <c r="DO972" s="5"/>
      <c r="DP972" s="5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</row>
    <row r="973" s="504" customFormat="true" ht="12.75" hidden="true" customHeight="true" outlineLevel="0" collapsed="false">
      <c r="A973" s="5"/>
      <c r="B973" s="813" t="n">
        <f aca="false">B972+1</f>
        <v>758</v>
      </c>
      <c r="C973" s="814" t="n">
        <f aca="false">C972+D973</f>
        <v>105041.399048197</v>
      </c>
      <c r="D973" s="815" t="n">
        <f aca="false">E973*$E$205*M973</f>
        <v>198.826100910889</v>
      </c>
      <c r="E973" s="601" t="n">
        <f aca="false">E972+$C$204</f>
        <v>12.6094686016545</v>
      </c>
      <c r="F973" s="816" t="n">
        <f aca="false">F972+1</f>
        <v>758</v>
      </c>
      <c r="G973" s="775" t="n">
        <f aca="false">C973</f>
        <v>105041.399048197</v>
      </c>
      <c r="H973" s="817" t="n">
        <f aca="false">1000*(E973-E972)</f>
        <v>9.99999999999979</v>
      </c>
      <c r="I973" s="5"/>
      <c r="J973" s="818" t="n">
        <f aca="false">1000*(E973-$E$215)/(B973-$B$215)</f>
        <v>12.0763454202793</v>
      </c>
      <c r="K973" s="732" t="n">
        <f aca="false">AVERAGE($E$216:E973)</f>
        <v>8.81444221643033</v>
      </c>
      <c r="L973" s="819" t="n">
        <f aca="false">L972+1</f>
        <v>758</v>
      </c>
      <c r="M973" s="820" t="n">
        <f aca="false">IF(B973&lt;$E$104,$E$105,$E$106)</f>
        <v>3</v>
      </c>
      <c r="N973" s="821" t="n">
        <f aca="false">IF(B973&lt;$E$104,$E$105,$E$111)</f>
        <v>2.5</v>
      </c>
      <c r="O973" s="822" t="n">
        <f aca="false">E973*$E$205*N973</f>
        <v>165.688417425741</v>
      </c>
      <c r="P973" s="823" t="n">
        <f aca="false">P972+O973</f>
        <v>87586.1798072074</v>
      </c>
      <c r="Q973" s="606" t="n">
        <f aca="false">Q972+1</f>
        <v>758</v>
      </c>
      <c r="R973" s="824" t="n">
        <f aca="false">R972-1</f>
        <v>-758</v>
      </c>
      <c r="S973" s="5"/>
      <c r="T973" s="5"/>
      <c r="U973" s="5"/>
      <c r="V973" s="10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02"/>
      <c r="AU973" s="502"/>
      <c r="AV973" s="606"/>
      <c r="AW973" s="502"/>
      <c r="AX973" s="502"/>
      <c r="AY973" s="502"/>
      <c r="AZ973" s="502"/>
      <c r="BA973" s="502"/>
      <c r="BB973" s="502"/>
      <c r="BC973" s="502"/>
      <c r="BD973" s="502"/>
      <c r="BE973" s="502"/>
      <c r="BF973" s="502"/>
      <c r="BG973" s="502"/>
      <c r="BH973" s="502"/>
      <c r="BI973" s="502"/>
      <c r="BJ973" s="502"/>
      <c r="BK973" s="502"/>
      <c r="BL973" s="502"/>
      <c r="BM973" s="502"/>
      <c r="BN973" s="502"/>
      <c r="BO973" s="502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  <c r="DE973" s="5"/>
      <c r="DF973" s="5"/>
      <c r="DG973" s="5"/>
      <c r="DH973" s="5"/>
      <c r="DI973" s="5"/>
      <c r="DJ973" s="5"/>
      <c r="DK973" s="5"/>
      <c r="DL973" s="5"/>
      <c r="DM973" s="5"/>
      <c r="DN973" s="5"/>
      <c r="DO973" s="5"/>
      <c r="DP973" s="5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</row>
    <row r="974" s="504" customFormat="true" ht="12.75" hidden="true" customHeight="true" outlineLevel="0" collapsed="false">
      <c r="A974" s="5"/>
      <c r="B974" s="813" t="n">
        <f aca="false">B973+1</f>
        <v>759</v>
      </c>
      <c r="C974" s="814" t="n">
        <f aca="false">C973+D974</f>
        <v>105240.382829108</v>
      </c>
      <c r="D974" s="815" t="n">
        <f aca="false">E974*$E$205*M974</f>
        <v>198.983780910889</v>
      </c>
      <c r="E974" s="601" t="n">
        <f aca="false">E973+$C$204</f>
        <v>12.6194686016545</v>
      </c>
      <c r="F974" s="816" t="n">
        <f aca="false">F973+1</f>
        <v>759</v>
      </c>
      <c r="G974" s="775" t="n">
        <f aca="false">C974</f>
        <v>105240.382829108</v>
      </c>
      <c r="H974" s="817" t="n">
        <f aca="false">1000*(E974-E973)</f>
        <v>9.99999999999979</v>
      </c>
      <c r="I974" s="5"/>
      <c r="J974" s="818" t="n">
        <f aca="false">1000*(E974-$E$215)/(B974-$B$215)</f>
        <v>12.0736097873145</v>
      </c>
      <c r="K974" s="732" t="n">
        <f aca="false">AVERAGE($E$216:E974)</f>
        <v>8.81945542642404</v>
      </c>
      <c r="L974" s="819" t="n">
        <f aca="false">L973+1</f>
        <v>759</v>
      </c>
      <c r="M974" s="820" t="n">
        <f aca="false">IF(B974&lt;$E$104,$E$105,$E$106)</f>
        <v>3</v>
      </c>
      <c r="N974" s="821" t="n">
        <f aca="false">IF(B974&lt;$E$104,$E$105,$E$111)</f>
        <v>2.5</v>
      </c>
      <c r="O974" s="822" t="n">
        <f aca="false">E974*$E$205*N974</f>
        <v>165.819817425741</v>
      </c>
      <c r="P974" s="823" t="n">
        <f aca="false">P973+O974</f>
        <v>87751.9996246331</v>
      </c>
      <c r="Q974" s="606" t="n">
        <f aca="false">Q973+1</f>
        <v>759</v>
      </c>
      <c r="R974" s="824" t="n">
        <f aca="false">R973-1</f>
        <v>-759</v>
      </c>
      <c r="S974" s="5"/>
      <c r="T974" s="5"/>
      <c r="U974" s="5"/>
      <c r="V974" s="10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02"/>
      <c r="AU974" s="502"/>
      <c r="AV974" s="606"/>
      <c r="AW974" s="502"/>
      <c r="AX974" s="502"/>
      <c r="AY974" s="502"/>
      <c r="AZ974" s="502"/>
      <c r="BA974" s="502"/>
      <c r="BB974" s="502"/>
      <c r="BC974" s="502"/>
      <c r="BD974" s="502"/>
      <c r="BE974" s="502"/>
      <c r="BF974" s="502"/>
      <c r="BG974" s="502"/>
      <c r="BH974" s="502"/>
      <c r="BI974" s="502"/>
      <c r="BJ974" s="502"/>
      <c r="BK974" s="502"/>
      <c r="BL974" s="502"/>
      <c r="BM974" s="502"/>
      <c r="BN974" s="502"/>
      <c r="BO974" s="502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  <c r="DE974" s="5"/>
      <c r="DF974" s="5"/>
      <c r="DG974" s="5"/>
      <c r="DH974" s="5"/>
      <c r="DI974" s="5"/>
      <c r="DJ974" s="5"/>
      <c r="DK974" s="5"/>
      <c r="DL974" s="5"/>
      <c r="DM974" s="5"/>
      <c r="DN974" s="5"/>
      <c r="DO974" s="5"/>
      <c r="DP974" s="5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</row>
    <row r="975" s="504" customFormat="true" ht="12.75" hidden="true" customHeight="true" outlineLevel="0" collapsed="false">
      <c r="A975" s="5"/>
      <c r="B975" s="813" t="n">
        <f aca="false">B974+1</f>
        <v>760</v>
      </c>
      <c r="C975" s="814" t="n">
        <f aca="false">C974+D975</f>
        <v>105439.524290019</v>
      </c>
      <c r="D975" s="815" t="n">
        <f aca="false">E975*$E$205*M975</f>
        <v>199.141460910889</v>
      </c>
      <c r="E975" s="601" t="n">
        <f aca="false">E974+$C$204</f>
        <v>12.6294686016545</v>
      </c>
      <c r="F975" s="816" t="n">
        <f aca="false">F974+1</f>
        <v>760</v>
      </c>
      <c r="G975" s="775" t="n">
        <f aca="false">C975</f>
        <v>105439.524290019</v>
      </c>
      <c r="H975" s="817" t="n">
        <f aca="false">1000*(E975-E974)</f>
        <v>9.99999999999979</v>
      </c>
      <c r="I975" s="5"/>
      <c r="J975" s="818" t="n">
        <f aca="false">1000*(E975-$E$215)/(B975-$B$215)</f>
        <v>12.0708813533838</v>
      </c>
      <c r="K975" s="732" t="n">
        <f aca="false">AVERAGE($E$216:E975)</f>
        <v>8.82446860165461</v>
      </c>
      <c r="L975" s="819" t="n">
        <f aca="false">L974+1</f>
        <v>760</v>
      </c>
      <c r="M975" s="820" t="n">
        <f aca="false">IF(B975&lt;$E$104,$E$105,$E$106)</f>
        <v>3</v>
      </c>
      <c r="N975" s="821" t="n">
        <f aca="false">IF(B975&lt;$E$104,$E$105,$E$111)</f>
        <v>2.5</v>
      </c>
      <c r="O975" s="822" t="n">
        <f aca="false">E975*$E$205*N975</f>
        <v>165.951217425741</v>
      </c>
      <c r="P975" s="823" t="n">
        <f aca="false">P974+O975</f>
        <v>87917.9508420589</v>
      </c>
      <c r="Q975" s="606" t="n">
        <f aca="false">Q974+1</f>
        <v>760</v>
      </c>
      <c r="R975" s="824" t="n">
        <f aca="false">R974-1</f>
        <v>-760</v>
      </c>
      <c r="S975" s="5"/>
      <c r="T975" s="5"/>
      <c r="U975" s="5"/>
      <c r="V975" s="10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02"/>
      <c r="AU975" s="502"/>
      <c r="AV975" s="606"/>
      <c r="AW975" s="502"/>
      <c r="AX975" s="502"/>
      <c r="AY975" s="502"/>
      <c r="AZ975" s="502"/>
      <c r="BA975" s="502"/>
      <c r="BB975" s="502"/>
      <c r="BC975" s="502"/>
      <c r="BD975" s="502"/>
      <c r="BE975" s="502"/>
      <c r="BF975" s="502"/>
      <c r="BG975" s="502"/>
      <c r="BH975" s="502"/>
      <c r="BI975" s="502"/>
      <c r="BJ975" s="502"/>
      <c r="BK975" s="502"/>
      <c r="BL975" s="502"/>
      <c r="BM975" s="502"/>
      <c r="BN975" s="502"/>
      <c r="BO975" s="502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  <c r="DA975" s="5"/>
      <c r="DB975" s="5"/>
      <c r="DC975" s="5"/>
      <c r="DD975" s="5"/>
      <c r="DE975" s="5"/>
      <c r="DF975" s="5"/>
      <c r="DG975" s="5"/>
      <c r="DH975" s="5"/>
      <c r="DI975" s="5"/>
      <c r="DJ975" s="5"/>
      <c r="DK975" s="5"/>
      <c r="DL975" s="5"/>
      <c r="DM975" s="5"/>
      <c r="DN975" s="5"/>
      <c r="DO975" s="5"/>
      <c r="DP975" s="5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</row>
    <row r="976" s="504" customFormat="true" ht="12.75" hidden="true" customHeight="true" outlineLevel="0" collapsed="false">
      <c r="A976" s="5"/>
      <c r="B976" s="813" t="n">
        <f aca="false">B975+1</f>
        <v>761</v>
      </c>
      <c r="C976" s="814" t="n">
        <f aca="false">C975+D976</f>
        <v>105638.82343093</v>
      </c>
      <c r="D976" s="815" t="n">
        <f aca="false">E976*$E$205*M976</f>
        <v>199.299140910889</v>
      </c>
      <c r="E976" s="601" t="n">
        <f aca="false">E975+$C$204</f>
        <v>12.6394686016545</v>
      </c>
      <c r="F976" s="816" t="n">
        <f aca="false">F975+1</f>
        <v>761</v>
      </c>
      <c r="G976" s="775" t="n">
        <f aca="false">C976</f>
        <v>105638.82343093</v>
      </c>
      <c r="H976" s="817" t="n">
        <f aca="false">1000*(E976-E975)</f>
        <v>9.99999999999979</v>
      </c>
      <c r="I976" s="5"/>
      <c r="J976" s="818" t="n">
        <f aca="false">1000*(E976-$E$215)/(B976-$B$215)</f>
        <v>12.0681600901073</v>
      </c>
      <c r="K976" s="732" t="n">
        <f aca="false">AVERAGE($E$216:E976)</f>
        <v>8.82948174225908</v>
      </c>
      <c r="L976" s="819" t="n">
        <f aca="false">L975+1</f>
        <v>761</v>
      </c>
      <c r="M976" s="820" t="n">
        <f aca="false">IF(B976&lt;$E$104,$E$105,$E$106)</f>
        <v>3</v>
      </c>
      <c r="N976" s="821" t="n">
        <f aca="false">IF(B976&lt;$E$104,$E$105,$E$111)</f>
        <v>2.5</v>
      </c>
      <c r="O976" s="822" t="n">
        <f aca="false">E976*$E$205*N976</f>
        <v>166.082617425741</v>
      </c>
      <c r="P976" s="823" t="n">
        <f aca="false">P975+O976</f>
        <v>88084.0334594846</v>
      </c>
      <c r="Q976" s="606" t="n">
        <f aca="false">Q975+1</f>
        <v>761</v>
      </c>
      <c r="R976" s="824" t="n">
        <f aca="false">R975-1</f>
        <v>-761</v>
      </c>
      <c r="S976" s="5"/>
      <c r="T976" s="5"/>
      <c r="U976" s="5"/>
      <c r="V976" s="10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02"/>
      <c r="AU976" s="502"/>
      <c r="AV976" s="606"/>
      <c r="AW976" s="502"/>
      <c r="AX976" s="502"/>
      <c r="AY976" s="502"/>
      <c r="AZ976" s="502"/>
      <c r="BA976" s="502"/>
      <c r="BB976" s="502"/>
      <c r="BC976" s="502"/>
      <c r="BD976" s="502"/>
      <c r="BE976" s="502"/>
      <c r="BF976" s="502"/>
      <c r="BG976" s="502"/>
      <c r="BH976" s="502"/>
      <c r="BI976" s="502"/>
      <c r="BJ976" s="502"/>
      <c r="BK976" s="502"/>
      <c r="BL976" s="502"/>
      <c r="BM976" s="502"/>
      <c r="BN976" s="502"/>
      <c r="BO976" s="502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  <c r="DE976" s="5"/>
      <c r="DF976" s="5"/>
      <c r="DG976" s="5"/>
      <c r="DH976" s="5"/>
      <c r="DI976" s="5"/>
      <c r="DJ976" s="5"/>
      <c r="DK976" s="5"/>
      <c r="DL976" s="5"/>
      <c r="DM976" s="5"/>
      <c r="DN976" s="5"/>
      <c r="DO976" s="5"/>
      <c r="DP976" s="5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</row>
    <row r="977" s="504" customFormat="true" ht="12.75" hidden="true" customHeight="true" outlineLevel="0" collapsed="false">
      <c r="A977" s="5"/>
      <c r="B977" s="813" t="n">
        <f aca="false">B976+1</f>
        <v>762</v>
      </c>
      <c r="C977" s="814" t="n">
        <f aca="false">C976+D977</f>
        <v>105838.280251841</v>
      </c>
      <c r="D977" s="815" t="n">
        <f aca="false">E977*$E$205*M977</f>
        <v>199.456820910889</v>
      </c>
      <c r="E977" s="601" t="n">
        <f aca="false">E976+$C$204</f>
        <v>12.6494686016545</v>
      </c>
      <c r="F977" s="816" t="n">
        <f aca="false">F976+1</f>
        <v>762</v>
      </c>
      <c r="G977" s="775" t="n">
        <f aca="false">C977</f>
        <v>105838.280251841</v>
      </c>
      <c r="H977" s="817" t="n">
        <f aca="false">1000*(E977-E976)</f>
        <v>9.99999999999979</v>
      </c>
      <c r="I977" s="5"/>
      <c r="J977" s="818" t="n">
        <f aca="false">1000*(E977-$E$215)/(B977-$B$215)</f>
        <v>12.0654459692542</v>
      </c>
      <c r="K977" s="732" t="n">
        <f aca="false">AVERAGE($E$216:E977)</f>
        <v>8.83449484837377</v>
      </c>
      <c r="L977" s="819" t="n">
        <f aca="false">L976+1</f>
        <v>762</v>
      </c>
      <c r="M977" s="820" t="n">
        <f aca="false">IF(B977&lt;$E$104,$E$105,$E$106)</f>
        <v>3</v>
      </c>
      <c r="N977" s="821" t="n">
        <f aca="false">IF(B977&lt;$E$104,$E$105,$E$111)</f>
        <v>2.5</v>
      </c>
      <c r="O977" s="822" t="n">
        <f aca="false">E977*$E$205*N977</f>
        <v>166.214017425741</v>
      </c>
      <c r="P977" s="823" t="n">
        <f aca="false">P976+O977</f>
        <v>88250.2474769103</v>
      </c>
      <c r="Q977" s="606" t="n">
        <f aca="false">Q976+1</f>
        <v>762</v>
      </c>
      <c r="R977" s="824" t="n">
        <f aca="false">R976-1</f>
        <v>-762</v>
      </c>
      <c r="S977" s="5"/>
      <c r="T977" s="5"/>
      <c r="U977" s="5"/>
      <c r="V977" s="10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02"/>
      <c r="AU977" s="502"/>
      <c r="AV977" s="606"/>
      <c r="AW977" s="502"/>
      <c r="AX977" s="502"/>
      <c r="AY977" s="502"/>
      <c r="AZ977" s="502"/>
      <c r="BA977" s="502"/>
      <c r="BB977" s="502"/>
      <c r="BC977" s="502"/>
      <c r="BD977" s="502"/>
      <c r="BE977" s="502"/>
      <c r="BF977" s="502"/>
      <c r="BG977" s="502"/>
      <c r="BH977" s="502"/>
      <c r="BI977" s="502"/>
      <c r="BJ977" s="502"/>
      <c r="BK977" s="502"/>
      <c r="BL977" s="502"/>
      <c r="BM977" s="502"/>
      <c r="BN977" s="502"/>
      <c r="BO977" s="502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  <c r="DA977" s="5"/>
      <c r="DB977" s="5"/>
      <c r="DC977" s="5"/>
      <c r="DD977" s="5"/>
      <c r="DE977" s="5"/>
      <c r="DF977" s="5"/>
      <c r="DG977" s="5"/>
      <c r="DH977" s="5"/>
      <c r="DI977" s="5"/>
      <c r="DJ977" s="5"/>
      <c r="DK977" s="5"/>
      <c r="DL977" s="5"/>
      <c r="DM977" s="5"/>
      <c r="DN977" s="5"/>
      <c r="DO977" s="5"/>
      <c r="DP977" s="5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</row>
    <row r="978" s="504" customFormat="true" ht="12.75" hidden="true" customHeight="true" outlineLevel="0" collapsed="false">
      <c r="A978" s="5"/>
      <c r="B978" s="813" t="n">
        <f aca="false">B977+1</f>
        <v>763</v>
      </c>
      <c r="C978" s="814" t="n">
        <f aca="false">C977+D978</f>
        <v>106037.894752752</v>
      </c>
      <c r="D978" s="815" t="n">
        <f aca="false">E978*$E$205*M978</f>
        <v>199.614500910889</v>
      </c>
      <c r="E978" s="601" t="n">
        <f aca="false">E977+$C$204</f>
        <v>12.6594686016545</v>
      </c>
      <c r="F978" s="816" t="n">
        <f aca="false">F977+1</f>
        <v>763</v>
      </c>
      <c r="G978" s="775" t="n">
        <f aca="false">C978</f>
        <v>106037.894752752</v>
      </c>
      <c r="H978" s="817" t="n">
        <f aca="false">1000*(E978-E977)</f>
        <v>9.99999999999979</v>
      </c>
      <c r="I978" s="5"/>
      <c r="J978" s="818" t="n">
        <f aca="false">1000*(E978-$E$215)/(B978-$B$215)</f>
        <v>12.0627389627414</v>
      </c>
      <c r="K978" s="732" t="n">
        <f aca="false">AVERAGE($E$216:E978)</f>
        <v>8.8395079201343</v>
      </c>
      <c r="L978" s="819" t="n">
        <f aca="false">L977+1</f>
        <v>763</v>
      </c>
      <c r="M978" s="820" t="n">
        <f aca="false">IF(B978&lt;$E$104,$E$105,$E$106)</f>
        <v>3</v>
      </c>
      <c r="N978" s="821" t="n">
        <f aca="false">IF(B978&lt;$E$104,$E$105,$E$111)</f>
        <v>2.5</v>
      </c>
      <c r="O978" s="822" t="n">
        <f aca="false">E978*$E$205*N978</f>
        <v>166.345417425741</v>
      </c>
      <c r="P978" s="823" t="n">
        <f aca="false">P977+O978</f>
        <v>88416.5928943361</v>
      </c>
      <c r="Q978" s="606" t="n">
        <f aca="false">Q977+1</f>
        <v>763</v>
      </c>
      <c r="R978" s="824" t="n">
        <f aca="false">R977-1</f>
        <v>-763</v>
      </c>
      <c r="S978" s="5"/>
      <c r="T978" s="5"/>
      <c r="U978" s="5"/>
      <c r="V978" s="10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02"/>
      <c r="AU978" s="502"/>
      <c r="AV978" s="606"/>
      <c r="AW978" s="502"/>
      <c r="AX978" s="502"/>
      <c r="AY978" s="502"/>
      <c r="AZ978" s="502"/>
      <c r="BA978" s="502"/>
      <c r="BB978" s="502"/>
      <c r="BC978" s="502"/>
      <c r="BD978" s="502"/>
      <c r="BE978" s="502"/>
      <c r="BF978" s="502"/>
      <c r="BG978" s="502"/>
      <c r="BH978" s="502"/>
      <c r="BI978" s="502"/>
      <c r="BJ978" s="502"/>
      <c r="BK978" s="502"/>
      <c r="BL978" s="502"/>
      <c r="BM978" s="502"/>
      <c r="BN978" s="502"/>
      <c r="BO978" s="502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  <c r="DE978" s="5"/>
      <c r="DF978" s="5"/>
      <c r="DG978" s="5"/>
      <c r="DH978" s="5"/>
      <c r="DI978" s="5"/>
      <c r="DJ978" s="5"/>
      <c r="DK978" s="5"/>
      <c r="DL978" s="5"/>
      <c r="DM978" s="5"/>
      <c r="DN978" s="5"/>
      <c r="DO978" s="5"/>
      <c r="DP978" s="5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</row>
    <row r="979" s="504" customFormat="true" ht="12.75" hidden="true" customHeight="true" outlineLevel="0" collapsed="false">
      <c r="A979" s="5"/>
      <c r="B979" s="813" t="n">
        <f aca="false">B978+1</f>
        <v>764</v>
      </c>
      <c r="C979" s="814" t="n">
        <f aca="false">C978+D979</f>
        <v>106237.666933663</v>
      </c>
      <c r="D979" s="815" t="n">
        <f aca="false">E979*$E$205*M979</f>
        <v>199.772180910889</v>
      </c>
      <c r="E979" s="601" t="n">
        <f aca="false">E978+$C$204</f>
        <v>12.6694686016545</v>
      </c>
      <c r="F979" s="816" t="n">
        <f aca="false">F978+1</f>
        <v>764</v>
      </c>
      <c r="G979" s="775" t="n">
        <f aca="false">C979</f>
        <v>106237.666933663</v>
      </c>
      <c r="H979" s="817" t="n">
        <f aca="false">1000*(E979-E978)</f>
        <v>9.99999999999979</v>
      </c>
      <c r="I979" s="5"/>
      <c r="J979" s="818" t="n">
        <f aca="false">1000*(E979-$E$215)/(B979-$B$215)</f>
        <v>12.0600390426331</v>
      </c>
      <c r="K979" s="732" t="n">
        <f aca="false">AVERAGE($E$216:E979)</f>
        <v>8.84452095767555</v>
      </c>
      <c r="L979" s="819" t="n">
        <f aca="false">L978+1</f>
        <v>764</v>
      </c>
      <c r="M979" s="820" t="n">
        <f aca="false">IF(B979&lt;$E$104,$E$105,$E$106)</f>
        <v>3</v>
      </c>
      <c r="N979" s="821" t="n">
        <f aca="false">IF(B979&lt;$E$104,$E$105,$E$111)</f>
        <v>2.5</v>
      </c>
      <c r="O979" s="822" t="n">
        <f aca="false">E979*$E$205*N979</f>
        <v>166.476817425741</v>
      </c>
      <c r="P979" s="823" t="n">
        <f aca="false">P978+O979</f>
        <v>88583.0697117618</v>
      </c>
      <c r="Q979" s="606" t="n">
        <f aca="false">Q978+1</f>
        <v>764</v>
      </c>
      <c r="R979" s="824" t="n">
        <f aca="false">R978-1</f>
        <v>-764</v>
      </c>
      <c r="S979" s="5"/>
      <c r="T979" s="5"/>
      <c r="U979" s="5"/>
      <c r="V979" s="10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02"/>
      <c r="AU979" s="502"/>
      <c r="AV979" s="606"/>
      <c r="AW979" s="502"/>
      <c r="AX979" s="502"/>
      <c r="AY979" s="502"/>
      <c r="AZ979" s="502"/>
      <c r="BA979" s="502"/>
      <c r="BB979" s="502"/>
      <c r="BC979" s="502"/>
      <c r="BD979" s="502"/>
      <c r="BE979" s="502"/>
      <c r="BF979" s="502"/>
      <c r="BG979" s="502"/>
      <c r="BH979" s="502"/>
      <c r="BI979" s="502"/>
      <c r="BJ979" s="502"/>
      <c r="BK979" s="502"/>
      <c r="BL979" s="502"/>
      <c r="BM979" s="502"/>
      <c r="BN979" s="502"/>
      <c r="BO979" s="502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  <c r="DA979" s="5"/>
      <c r="DB979" s="5"/>
      <c r="DC979" s="5"/>
      <c r="DD979" s="5"/>
      <c r="DE979" s="5"/>
      <c r="DF979" s="5"/>
      <c r="DG979" s="5"/>
      <c r="DH979" s="5"/>
      <c r="DI979" s="5"/>
      <c r="DJ979" s="5"/>
      <c r="DK979" s="5"/>
      <c r="DL979" s="5"/>
      <c r="DM979" s="5"/>
      <c r="DN979" s="5"/>
      <c r="DO979" s="5"/>
      <c r="DP979" s="5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</row>
    <row r="980" s="504" customFormat="true" ht="12.75" hidden="true" customHeight="true" outlineLevel="0" collapsed="false">
      <c r="A980" s="5"/>
      <c r="B980" s="813" t="n">
        <f aca="false">B979+1</f>
        <v>765</v>
      </c>
      <c r="C980" s="814" t="n">
        <f aca="false">C979+D980</f>
        <v>106437.596794574</v>
      </c>
      <c r="D980" s="815" t="n">
        <f aca="false">E980*$E$205*M980</f>
        <v>199.929860910889</v>
      </c>
      <c r="E980" s="601" t="n">
        <f aca="false">E979+$C$204</f>
        <v>12.6794686016545</v>
      </c>
      <c r="F980" s="816" t="n">
        <f aca="false">F979+1</f>
        <v>765</v>
      </c>
      <c r="G980" s="775" t="n">
        <f aca="false">C980</f>
        <v>106437.596794574</v>
      </c>
      <c r="H980" s="817" t="n">
        <f aca="false">1000*(E980-E979)</f>
        <v>9.99999999999979</v>
      </c>
      <c r="I980" s="5"/>
      <c r="J980" s="818" t="n">
        <f aca="false">1000*(E980-$E$215)/(B980-$B$215)</f>
        <v>12.0573461811395</v>
      </c>
      <c r="K980" s="732" t="n">
        <f aca="false">AVERAGE($E$216:E980)</f>
        <v>8.84953396113173</v>
      </c>
      <c r="L980" s="819" t="n">
        <f aca="false">L979+1</f>
        <v>765</v>
      </c>
      <c r="M980" s="820" t="n">
        <f aca="false">IF(B980&lt;$E$104,$E$105,$E$106)</f>
        <v>3</v>
      </c>
      <c r="N980" s="821" t="n">
        <f aca="false">IF(B980&lt;$E$104,$E$105,$E$111)</f>
        <v>2.5</v>
      </c>
      <c r="O980" s="822" t="n">
        <f aca="false">E980*$E$205*N980</f>
        <v>166.608217425741</v>
      </c>
      <c r="P980" s="823" t="n">
        <f aca="false">P979+O980</f>
        <v>88749.6779291875</v>
      </c>
      <c r="Q980" s="606" t="n">
        <f aca="false">Q979+1</f>
        <v>765</v>
      </c>
      <c r="R980" s="824" t="n">
        <f aca="false">R979-1</f>
        <v>-765</v>
      </c>
      <c r="S980" s="5"/>
      <c r="T980" s="5"/>
      <c r="U980" s="5"/>
      <c r="V980" s="10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02"/>
      <c r="AU980" s="502"/>
      <c r="AV980" s="606"/>
      <c r="AW980" s="502"/>
      <c r="AX980" s="502"/>
      <c r="AY980" s="502"/>
      <c r="AZ980" s="502"/>
      <c r="BA980" s="502"/>
      <c r="BB980" s="502"/>
      <c r="BC980" s="502"/>
      <c r="BD980" s="502"/>
      <c r="BE980" s="502"/>
      <c r="BF980" s="502"/>
      <c r="BG980" s="502"/>
      <c r="BH980" s="502"/>
      <c r="BI980" s="502"/>
      <c r="BJ980" s="502"/>
      <c r="BK980" s="502"/>
      <c r="BL980" s="502"/>
      <c r="BM980" s="502"/>
      <c r="BN980" s="502"/>
      <c r="BO980" s="502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  <c r="DE980" s="5"/>
      <c r="DF980" s="5"/>
      <c r="DG980" s="5"/>
      <c r="DH980" s="5"/>
      <c r="DI980" s="5"/>
      <c r="DJ980" s="5"/>
      <c r="DK980" s="5"/>
      <c r="DL980" s="5"/>
      <c r="DM980" s="5"/>
      <c r="DN980" s="5"/>
      <c r="DO980" s="5"/>
      <c r="DP980" s="5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</row>
    <row r="981" s="504" customFormat="true" ht="12.75" hidden="true" customHeight="true" outlineLevel="0" collapsed="false">
      <c r="A981" s="5"/>
      <c r="B981" s="813" t="n">
        <f aca="false">B980+1</f>
        <v>766</v>
      </c>
      <c r="C981" s="814" t="n">
        <f aca="false">C980+D981</f>
        <v>106637.684335484</v>
      </c>
      <c r="D981" s="815" t="n">
        <f aca="false">E981*$E$205*M981</f>
        <v>200.087540910889</v>
      </c>
      <c r="E981" s="601" t="n">
        <f aca="false">E980+$C$204</f>
        <v>12.6894686016545</v>
      </c>
      <c r="F981" s="816" t="n">
        <f aca="false">F980+1</f>
        <v>766</v>
      </c>
      <c r="G981" s="775" t="n">
        <f aca="false">C981</f>
        <v>106637.684335484</v>
      </c>
      <c r="H981" s="817" t="n">
        <f aca="false">1000*(E981-E980)</f>
        <v>9.99999999999979</v>
      </c>
      <c r="I981" s="5"/>
      <c r="J981" s="818" t="n">
        <f aca="false">1000*(E981-$E$215)/(B981-$B$215)</f>
        <v>12.0546603506158</v>
      </c>
      <c r="K981" s="732" t="n">
        <f aca="false">AVERAGE($E$216:E981)</f>
        <v>8.85454693063633</v>
      </c>
      <c r="L981" s="819" t="n">
        <f aca="false">L980+1</f>
        <v>766</v>
      </c>
      <c r="M981" s="820" t="n">
        <f aca="false">IF(B981&lt;$E$104,$E$105,$E$106)</f>
        <v>3</v>
      </c>
      <c r="N981" s="821" t="n">
        <f aca="false">IF(B981&lt;$E$104,$E$105,$E$111)</f>
        <v>2.5</v>
      </c>
      <c r="O981" s="822" t="n">
        <f aca="false">E981*$E$205*N981</f>
        <v>166.739617425741</v>
      </c>
      <c r="P981" s="823" t="n">
        <f aca="false">P980+O981</f>
        <v>88916.4175466133</v>
      </c>
      <c r="Q981" s="606" t="n">
        <f aca="false">Q980+1</f>
        <v>766</v>
      </c>
      <c r="R981" s="824" t="n">
        <f aca="false">R980-1</f>
        <v>-766</v>
      </c>
      <c r="S981" s="5"/>
      <c r="T981" s="5"/>
      <c r="U981" s="5"/>
      <c r="V981" s="10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02"/>
      <c r="AU981" s="502"/>
      <c r="AV981" s="606"/>
      <c r="AW981" s="502"/>
      <c r="AX981" s="502"/>
      <c r="AY981" s="502"/>
      <c r="AZ981" s="502"/>
      <c r="BA981" s="502"/>
      <c r="BB981" s="502"/>
      <c r="BC981" s="502"/>
      <c r="BD981" s="502"/>
      <c r="BE981" s="502"/>
      <c r="BF981" s="502"/>
      <c r="BG981" s="502"/>
      <c r="BH981" s="502"/>
      <c r="BI981" s="502"/>
      <c r="BJ981" s="502"/>
      <c r="BK981" s="502"/>
      <c r="BL981" s="502"/>
      <c r="BM981" s="502"/>
      <c r="BN981" s="502"/>
      <c r="BO981" s="502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  <c r="DE981" s="5"/>
      <c r="DF981" s="5"/>
      <c r="DG981" s="5"/>
      <c r="DH981" s="5"/>
      <c r="DI981" s="5"/>
      <c r="DJ981" s="5"/>
      <c r="DK981" s="5"/>
      <c r="DL981" s="5"/>
      <c r="DM981" s="5"/>
      <c r="DN981" s="5"/>
      <c r="DO981" s="5"/>
      <c r="DP981" s="5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</row>
    <row r="982" s="504" customFormat="true" ht="12.75" hidden="true" customHeight="true" outlineLevel="0" collapsed="false">
      <c r="A982" s="5"/>
      <c r="B982" s="813" t="n">
        <f aca="false">B981+1</f>
        <v>767</v>
      </c>
      <c r="C982" s="814" t="n">
        <f aca="false">C981+D982</f>
        <v>106837.929556395</v>
      </c>
      <c r="D982" s="815" t="n">
        <f aca="false">E982*$E$205*M982</f>
        <v>200.245220910889</v>
      </c>
      <c r="E982" s="601" t="n">
        <f aca="false">E981+$C$204</f>
        <v>12.6994686016545</v>
      </c>
      <c r="F982" s="816" t="n">
        <f aca="false">F981+1</f>
        <v>767</v>
      </c>
      <c r="G982" s="775" t="n">
        <f aca="false">C982</f>
        <v>106837.929556395</v>
      </c>
      <c r="H982" s="817" t="n">
        <f aca="false">1000*(E982-E981)</f>
        <v>9.99999999999979</v>
      </c>
      <c r="I982" s="5"/>
      <c r="J982" s="818" t="n">
        <f aca="false">1000*(E982-$E$215)/(B982-$B$215)</f>
        <v>12.0519815235615</v>
      </c>
      <c r="K982" s="732" t="n">
        <f aca="false">AVERAGE($E$216:E982)</f>
        <v>8.85955986632215</v>
      </c>
      <c r="L982" s="819" t="n">
        <f aca="false">L981+1</f>
        <v>767</v>
      </c>
      <c r="M982" s="820" t="n">
        <f aca="false">IF(B982&lt;$E$104,$E$105,$E$106)</f>
        <v>3</v>
      </c>
      <c r="N982" s="821" t="n">
        <f aca="false">IF(B982&lt;$E$104,$E$105,$E$111)</f>
        <v>2.5</v>
      </c>
      <c r="O982" s="822" t="n">
        <f aca="false">E982*$E$205*N982</f>
        <v>166.871017425741</v>
      </c>
      <c r="P982" s="823" t="n">
        <f aca="false">P981+O982</f>
        <v>89083.288564039</v>
      </c>
      <c r="Q982" s="606" t="n">
        <f aca="false">Q981+1</f>
        <v>767</v>
      </c>
      <c r="R982" s="824" t="n">
        <f aca="false">R981-1</f>
        <v>-767</v>
      </c>
      <c r="S982" s="5"/>
      <c r="T982" s="5"/>
      <c r="U982" s="5"/>
      <c r="V982" s="10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02"/>
      <c r="AU982" s="502"/>
      <c r="AV982" s="606"/>
      <c r="AW982" s="502"/>
      <c r="AX982" s="502"/>
      <c r="AY982" s="502"/>
      <c r="AZ982" s="502"/>
      <c r="BA982" s="502"/>
      <c r="BB982" s="502"/>
      <c r="BC982" s="502"/>
      <c r="BD982" s="502"/>
      <c r="BE982" s="502"/>
      <c r="BF982" s="502"/>
      <c r="BG982" s="502"/>
      <c r="BH982" s="502"/>
      <c r="BI982" s="502"/>
      <c r="BJ982" s="502"/>
      <c r="BK982" s="502"/>
      <c r="BL982" s="502"/>
      <c r="BM982" s="502"/>
      <c r="BN982" s="502"/>
      <c r="BO982" s="502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  <c r="DA982" s="5"/>
      <c r="DB982" s="5"/>
      <c r="DC982" s="5"/>
      <c r="DD982" s="5"/>
      <c r="DE982" s="5"/>
      <c r="DF982" s="5"/>
      <c r="DG982" s="5"/>
      <c r="DH982" s="5"/>
      <c r="DI982" s="5"/>
      <c r="DJ982" s="5"/>
      <c r="DK982" s="5"/>
      <c r="DL982" s="5"/>
      <c r="DM982" s="5"/>
      <c r="DN982" s="5"/>
      <c r="DO982" s="5"/>
      <c r="DP982" s="5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</row>
    <row r="983" s="504" customFormat="true" ht="12.75" hidden="true" customHeight="true" outlineLevel="0" collapsed="false">
      <c r="A983" s="5"/>
      <c r="B983" s="813" t="n">
        <f aca="false">B982+1</f>
        <v>768</v>
      </c>
      <c r="C983" s="814" t="n">
        <f aca="false">C982+D983</f>
        <v>107038.332457306</v>
      </c>
      <c r="D983" s="815" t="n">
        <f aca="false">E983*$E$205*M983</f>
        <v>200.402900910889</v>
      </c>
      <c r="E983" s="601" t="n">
        <f aca="false">E982+$C$204</f>
        <v>12.7094686016545</v>
      </c>
      <c r="F983" s="816" t="n">
        <f aca="false">F982+1</f>
        <v>768</v>
      </c>
      <c r="G983" s="775" t="n">
        <f aca="false">C983</f>
        <v>107038.332457306</v>
      </c>
      <c r="H983" s="817" t="n">
        <f aca="false">1000*(E983-E982)</f>
        <v>9.99999999999979</v>
      </c>
      <c r="I983" s="5"/>
      <c r="J983" s="818" t="n">
        <f aca="false">1000*(E983-$E$215)/(B983-$B$215)</f>
        <v>12.0493096726194</v>
      </c>
      <c r="K983" s="732" t="n">
        <f aca="false">AVERAGE($E$216:E983)</f>
        <v>8.86457276832128</v>
      </c>
      <c r="L983" s="819" t="n">
        <f aca="false">L982+1</f>
        <v>768</v>
      </c>
      <c r="M983" s="820" t="n">
        <f aca="false">IF(B983&lt;$E$104,$E$105,$E$106)</f>
        <v>3</v>
      </c>
      <c r="N983" s="821" t="n">
        <f aca="false">IF(B983&lt;$E$104,$E$105,$E$111)</f>
        <v>2.5</v>
      </c>
      <c r="O983" s="822" t="n">
        <f aca="false">E983*$E$205*N983</f>
        <v>167.00241742574</v>
      </c>
      <c r="P983" s="823" t="n">
        <f aca="false">P982+O983</f>
        <v>89250.2909814648</v>
      </c>
      <c r="Q983" s="606" t="n">
        <f aca="false">Q982+1</f>
        <v>768</v>
      </c>
      <c r="R983" s="824" t="n">
        <f aca="false">R982-1</f>
        <v>-768</v>
      </c>
      <c r="S983" s="5"/>
      <c r="T983" s="5"/>
      <c r="U983" s="5"/>
      <c r="V983" s="10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02"/>
      <c r="AU983" s="502"/>
      <c r="AV983" s="606"/>
      <c r="AW983" s="502"/>
      <c r="AX983" s="502"/>
      <c r="AY983" s="502"/>
      <c r="AZ983" s="502"/>
      <c r="BA983" s="502"/>
      <c r="BB983" s="502"/>
      <c r="BC983" s="502"/>
      <c r="BD983" s="502"/>
      <c r="BE983" s="502"/>
      <c r="BF983" s="502"/>
      <c r="BG983" s="502"/>
      <c r="BH983" s="502"/>
      <c r="BI983" s="502"/>
      <c r="BJ983" s="502"/>
      <c r="BK983" s="502"/>
      <c r="BL983" s="502"/>
      <c r="BM983" s="502"/>
      <c r="BN983" s="502"/>
      <c r="BO983" s="502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  <c r="DE983" s="5"/>
      <c r="DF983" s="5"/>
      <c r="DG983" s="5"/>
      <c r="DH983" s="5"/>
      <c r="DI983" s="5"/>
      <c r="DJ983" s="5"/>
      <c r="DK983" s="5"/>
      <c r="DL983" s="5"/>
      <c r="DM983" s="5"/>
      <c r="DN983" s="5"/>
      <c r="DO983" s="5"/>
      <c r="DP983" s="5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</row>
    <row r="984" s="504" customFormat="true" ht="12.75" hidden="true" customHeight="true" outlineLevel="0" collapsed="false">
      <c r="A984" s="5"/>
      <c r="B984" s="813" t="n">
        <f aca="false">B983+1</f>
        <v>769</v>
      </c>
      <c r="C984" s="814" t="n">
        <f aca="false">C983+D984</f>
        <v>107238.893038217</v>
      </c>
      <c r="D984" s="815" t="n">
        <f aca="false">E984*$E$205*M984</f>
        <v>200.560580910889</v>
      </c>
      <c r="E984" s="601" t="n">
        <f aca="false">E983+$C$204</f>
        <v>12.7194686016545</v>
      </c>
      <c r="F984" s="816" t="n">
        <f aca="false">F983+1</f>
        <v>769</v>
      </c>
      <c r="G984" s="775" t="n">
        <f aca="false">C984</f>
        <v>107238.893038217</v>
      </c>
      <c r="H984" s="817" t="n">
        <f aca="false">1000*(E984-E983)</f>
        <v>9.99999999999979</v>
      </c>
      <c r="I984" s="5"/>
      <c r="J984" s="818" t="n">
        <f aca="false">1000*(E984-$E$215)/(B984-$B$215)</f>
        <v>12.0466447705744</v>
      </c>
      <c r="K984" s="732" t="n">
        <f aca="false">AVERAGE($E$216:E984)</f>
        <v>8.86958563676514</v>
      </c>
      <c r="L984" s="819" t="n">
        <f aca="false">L983+1</f>
        <v>769</v>
      </c>
      <c r="M984" s="820" t="n">
        <f aca="false">IF(B984&lt;$E$104,$E$105,$E$106)</f>
        <v>3</v>
      </c>
      <c r="N984" s="821" t="n">
        <f aca="false">IF(B984&lt;$E$104,$E$105,$E$111)</f>
        <v>2.5</v>
      </c>
      <c r="O984" s="822" t="n">
        <f aca="false">E984*$E$205*N984</f>
        <v>167.13381742574</v>
      </c>
      <c r="P984" s="823" t="n">
        <f aca="false">P983+O984</f>
        <v>89417.4247988905</v>
      </c>
      <c r="Q984" s="606" t="n">
        <f aca="false">Q983+1</f>
        <v>769</v>
      </c>
      <c r="R984" s="824" t="n">
        <f aca="false">R983-1</f>
        <v>-769</v>
      </c>
      <c r="S984" s="5"/>
      <c r="T984" s="5"/>
      <c r="U984" s="5"/>
      <c r="V984" s="10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02"/>
      <c r="AU984" s="502"/>
      <c r="AV984" s="606"/>
      <c r="AW984" s="502"/>
      <c r="AX984" s="502"/>
      <c r="AY984" s="502"/>
      <c r="AZ984" s="502"/>
      <c r="BA984" s="502"/>
      <c r="BB984" s="502"/>
      <c r="BC984" s="502"/>
      <c r="BD984" s="502"/>
      <c r="BE984" s="502"/>
      <c r="BF984" s="502"/>
      <c r="BG984" s="502"/>
      <c r="BH984" s="502"/>
      <c r="BI984" s="502"/>
      <c r="BJ984" s="502"/>
      <c r="BK984" s="502"/>
      <c r="BL984" s="502"/>
      <c r="BM984" s="502"/>
      <c r="BN984" s="502"/>
      <c r="BO984" s="502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  <c r="DA984" s="5"/>
      <c r="DB984" s="5"/>
      <c r="DC984" s="5"/>
      <c r="DD984" s="5"/>
      <c r="DE984" s="5"/>
      <c r="DF984" s="5"/>
      <c r="DG984" s="5"/>
      <c r="DH984" s="5"/>
      <c r="DI984" s="5"/>
      <c r="DJ984" s="5"/>
      <c r="DK984" s="5"/>
      <c r="DL984" s="5"/>
      <c r="DM984" s="5"/>
      <c r="DN984" s="5"/>
      <c r="DO984" s="5"/>
      <c r="DP984" s="5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</row>
    <row r="985" s="504" customFormat="true" ht="12.75" hidden="true" customHeight="true" outlineLevel="0" collapsed="false">
      <c r="A985" s="5"/>
      <c r="B985" s="813" t="n">
        <f aca="false">B984+1</f>
        <v>770</v>
      </c>
      <c r="C985" s="814" t="n">
        <f aca="false">C984+D985</f>
        <v>107439.611299128</v>
      </c>
      <c r="D985" s="815" t="n">
        <f aca="false">E985*$E$205*M985</f>
        <v>200.718260910889</v>
      </c>
      <c r="E985" s="601" t="n">
        <f aca="false">E984+$C$204</f>
        <v>12.7294686016545</v>
      </c>
      <c r="F985" s="816" t="n">
        <f aca="false">F984+1</f>
        <v>770</v>
      </c>
      <c r="G985" s="775" t="n">
        <f aca="false">C985</f>
        <v>107439.611299128</v>
      </c>
      <c r="H985" s="817" t="n">
        <f aca="false">1000*(E985-E984)</f>
        <v>9.99999999999979</v>
      </c>
      <c r="I985" s="5"/>
      <c r="J985" s="818" t="n">
        <f aca="false">1000*(E985-$E$215)/(B985-$B$215)</f>
        <v>12.0439867903528</v>
      </c>
      <c r="K985" s="732" t="n">
        <f aca="false">AVERAGE($E$216:E985)</f>
        <v>8.87459847178448</v>
      </c>
      <c r="L985" s="819" t="n">
        <f aca="false">L984+1</f>
        <v>770</v>
      </c>
      <c r="M985" s="820" t="n">
        <f aca="false">IF(B985&lt;$E$104,$E$105,$E$106)</f>
        <v>3</v>
      </c>
      <c r="N985" s="821" t="n">
        <f aca="false">IF(B985&lt;$E$104,$E$105,$E$111)</f>
        <v>2.5</v>
      </c>
      <c r="O985" s="822" t="n">
        <f aca="false">E985*$E$205*N985</f>
        <v>167.26521742574</v>
      </c>
      <c r="P985" s="823" t="n">
        <f aca="false">P984+O985</f>
        <v>89584.6900163163</v>
      </c>
      <c r="Q985" s="606" t="n">
        <f aca="false">Q984+1</f>
        <v>770</v>
      </c>
      <c r="R985" s="824" t="n">
        <f aca="false">R984-1</f>
        <v>-770</v>
      </c>
      <c r="S985" s="5"/>
      <c r="T985" s="5"/>
      <c r="U985" s="5"/>
      <c r="V985" s="10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02"/>
      <c r="AU985" s="502"/>
      <c r="AV985" s="606"/>
      <c r="AW985" s="502"/>
      <c r="AX985" s="502"/>
      <c r="AY985" s="502"/>
      <c r="AZ985" s="502"/>
      <c r="BA985" s="502"/>
      <c r="BB985" s="502"/>
      <c r="BC985" s="502"/>
      <c r="BD985" s="502"/>
      <c r="BE985" s="502"/>
      <c r="BF985" s="502"/>
      <c r="BG985" s="502"/>
      <c r="BH985" s="502"/>
      <c r="BI985" s="502"/>
      <c r="BJ985" s="502"/>
      <c r="BK985" s="502"/>
      <c r="BL985" s="502"/>
      <c r="BM985" s="502"/>
      <c r="BN985" s="502"/>
      <c r="BO985" s="502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  <c r="DA985" s="5"/>
      <c r="DB985" s="5"/>
      <c r="DC985" s="5"/>
      <c r="DD985" s="5"/>
      <c r="DE985" s="5"/>
      <c r="DF985" s="5"/>
      <c r="DG985" s="5"/>
      <c r="DH985" s="5"/>
      <c r="DI985" s="5"/>
      <c r="DJ985" s="5"/>
      <c r="DK985" s="5"/>
      <c r="DL985" s="5"/>
      <c r="DM985" s="5"/>
      <c r="DN985" s="5"/>
      <c r="DO985" s="5"/>
      <c r="DP985" s="5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</row>
    <row r="986" s="504" customFormat="true" ht="12.75" hidden="true" customHeight="true" outlineLevel="0" collapsed="false">
      <c r="A986" s="5"/>
      <c r="B986" s="813" t="n">
        <f aca="false">B985+1</f>
        <v>771</v>
      </c>
      <c r="C986" s="814" t="n">
        <f aca="false">C985+D986</f>
        <v>107640.487240039</v>
      </c>
      <c r="D986" s="815" t="n">
        <f aca="false">E986*$E$205*M986</f>
        <v>200.875940910889</v>
      </c>
      <c r="E986" s="601" t="n">
        <f aca="false">E985+$C$204</f>
        <v>12.7394686016545</v>
      </c>
      <c r="F986" s="816" t="n">
        <f aca="false">F985+1</f>
        <v>771</v>
      </c>
      <c r="G986" s="775" t="n">
        <f aca="false">C986</f>
        <v>107640.487240039</v>
      </c>
      <c r="H986" s="817" t="n">
        <f aca="false">1000*(E986-E985)</f>
        <v>9.99999999999979</v>
      </c>
      <c r="I986" s="5"/>
      <c r="J986" s="818" t="n">
        <f aca="false">1000*(E986-$E$215)/(B986-$B$215)</f>
        <v>12.0413357050216</v>
      </c>
      <c r="K986" s="732" t="n">
        <f aca="false">AVERAGE($E$216:E986)</f>
        <v>8.87961127350934</v>
      </c>
      <c r="L986" s="819" t="n">
        <f aca="false">L985+1</f>
        <v>771</v>
      </c>
      <c r="M986" s="820" t="n">
        <f aca="false">IF(B986&lt;$E$104,$E$105,$E$106)</f>
        <v>3</v>
      </c>
      <c r="N986" s="821" t="n">
        <f aca="false">IF(B986&lt;$E$104,$E$105,$E$111)</f>
        <v>2.5</v>
      </c>
      <c r="O986" s="822" t="n">
        <f aca="false">E986*$E$205*N986</f>
        <v>167.39661742574</v>
      </c>
      <c r="P986" s="823" t="n">
        <f aca="false">P985+O986</f>
        <v>89752.086633742</v>
      </c>
      <c r="Q986" s="606" t="n">
        <f aca="false">Q985+1</f>
        <v>771</v>
      </c>
      <c r="R986" s="824" t="n">
        <f aca="false">R985-1</f>
        <v>-771</v>
      </c>
      <c r="S986" s="5"/>
      <c r="T986" s="5"/>
      <c r="U986" s="5"/>
      <c r="V986" s="10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02"/>
      <c r="AU986" s="502"/>
      <c r="AV986" s="606"/>
      <c r="AW986" s="502"/>
      <c r="AX986" s="502"/>
      <c r="AY986" s="502"/>
      <c r="AZ986" s="502"/>
      <c r="BA986" s="502"/>
      <c r="BB986" s="502"/>
      <c r="BC986" s="502"/>
      <c r="BD986" s="502"/>
      <c r="BE986" s="502"/>
      <c r="BF986" s="502"/>
      <c r="BG986" s="502"/>
      <c r="BH986" s="502"/>
      <c r="BI986" s="502"/>
      <c r="BJ986" s="502"/>
      <c r="BK986" s="502"/>
      <c r="BL986" s="502"/>
      <c r="BM986" s="502"/>
      <c r="BN986" s="502"/>
      <c r="BO986" s="502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  <c r="DE986" s="5"/>
      <c r="DF986" s="5"/>
      <c r="DG986" s="5"/>
      <c r="DH986" s="5"/>
      <c r="DI986" s="5"/>
      <c r="DJ986" s="5"/>
      <c r="DK986" s="5"/>
      <c r="DL986" s="5"/>
      <c r="DM986" s="5"/>
      <c r="DN986" s="5"/>
      <c r="DO986" s="5"/>
      <c r="DP986" s="5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</row>
    <row r="987" s="504" customFormat="true" ht="12.75" hidden="true" customHeight="true" outlineLevel="0" collapsed="false">
      <c r="A987" s="5"/>
      <c r="B987" s="813" t="n">
        <f aca="false">B986+1</f>
        <v>772</v>
      </c>
      <c r="C987" s="814" t="n">
        <f aca="false">C986+D987</f>
        <v>107841.52086095</v>
      </c>
      <c r="D987" s="815" t="n">
        <f aca="false">E987*$E$205*M987</f>
        <v>201.033620910889</v>
      </c>
      <c r="E987" s="601" t="n">
        <f aca="false">E986+$C$204</f>
        <v>12.7494686016545</v>
      </c>
      <c r="F987" s="816" t="n">
        <f aca="false">F986+1</f>
        <v>772</v>
      </c>
      <c r="G987" s="775" t="n">
        <f aca="false">C987</f>
        <v>107841.52086095</v>
      </c>
      <c r="H987" s="817" t="n">
        <f aca="false">1000*(E987-E986)</f>
        <v>9.99999999999979</v>
      </c>
      <c r="I987" s="5"/>
      <c r="J987" s="818" t="n">
        <f aca="false">1000*(E987-$E$215)/(B987-$B$215)</f>
        <v>12.0386914877872</v>
      </c>
      <c r="K987" s="732" t="n">
        <f aca="false">AVERAGE($E$216:E987)</f>
        <v>8.88462404206912</v>
      </c>
      <c r="L987" s="819" t="n">
        <f aca="false">L986+1</f>
        <v>772</v>
      </c>
      <c r="M987" s="820" t="n">
        <f aca="false">IF(B987&lt;$E$104,$E$105,$E$106)</f>
        <v>3</v>
      </c>
      <c r="N987" s="821" t="n">
        <f aca="false">IF(B987&lt;$E$104,$E$105,$E$111)</f>
        <v>2.5</v>
      </c>
      <c r="O987" s="822" t="n">
        <f aca="false">E987*$E$205*N987</f>
        <v>167.52801742574</v>
      </c>
      <c r="P987" s="823" t="n">
        <f aca="false">P986+O987</f>
        <v>89919.6146511677</v>
      </c>
      <c r="Q987" s="606" t="n">
        <f aca="false">Q986+1</f>
        <v>772</v>
      </c>
      <c r="R987" s="824" t="n">
        <f aca="false">R986-1</f>
        <v>-772</v>
      </c>
      <c r="S987" s="5"/>
      <c r="T987" s="5"/>
      <c r="U987" s="5"/>
      <c r="V987" s="10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02"/>
      <c r="AU987" s="502"/>
      <c r="AV987" s="606"/>
      <c r="AW987" s="502"/>
      <c r="AX987" s="502"/>
      <c r="AY987" s="502"/>
      <c r="AZ987" s="502"/>
      <c r="BA987" s="502"/>
      <c r="BB987" s="502"/>
      <c r="BC987" s="502"/>
      <c r="BD987" s="502"/>
      <c r="BE987" s="502"/>
      <c r="BF987" s="502"/>
      <c r="BG987" s="502"/>
      <c r="BH987" s="502"/>
      <c r="BI987" s="502"/>
      <c r="BJ987" s="502"/>
      <c r="BK987" s="502"/>
      <c r="BL987" s="502"/>
      <c r="BM987" s="502"/>
      <c r="BN987" s="502"/>
      <c r="BO987" s="502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  <c r="DE987" s="5"/>
      <c r="DF987" s="5"/>
      <c r="DG987" s="5"/>
      <c r="DH987" s="5"/>
      <c r="DI987" s="5"/>
      <c r="DJ987" s="5"/>
      <c r="DK987" s="5"/>
      <c r="DL987" s="5"/>
      <c r="DM987" s="5"/>
      <c r="DN987" s="5"/>
      <c r="DO987" s="5"/>
      <c r="DP987" s="5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</row>
    <row r="988" s="504" customFormat="true" ht="12.75" hidden="true" customHeight="true" outlineLevel="0" collapsed="false">
      <c r="A988" s="5"/>
      <c r="B988" s="813" t="n">
        <f aca="false">B987+1</f>
        <v>773</v>
      </c>
      <c r="C988" s="814" t="n">
        <f aca="false">C987+D988</f>
        <v>108042.712161861</v>
      </c>
      <c r="D988" s="815" t="n">
        <f aca="false">E988*$E$205*M988</f>
        <v>201.191300910889</v>
      </c>
      <c r="E988" s="601" t="n">
        <f aca="false">E987+$C$204</f>
        <v>12.7594686016545</v>
      </c>
      <c r="F988" s="816" t="n">
        <f aca="false">F987+1</f>
        <v>773</v>
      </c>
      <c r="G988" s="775" t="n">
        <f aca="false">C988</f>
        <v>108042.712161861</v>
      </c>
      <c r="H988" s="817" t="n">
        <f aca="false">1000*(E988-E987)</f>
        <v>9.99999999999979</v>
      </c>
      <c r="I988" s="5"/>
      <c r="J988" s="818" t="n">
        <f aca="false">1000*(E988-$E$215)/(B988-$B$215)</f>
        <v>12.0360541119944</v>
      </c>
      <c r="K988" s="732" t="n">
        <f aca="false">AVERAGE($E$216:E988)</f>
        <v>8.88963677759251</v>
      </c>
      <c r="L988" s="819" t="n">
        <f aca="false">L987+1</f>
        <v>773</v>
      </c>
      <c r="M988" s="820" t="n">
        <f aca="false">IF(B988&lt;$E$104,$E$105,$E$106)</f>
        <v>3</v>
      </c>
      <c r="N988" s="821" t="n">
        <f aca="false">IF(B988&lt;$E$104,$E$105,$E$111)</f>
        <v>2.5</v>
      </c>
      <c r="O988" s="822" t="n">
        <f aca="false">E988*$E$205*N988</f>
        <v>167.65941742574</v>
      </c>
      <c r="P988" s="823" t="n">
        <f aca="false">P987+O988</f>
        <v>90087.2740685935</v>
      </c>
      <c r="Q988" s="606" t="n">
        <f aca="false">Q987+1</f>
        <v>773</v>
      </c>
      <c r="R988" s="824" t="n">
        <f aca="false">R987-1</f>
        <v>-773</v>
      </c>
      <c r="S988" s="5"/>
      <c r="T988" s="5"/>
      <c r="U988" s="5"/>
      <c r="V988" s="10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02"/>
      <c r="AU988" s="502"/>
      <c r="AV988" s="606"/>
      <c r="AW988" s="502"/>
      <c r="AX988" s="502"/>
      <c r="AY988" s="502"/>
      <c r="AZ988" s="502"/>
      <c r="BA988" s="502"/>
      <c r="BB988" s="502"/>
      <c r="BC988" s="502"/>
      <c r="BD988" s="502"/>
      <c r="BE988" s="502"/>
      <c r="BF988" s="502"/>
      <c r="BG988" s="502"/>
      <c r="BH988" s="502"/>
      <c r="BI988" s="502"/>
      <c r="BJ988" s="502"/>
      <c r="BK988" s="502"/>
      <c r="BL988" s="502"/>
      <c r="BM988" s="502"/>
      <c r="BN988" s="502"/>
      <c r="BO988" s="502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  <c r="DA988" s="5"/>
      <c r="DB988" s="5"/>
      <c r="DC988" s="5"/>
      <c r="DD988" s="5"/>
      <c r="DE988" s="5"/>
      <c r="DF988" s="5"/>
      <c r="DG988" s="5"/>
      <c r="DH988" s="5"/>
      <c r="DI988" s="5"/>
      <c r="DJ988" s="5"/>
      <c r="DK988" s="5"/>
      <c r="DL988" s="5"/>
      <c r="DM988" s="5"/>
      <c r="DN988" s="5"/>
      <c r="DO988" s="5"/>
      <c r="DP988" s="5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</row>
    <row r="989" s="504" customFormat="true" ht="12.75" hidden="true" customHeight="true" outlineLevel="0" collapsed="false">
      <c r="A989" s="5"/>
      <c r="B989" s="813" t="n">
        <f aca="false">B988+1</f>
        <v>774</v>
      </c>
      <c r="C989" s="814" t="n">
        <f aca="false">C988+D989</f>
        <v>108244.061142772</v>
      </c>
      <c r="D989" s="815" t="n">
        <f aca="false">E989*$E$205*M989</f>
        <v>201.348980910889</v>
      </c>
      <c r="E989" s="601" t="n">
        <f aca="false">E988+$C$204</f>
        <v>12.7694686016545</v>
      </c>
      <c r="F989" s="816" t="n">
        <f aca="false">F988+1</f>
        <v>774</v>
      </c>
      <c r="G989" s="775" t="n">
        <f aca="false">C989</f>
        <v>108244.061142772</v>
      </c>
      <c r="H989" s="817" t="n">
        <f aca="false">1000*(E989-E988)</f>
        <v>9.99999999999979</v>
      </c>
      <c r="I989" s="5"/>
      <c r="J989" s="818" t="n">
        <f aca="false">1000*(E989-$E$215)/(B989-$B$215)</f>
        <v>12.0334235511262</v>
      </c>
      <c r="K989" s="732" t="n">
        <f aca="false">AVERAGE($E$216:E989)</f>
        <v>8.89464948020758</v>
      </c>
      <c r="L989" s="819" t="n">
        <f aca="false">L988+1</f>
        <v>774</v>
      </c>
      <c r="M989" s="820" t="n">
        <f aca="false">IF(B989&lt;$E$104,$E$105,$E$106)</f>
        <v>3</v>
      </c>
      <c r="N989" s="821" t="n">
        <f aca="false">IF(B989&lt;$E$104,$E$105,$E$111)</f>
        <v>2.5</v>
      </c>
      <c r="O989" s="822" t="n">
        <f aca="false">E989*$E$205*N989</f>
        <v>167.79081742574</v>
      </c>
      <c r="P989" s="823" t="n">
        <f aca="false">P988+O989</f>
        <v>90255.0648860192</v>
      </c>
      <c r="Q989" s="606" t="n">
        <f aca="false">Q988+1</f>
        <v>774</v>
      </c>
      <c r="R989" s="824" t="n">
        <f aca="false">R988-1</f>
        <v>-774</v>
      </c>
      <c r="S989" s="5"/>
      <c r="T989" s="5"/>
      <c r="U989" s="5"/>
      <c r="V989" s="10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02"/>
      <c r="AU989" s="502"/>
      <c r="AV989" s="606"/>
      <c r="AW989" s="502"/>
      <c r="AX989" s="502"/>
      <c r="AY989" s="502"/>
      <c r="AZ989" s="502"/>
      <c r="BA989" s="502"/>
      <c r="BB989" s="502"/>
      <c r="BC989" s="502"/>
      <c r="BD989" s="502"/>
      <c r="BE989" s="502"/>
      <c r="BF989" s="502"/>
      <c r="BG989" s="502"/>
      <c r="BH989" s="502"/>
      <c r="BI989" s="502"/>
      <c r="BJ989" s="502"/>
      <c r="BK989" s="502"/>
      <c r="BL989" s="502"/>
      <c r="BM989" s="502"/>
      <c r="BN989" s="502"/>
      <c r="BO989" s="502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  <c r="DA989" s="5"/>
      <c r="DB989" s="5"/>
      <c r="DC989" s="5"/>
      <c r="DD989" s="5"/>
      <c r="DE989" s="5"/>
      <c r="DF989" s="5"/>
      <c r="DG989" s="5"/>
      <c r="DH989" s="5"/>
      <c r="DI989" s="5"/>
      <c r="DJ989" s="5"/>
      <c r="DK989" s="5"/>
      <c r="DL989" s="5"/>
      <c r="DM989" s="5"/>
      <c r="DN989" s="5"/>
      <c r="DO989" s="5"/>
      <c r="DP989" s="5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</row>
    <row r="990" s="504" customFormat="true" ht="12.75" hidden="true" customHeight="true" outlineLevel="0" collapsed="false">
      <c r="A990" s="5"/>
      <c r="B990" s="813" t="n">
        <f aca="false">B989+1</f>
        <v>775</v>
      </c>
      <c r="C990" s="814" t="n">
        <f aca="false">C989+D990</f>
        <v>108445.567803682</v>
      </c>
      <c r="D990" s="815" t="n">
        <f aca="false">E990*$E$205*M990</f>
        <v>201.506660910889</v>
      </c>
      <c r="E990" s="601" t="n">
        <f aca="false">E989+$C$204</f>
        <v>12.7794686016545</v>
      </c>
      <c r="F990" s="816" t="n">
        <f aca="false">F989+1</f>
        <v>775</v>
      </c>
      <c r="G990" s="775" t="n">
        <f aca="false">C990</f>
        <v>108445.567803682</v>
      </c>
      <c r="H990" s="817" t="n">
        <f aca="false">1000*(E990-E989)</f>
        <v>9.99999999999979</v>
      </c>
      <c r="I990" s="5"/>
      <c r="J990" s="818" t="n">
        <f aca="false">1000*(E990-$E$215)/(B990-$B$215)</f>
        <v>12.0307997788022</v>
      </c>
      <c r="K990" s="732" t="n">
        <f aca="false">AVERAGE($E$216:E990)</f>
        <v>8.8996621500417</v>
      </c>
      <c r="L990" s="819" t="n">
        <f aca="false">L989+1</f>
        <v>775</v>
      </c>
      <c r="M990" s="820" t="n">
        <f aca="false">IF(B990&lt;$E$104,$E$105,$E$106)</f>
        <v>3</v>
      </c>
      <c r="N990" s="821" t="n">
        <f aca="false">IF(B990&lt;$E$104,$E$105,$E$111)</f>
        <v>2.5</v>
      </c>
      <c r="O990" s="822" t="n">
        <f aca="false">E990*$E$205*N990</f>
        <v>167.92221742574</v>
      </c>
      <c r="P990" s="823" t="n">
        <f aca="false">P989+O990</f>
        <v>90422.987103445</v>
      </c>
      <c r="Q990" s="606" t="n">
        <f aca="false">Q989+1</f>
        <v>775</v>
      </c>
      <c r="R990" s="824" t="n">
        <f aca="false">R989-1</f>
        <v>-775</v>
      </c>
      <c r="S990" s="5"/>
      <c r="T990" s="5"/>
      <c r="U990" s="5"/>
      <c r="V990" s="10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02"/>
      <c r="AU990" s="502"/>
      <c r="AV990" s="606"/>
      <c r="AW990" s="502"/>
      <c r="AX990" s="502"/>
      <c r="AY990" s="502"/>
      <c r="AZ990" s="502"/>
      <c r="BA990" s="502"/>
      <c r="BB990" s="502"/>
      <c r="BC990" s="502"/>
      <c r="BD990" s="502"/>
      <c r="BE990" s="502"/>
      <c r="BF990" s="502"/>
      <c r="BG990" s="502"/>
      <c r="BH990" s="502"/>
      <c r="BI990" s="502"/>
      <c r="BJ990" s="502"/>
      <c r="BK990" s="502"/>
      <c r="BL990" s="502"/>
      <c r="BM990" s="502"/>
      <c r="BN990" s="502"/>
      <c r="BO990" s="502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  <c r="CZ990" s="5"/>
      <c r="DA990" s="5"/>
      <c r="DB990" s="5"/>
      <c r="DC990" s="5"/>
      <c r="DD990" s="5"/>
      <c r="DE990" s="5"/>
      <c r="DF990" s="5"/>
      <c r="DG990" s="5"/>
      <c r="DH990" s="5"/>
      <c r="DI990" s="5"/>
      <c r="DJ990" s="5"/>
      <c r="DK990" s="5"/>
      <c r="DL990" s="5"/>
      <c r="DM990" s="5"/>
      <c r="DN990" s="5"/>
      <c r="DO990" s="5"/>
      <c r="DP990" s="5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</row>
    <row r="991" s="504" customFormat="true" ht="12.75" hidden="true" customHeight="true" outlineLevel="0" collapsed="false">
      <c r="A991" s="5"/>
      <c r="B991" s="813" t="n">
        <f aca="false">B990+1</f>
        <v>776</v>
      </c>
      <c r="C991" s="814" t="n">
        <f aca="false">C990+D991</f>
        <v>108647.232144593</v>
      </c>
      <c r="D991" s="815" t="n">
        <f aca="false">E991*$E$205*M991</f>
        <v>201.664340910889</v>
      </c>
      <c r="E991" s="601" t="n">
        <f aca="false">E990+$C$204</f>
        <v>12.7894686016545</v>
      </c>
      <c r="F991" s="816" t="n">
        <f aca="false">F990+1</f>
        <v>776</v>
      </c>
      <c r="G991" s="775" t="n">
        <f aca="false">C991</f>
        <v>108647.232144593</v>
      </c>
      <c r="H991" s="817" t="n">
        <f aca="false">1000*(E991-E990)</f>
        <v>9.99999999999979</v>
      </c>
      <c r="I991" s="5"/>
      <c r="J991" s="818" t="n">
        <f aca="false">1000*(E991-$E$215)/(B991-$B$215)</f>
        <v>12.0281827687779</v>
      </c>
      <c r="K991" s="732" t="n">
        <f aca="false">AVERAGE($E$216:E991)</f>
        <v>8.90467478722162</v>
      </c>
      <c r="L991" s="819" t="n">
        <f aca="false">L990+1</f>
        <v>776</v>
      </c>
      <c r="M991" s="820" t="n">
        <f aca="false">IF(B991&lt;$E$104,$E$105,$E$106)</f>
        <v>3</v>
      </c>
      <c r="N991" s="821" t="n">
        <f aca="false">IF(B991&lt;$E$104,$E$105,$E$111)</f>
        <v>2.5</v>
      </c>
      <c r="O991" s="822" t="n">
        <f aca="false">E991*$E$205*N991</f>
        <v>168.05361742574</v>
      </c>
      <c r="P991" s="823" t="n">
        <f aca="false">P990+O991</f>
        <v>90591.0407208707</v>
      </c>
      <c r="Q991" s="606" t="n">
        <f aca="false">Q990+1</f>
        <v>776</v>
      </c>
      <c r="R991" s="824" t="n">
        <f aca="false">R990-1</f>
        <v>-776</v>
      </c>
      <c r="S991" s="5"/>
      <c r="T991" s="5"/>
      <c r="U991" s="5"/>
      <c r="V991" s="10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02"/>
      <c r="AU991" s="502"/>
      <c r="AV991" s="606"/>
      <c r="AW991" s="502"/>
      <c r="AX991" s="502"/>
      <c r="AY991" s="502"/>
      <c r="AZ991" s="502"/>
      <c r="BA991" s="502"/>
      <c r="BB991" s="502"/>
      <c r="BC991" s="502"/>
      <c r="BD991" s="502"/>
      <c r="BE991" s="502"/>
      <c r="BF991" s="502"/>
      <c r="BG991" s="502"/>
      <c r="BH991" s="502"/>
      <c r="BI991" s="502"/>
      <c r="BJ991" s="502"/>
      <c r="BK991" s="502"/>
      <c r="BL991" s="502"/>
      <c r="BM991" s="502"/>
      <c r="BN991" s="502"/>
      <c r="BO991" s="502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  <c r="CZ991" s="5"/>
      <c r="DA991" s="5"/>
      <c r="DB991" s="5"/>
      <c r="DC991" s="5"/>
      <c r="DD991" s="5"/>
      <c r="DE991" s="5"/>
      <c r="DF991" s="5"/>
      <c r="DG991" s="5"/>
      <c r="DH991" s="5"/>
      <c r="DI991" s="5"/>
      <c r="DJ991" s="5"/>
      <c r="DK991" s="5"/>
      <c r="DL991" s="5"/>
      <c r="DM991" s="5"/>
      <c r="DN991" s="5"/>
      <c r="DO991" s="5"/>
      <c r="DP991" s="5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</row>
    <row r="992" s="504" customFormat="true" ht="12.75" hidden="true" customHeight="true" outlineLevel="0" collapsed="false">
      <c r="A992" s="5"/>
      <c r="B992" s="813" t="n">
        <f aca="false">B991+1</f>
        <v>777</v>
      </c>
      <c r="C992" s="814" t="n">
        <f aca="false">C991+D992</f>
        <v>108849.054165504</v>
      </c>
      <c r="D992" s="815" t="n">
        <f aca="false">E992*$E$205*M992</f>
        <v>201.822020910889</v>
      </c>
      <c r="E992" s="601" t="n">
        <f aca="false">E991+$C$204</f>
        <v>12.7994686016545</v>
      </c>
      <c r="F992" s="816" t="n">
        <f aca="false">F991+1</f>
        <v>777</v>
      </c>
      <c r="G992" s="775" t="n">
        <f aca="false">C992</f>
        <v>108849.054165504</v>
      </c>
      <c r="H992" s="817" t="n">
        <f aca="false">1000*(E992-E991)</f>
        <v>9.99999999999979</v>
      </c>
      <c r="I992" s="5"/>
      <c r="J992" s="818" t="n">
        <f aca="false">1000*(E992-$E$215)/(B992-$B$215)</f>
        <v>12.0255724949442</v>
      </c>
      <c r="K992" s="732" t="n">
        <f aca="false">AVERAGE($E$216:E992)</f>
        <v>8.9096873918734</v>
      </c>
      <c r="L992" s="819" t="n">
        <f aca="false">L991+1</f>
        <v>777</v>
      </c>
      <c r="M992" s="820" t="n">
        <f aca="false">IF(B992&lt;$E$104,$E$105,$E$106)</f>
        <v>3</v>
      </c>
      <c r="N992" s="821" t="n">
        <f aca="false">IF(B992&lt;$E$104,$E$105,$E$111)</f>
        <v>2.5</v>
      </c>
      <c r="O992" s="822" t="n">
        <f aca="false">E992*$E$205*N992</f>
        <v>168.18501742574</v>
      </c>
      <c r="P992" s="823" t="n">
        <f aca="false">P991+O992</f>
        <v>90759.2257382964</v>
      </c>
      <c r="Q992" s="606" t="n">
        <f aca="false">Q991+1</f>
        <v>777</v>
      </c>
      <c r="R992" s="824" t="n">
        <f aca="false">R991-1</f>
        <v>-777</v>
      </c>
      <c r="S992" s="5"/>
      <c r="T992" s="5"/>
      <c r="U992" s="5"/>
      <c r="V992" s="10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02"/>
      <c r="AU992" s="502"/>
      <c r="AV992" s="606"/>
      <c r="AW992" s="502"/>
      <c r="AX992" s="502"/>
      <c r="AY992" s="502"/>
      <c r="AZ992" s="502"/>
      <c r="BA992" s="502"/>
      <c r="BB992" s="502"/>
      <c r="BC992" s="502"/>
      <c r="BD992" s="502"/>
      <c r="BE992" s="502"/>
      <c r="BF992" s="502"/>
      <c r="BG992" s="502"/>
      <c r="BH992" s="502"/>
      <c r="BI992" s="502"/>
      <c r="BJ992" s="502"/>
      <c r="BK992" s="502"/>
      <c r="BL992" s="502"/>
      <c r="BM992" s="502"/>
      <c r="BN992" s="502"/>
      <c r="BO992" s="502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  <c r="CX992" s="5"/>
      <c r="CY992" s="5"/>
      <c r="CZ992" s="5"/>
      <c r="DA992" s="5"/>
      <c r="DB992" s="5"/>
      <c r="DC992" s="5"/>
      <c r="DD992" s="5"/>
      <c r="DE992" s="5"/>
      <c r="DF992" s="5"/>
      <c r="DG992" s="5"/>
      <c r="DH992" s="5"/>
      <c r="DI992" s="5"/>
      <c r="DJ992" s="5"/>
      <c r="DK992" s="5"/>
      <c r="DL992" s="5"/>
      <c r="DM992" s="5"/>
      <c r="DN992" s="5"/>
      <c r="DO992" s="5"/>
      <c r="DP992" s="5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</row>
    <row r="993" s="504" customFormat="true" ht="12.75" hidden="true" customHeight="true" outlineLevel="0" collapsed="false">
      <c r="A993" s="5"/>
      <c r="B993" s="813" t="n">
        <f aca="false">B992+1</f>
        <v>778</v>
      </c>
      <c r="C993" s="814" t="n">
        <f aca="false">C992+D993</f>
        <v>109051.033866415</v>
      </c>
      <c r="D993" s="815" t="n">
        <f aca="false">E993*$E$205*M993</f>
        <v>201.979700910889</v>
      </c>
      <c r="E993" s="601" t="n">
        <f aca="false">E992+$C$204</f>
        <v>12.8094686016545</v>
      </c>
      <c r="F993" s="816" t="n">
        <f aca="false">F992+1</f>
        <v>778</v>
      </c>
      <c r="G993" s="775" t="n">
        <f aca="false">C993</f>
        <v>109051.033866415</v>
      </c>
      <c r="H993" s="817" t="n">
        <f aca="false">1000*(E993-E992)</f>
        <v>9.99999999999979</v>
      </c>
      <c r="I993" s="5"/>
      <c r="J993" s="818" t="n">
        <f aca="false">1000*(E993-$E$215)/(B993-$B$215)</f>
        <v>12.0229689313261</v>
      </c>
      <c r="K993" s="732" t="n">
        <f aca="false">AVERAGE($E$216:E993)</f>
        <v>8.91469996412247</v>
      </c>
      <c r="L993" s="819" t="n">
        <f aca="false">L992+1</f>
        <v>778</v>
      </c>
      <c r="M993" s="820" t="n">
        <f aca="false">IF(B993&lt;$E$104,$E$105,$E$106)</f>
        <v>3</v>
      </c>
      <c r="N993" s="821" t="n">
        <f aca="false">IF(B993&lt;$E$104,$E$105,$E$111)</f>
        <v>2.5</v>
      </c>
      <c r="O993" s="822" t="n">
        <f aca="false">E993*$E$205*N993</f>
        <v>168.31641742574</v>
      </c>
      <c r="P993" s="823" t="n">
        <f aca="false">P992+O993</f>
        <v>90927.5421557222</v>
      </c>
      <c r="Q993" s="606" t="n">
        <f aca="false">Q992+1</f>
        <v>778</v>
      </c>
      <c r="R993" s="824" t="n">
        <f aca="false">R992-1</f>
        <v>-778</v>
      </c>
      <c r="S993" s="5"/>
      <c r="T993" s="5"/>
      <c r="U993" s="5"/>
      <c r="V993" s="10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02"/>
      <c r="AU993" s="502"/>
      <c r="AV993" s="606"/>
      <c r="AW993" s="502"/>
      <c r="AX993" s="502"/>
      <c r="AY993" s="502"/>
      <c r="AZ993" s="502"/>
      <c r="BA993" s="502"/>
      <c r="BB993" s="502"/>
      <c r="BC993" s="502"/>
      <c r="BD993" s="502"/>
      <c r="BE993" s="502"/>
      <c r="BF993" s="502"/>
      <c r="BG993" s="502"/>
      <c r="BH993" s="502"/>
      <c r="BI993" s="502"/>
      <c r="BJ993" s="502"/>
      <c r="BK993" s="502"/>
      <c r="BL993" s="502"/>
      <c r="BM993" s="502"/>
      <c r="BN993" s="502"/>
      <c r="BO993" s="502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  <c r="CX993" s="5"/>
      <c r="CY993" s="5"/>
      <c r="CZ993" s="5"/>
      <c r="DA993" s="5"/>
      <c r="DB993" s="5"/>
      <c r="DC993" s="5"/>
      <c r="DD993" s="5"/>
      <c r="DE993" s="5"/>
      <c r="DF993" s="5"/>
      <c r="DG993" s="5"/>
      <c r="DH993" s="5"/>
      <c r="DI993" s="5"/>
      <c r="DJ993" s="5"/>
      <c r="DK993" s="5"/>
      <c r="DL993" s="5"/>
      <c r="DM993" s="5"/>
      <c r="DN993" s="5"/>
      <c r="DO993" s="5"/>
      <c r="DP993" s="5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</row>
    <row r="994" s="504" customFormat="true" ht="12.75" hidden="true" customHeight="true" outlineLevel="0" collapsed="false">
      <c r="A994" s="5"/>
      <c r="B994" s="813" t="n">
        <f aca="false">B993+1</f>
        <v>779</v>
      </c>
      <c r="C994" s="814" t="n">
        <f aca="false">C993+D994</f>
        <v>109253.171247326</v>
      </c>
      <c r="D994" s="815" t="n">
        <f aca="false">E994*$E$205*M994</f>
        <v>202.137380910889</v>
      </c>
      <c r="E994" s="601" t="n">
        <f aca="false">E993+$C$204</f>
        <v>12.8194686016545</v>
      </c>
      <c r="F994" s="816" t="n">
        <f aca="false">F993+1</f>
        <v>779</v>
      </c>
      <c r="G994" s="775" t="n">
        <f aca="false">C994</f>
        <v>109253.171247326</v>
      </c>
      <c r="H994" s="817" t="n">
        <f aca="false">1000*(E994-E993)</f>
        <v>9.99999999999979</v>
      </c>
      <c r="I994" s="5"/>
      <c r="J994" s="818" t="n">
        <f aca="false">1000*(E994-$E$215)/(B994-$B$215)</f>
        <v>12.0203720520817</v>
      </c>
      <c r="K994" s="732" t="n">
        <f aca="false">AVERAGE($E$216:E994)</f>
        <v>8.91971250409363</v>
      </c>
      <c r="L994" s="819" t="n">
        <f aca="false">L993+1</f>
        <v>779</v>
      </c>
      <c r="M994" s="820" t="n">
        <f aca="false">IF(B994&lt;$E$104,$E$105,$E$106)</f>
        <v>3</v>
      </c>
      <c r="N994" s="821" t="n">
        <f aca="false">IF(B994&lt;$E$104,$E$105,$E$111)</f>
        <v>2.5</v>
      </c>
      <c r="O994" s="822" t="n">
        <f aca="false">E994*$E$205*N994</f>
        <v>168.44781742574</v>
      </c>
      <c r="P994" s="823" t="n">
        <f aca="false">P993+O994</f>
        <v>91095.9899731479</v>
      </c>
      <c r="Q994" s="606" t="n">
        <f aca="false">Q993+1</f>
        <v>779</v>
      </c>
      <c r="R994" s="824" t="n">
        <f aca="false">R993-1</f>
        <v>-779</v>
      </c>
      <c r="S994" s="5"/>
      <c r="T994" s="5"/>
      <c r="U994" s="5"/>
      <c r="V994" s="10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02"/>
      <c r="AU994" s="502"/>
      <c r="AV994" s="606"/>
      <c r="AW994" s="502"/>
      <c r="AX994" s="502"/>
      <c r="AY994" s="502"/>
      <c r="AZ994" s="502"/>
      <c r="BA994" s="502"/>
      <c r="BB994" s="502"/>
      <c r="BC994" s="502"/>
      <c r="BD994" s="502"/>
      <c r="BE994" s="502"/>
      <c r="BF994" s="502"/>
      <c r="BG994" s="502"/>
      <c r="BH994" s="502"/>
      <c r="BI994" s="502"/>
      <c r="BJ994" s="502"/>
      <c r="BK994" s="502"/>
      <c r="BL994" s="502"/>
      <c r="BM994" s="502"/>
      <c r="BN994" s="502"/>
      <c r="BO994" s="502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  <c r="CZ994" s="5"/>
      <c r="DA994" s="5"/>
      <c r="DB994" s="5"/>
      <c r="DC994" s="5"/>
      <c r="DD994" s="5"/>
      <c r="DE994" s="5"/>
      <c r="DF994" s="5"/>
      <c r="DG994" s="5"/>
      <c r="DH994" s="5"/>
      <c r="DI994" s="5"/>
      <c r="DJ994" s="5"/>
      <c r="DK994" s="5"/>
      <c r="DL994" s="5"/>
      <c r="DM994" s="5"/>
      <c r="DN994" s="5"/>
      <c r="DO994" s="5"/>
      <c r="DP994" s="5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</row>
    <row r="995" s="504" customFormat="true" ht="12.75" hidden="true" customHeight="true" outlineLevel="0" collapsed="false">
      <c r="A995" s="5"/>
      <c r="B995" s="813" t="n">
        <f aca="false">B994+1</f>
        <v>780</v>
      </c>
      <c r="C995" s="814" t="n">
        <f aca="false">C994+D995</f>
        <v>109455.466308237</v>
      </c>
      <c r="D995" s="815" t="n">
        <f aca="false">E995*$E$205*M995</f>
        <v>202.295060910889</v>
      </c>
      <c r="E995" s="601" t="n">
        <f aca="false">E994+$C$204</f>
        <v>12.8294686016545</v>
      </c>
      <c r="F995" s="816" t="n">
        <f aca="false">F994+1</f>
        <v>780</v>
      </c>
      <c r="G995" s="775" t="n">
        <f aca="false">C995</f>
        <v>109455.466308237</v>
      </c>
      <c r="H995" s="817" t="n">
        <f aca="false">1000*(E995-E994)</f>
        <v>9.99999999999979</v>
      </c>
      <c r="I995" s="5"/>
      <c r="J995" s="818" t="n">
        <f aca="false">1000*(E995-$E$215)/(B995-$B$215)</f>
        <v>12.0177818315022</v>
      </c>
      <c r="K995" s="732" t="n">
        <f aca="false">AVERAGE($E$216:E995)</f>
        <v>8.92472501191102</v>
      </c>
      <c r="L995" s="819" t="n">
        <f aca="false">L994+1</f>
        <v>780</v>
      </c>
      <c r="M995" s="820" t="n">
        <f aca="false">IF(B995&lt;$E$104,$E$105,$E$106)</f>
        <v>3</v>
      </c>
      <c r="N995" s="821" t="n">
        <f aca="false">IF(B995&lt;$E$104,$E$105,$E$111)</f>
        <v>2.5</v>
      </c>
      <c r="O995" s="822" t="n">
        <f aca="false">E995*$E$205*N995</f>
        <v>168.57921742574</v>
      </c>
      <c r="P995" s="823" t="n">
        <f aca="false">P994+O995</f>
        <v>91264.5691905736</v>
      </c>
      <c r="Q995" s="606" t="n">
        <f aca="false">Q994+1</f>
        <v>780</v>
      </c>
      <c r="R995" s="824" t="n">
        <f aca="false">R994-1</f>
        <v>-780</v>
      </c>
      <c r="S995" s="5"/>
      <c r="T995" s="5"/>
      <c r="U995" s="5"/>
      <c r="V995" s="10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02"/>
      <c r="AU995" s="502"/>
      <c r="AV995" s="606"/>
      <c r="AW995" s="502"/>
      <c r="AX995" s="502"/>
      <c r="AY995" s="502"/>
      <c r="AZ995" s="502"/>
      <c r="BA995" s="502"/>
      <c r="BB995" s="502"/>
      <c r="BC995" s="502"/>
      <c r="BD995" s="502"/>
      <c r="BE995" s="502"/>
      <c r="BF995" s="502"/>
      <c r="BG995" s="502"/>
      <c r="BH995" s="502"/>
      <c r="BI995" s="502"/>
      <c r="BJ995" s="502"/>
      <c r="BK995" s="502"/>
      <c r="BL995" s="502"/>
      <c r="BM995" s="502"/>
      <c r="BN995" s="502"/>
      <c r="BO995" s="502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  <c r="CX995" s="5"/>
      <c r="CY995" s="5"/>
      <c r="CZ995" s="5"/>
      <c r="DA995" s="5"/>
      <c r="DB995" s="5"/>
      <c r="DC995" s="5"/>
      <c r="DD995" s="5"/>
      <c r="DE995" s="5"/>
      <c r="DF995" s="5"/>
      <c r="DG995" s="5"/>
      <c r="DH995" s="5"/>
      <c r="DI995" s="5"/>
      <c r="DJ995" s="5"/>
      <c r="DK995" s="5"/>
      <c r="DL995" s="5"/>
      <c r="DM995" s="5"/>
      <c r="DN995" s="5"/>
      <c r="DO995" s="5"/>
      <c r="DP995" s="5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</row>
    <row r="996" s="504" customFormat="true" ht="12.75" hidden="true" customHeight="true" outlineLevel="0" collapsed="false">
      <c r="A996" s="5"/>
      <c r="B996" s="813" t="n">
        <f aca="false">B995+1</f>
        <v>781</v>
      </c>
      <c r="C996" s="814" t="n">
        <f aca="false">C995+D996</f>
        <v>109657.919049148</v>
      </c>
      <c r="D996" s="815" t="n">
        <f aca="false">E996*$E$205*M996</f>
        <v>202.452740910889</v>
      </c>
      <c r="E996" s="601" t="n">
        <f aca="false">E995+$C$204</f>
        <v>12.8394686016545</v>
      </c>
      <c r="F996" s="816" t="n">
        <f aca="false">F995+1</f>
        <v>781</v>
      </c>
      <c r="G996" s="775" t="n">
        <f aca="false">C996</f>
        <v>109657.919049148</v>
      </c>
      <c r="H996" s="817" t="n">
        <f aca="false">1000*(E996-E995)</f>
        <v>9.99999999999979</v>
      </c>
      <c r="I996" s="5"/>
      <c r="J996" s="818" t="n">
        <f aca="false">1000*(E996-$E$215)/(B996-$B$215)</f>
        <v>12.0151982440098</v>
      </c>
      <c r="K996" s="732" t="n">
        <f aca="false">AVERAGE($E$216:E996)</f>
        <v>8.92973748769814</v>
      </c>
      <c r="L996" s="819" t="n">
        <f aca="false">L995+1</f>
        <v>781</v>
      </c>
      <c r="M996" s="820" t="n">
        <f aca="false">IF(B996&lt;$E$104,$E$105,$E$106)</f>
        <v>3</v>
      </c>
      <c r="N996" s="821" t="n">
        <f aca="false">IF(B996&lt;$E$104,$E$105,$E$111)</f>
        <v>2.5</v>
      </c>
      <c r="O996" s="822" t="n">
        <f aca="false">E996*$E$205*N996</f>
        <v>168.71061742574</v>
      </c>
      <c r="P996" s="823" t="n">
        <f aca="false">P995+O996</f>
        <v>91433.2798079994</v>
      </c>
      <c r="Q996" s="606" t="n">
        <f aca="false">Q995+1</f>
        <v>781</v>
      </c>
      <c r="R996" s="824" t="n">
        <f aca="false">R995-1</f>
        <v>-781</v>
      </c>
      <c r="S996" s="5"/>
      <c r="T996" s="5"/>
      <c r="U996" s="5"/>
      <c r="V996" s="10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02"/>
      <c r="AU996" s="502"/>
      <c r="AV996" s="606"/>
      <c r="AW996" s="502"/>
      <c r="AX996" s="502"/>
      <c r="AY996" s="502"/>
      <c r="AZ996" s="502"/>
      <c r="BA996" s="502"/>
      <c r="BB996" s="502"/>
      <c r="BC996" s="502"/>
      <c r="BD996" s="502"/>
      <c r="BE996" s="502"/>
      <c r="BF996" s="502"/>
      <c r="BG996" s="502"/>
      <c r="BH996" s="502"/>
      <c r="BI996" s="502"/>
      <c r="BJ996" s="502"/>
      <c r="BK996" s="502"/>
      <c r="BL996" s="502"/>
      <c r="BM996" s="502"/>
      <c r="BN996" s="502"/>
      <c r="BO996" s="502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  <c r="CX996" s="5"/>
      <c r="CY996" s="5"/>
      <c r="CZ996" s="5"/>
      <c r="DA996" s="5"/>
      <c r="DB996" s="5"/>
      <c r="DC996" s="5"/>
      <c r="DD996" s="5"/>
      <c r="DE996" s="5"/>
      <c r="DF996" s="5"/>
      <c r="DG996" s="5"/>
      <c r="DH996" s="5"/>
      <c r="DI996" s="5"/>
      <c r="DJ996" s="5"/>
      <c r="DK996" s="5"/>
      <c r="DL996" s="5"/>
      <c r="DM996" s="5"/>
      <c r="DN996" s="5"/>
      <c r="DO996" s="5"/>
      <c r="DP996" s="5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</row>
    <row r="997" s="504" customFormat="true" ht="12.75" hidden="true" customHeight="true" outlineLevel="0" collapsed="false">
      <c r="A997" s="5"/>
      <c r="B997" s="813" t="n">
        <f aca="false">B996+1</f>
        <v>782</v>
      </c>
      <c r="C997" s="814" t="n">
        <f aca="false">C996+D997</f>
        <v>109860.529470059</v>
      </c>
      <c r="D997" s="815" t="n">
        <f aca="false">E997*$E$205*M997</f>
        <v>202.610420910889</v>
      </c>
      <c r="E997" s="601" t="n">
        <f aca="false">E996+$C$204</f>
        <v>12.8494686016545</v>
      </c>
      <c r="F997" s="816" t="n">
        <f aca="false">F996+1</f>
        <v>782</v>
      </c>
      <c r="G997" s="775" t="n">
        <f aca="false">C997</f>
        <v>109860.529470059</v>
      </c>
      <c r="H997" s="817" t="n">
        <f aca="false">1000*(E997-E996)</f>
        <v>9.99999999999979</v>
      </c>
      <c r="I997" s="5"/>
      <c r="J997" s="818" t="n">
        <f aca="false">1000*(E997-$E$215)/(B997-$B$215)</f>
        <v>12.0126212641582</v>
      </c>
      <c r="K997" s="732" t="n">
        <f aca="false">AVERAGE($E$216:E997)</f>
        <v>8.93474993157788</v>
      </c>
      <c r="L997" s="819" t="n">
        <f aca="false">L996+1</f>
        <v>782</v>
      </c>
      <c r="M997" s="820" t="n">
        <f aca="false">IF(B997&lt;$E$104,$E$105,$E$106)</f>
        <v>3</v>
      </c>
      <c r="N997" s="821" t="n">
        <f aca="false">IF(B997&lt;$E$104,$E$105,$E$111)</f>
        <v>2.5</v>
      </c>
      <c r="O997" s="822" t="n">
        <f aca="false">E997*$E$205*N997</f>
        <v>168.84201742574</v>
      </c>
      <c r="P997" s="823" t="n">
        <f aca="false">P996+O997</f>
        <v>91602.1218254251</v>
      </c>
      <c r="Q997" s="606" t="n">
        <f aca="false">Q996+1</f>
        <v>782</v>
      </c>
      <c r="R997" s="824" t="n">
        <f aca="false">R996-1</f>
        <v>-782</v>
      </c>
      <c r="S997" s="5"/>
      <c r="T997" s="5"/>
      <c r="U997" s="5"/>
      <c r="V997" s="10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02"/>
      <c r="AU997" s="502"/>
      <c r="AV997" s="606"/>
      <c r="AW997" s="502"/>
      <c r="AX997" s="502"/>
      <c r="AY997" s="502"/>
      <c r="AZ997" s="502"/>
      <c r="BA997" s="502"/>
      <c r="BB997" s="502"/>
      <c r="BC997" s="502"/>
      <c r="BD997" s="502"/>
      <c r="BE997" s="502"/>
      <c r="BF997" s="502"/>
      <c r="BG997" s="502"/>
      <c r="BH997" s="502"/>
      <c r="BI997" s="502"/>
      <c r="BJ997" s="502"/>
      <c r="BK997" s="502"/>
      <c r="BL997" s="502"/>
      <c r="BM997" s="502"/>
      <c r="BN997" s="502"/>
      <c r="BO997" s="502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  <c r="CZ997" s="5"/>
      <c r="DA997" s="5"/>
      <c r="DB997" s="5"/>
      <c r="DC997" s="5"/>
      <c r="DD997" s="5"/>
      <c r="DE997" s="5"/>
      <c r="DF997" s="5"/>
      <c r="DG997" s="5"/>
      <c r="DH997" s="5"/>
      <c r="DI997" s="5"/>
      <c r="DJ997" s="5"/>
      <c r="DK997" s="5"/>
      <c r="DL997" s="5"/>
      <c r="DM997" s="5"/>
      <c r="DN997" s="5"/>
      <c r="DO997" s="5"/>
      <c r="DP997" s="5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</row>
    <row r="998" s="504" customFormat="true" ht="12.75" hidden="true" customHeight="true" outlineLevel="0" collapsed="false">
      <c r="A998" s="5"/>
      <c r="B998" s="813" t="n">
        <f aca="false">B997+1</f>
        <v>783</v>
      </c>
      <c r="C998" s="814" t="n">
        <f aca="false">C997+D998</f>
        <v>110063.29757097</v>
      </c>
      <c r="D998" s="815" t="n">
        <f aca="false">E998*$E$205*M998</f>
        <v>202.768100910889</v>
      </c>
      <c r="E998" s="601" t="n">
        <f aca="false">E997+$C$204</f>
        <v>12.8594686016545</v>
      </c>
      <c r="F998" s="816" t="n">
        <f aca="false">F997+1</f>
        <v>783</v>
      </c>
      <c r="G998" s="775" t="n">
        <f aca="false">C998</f>
        <v>110063.29757097</v>
      </c>
      <c r="H998" s="817" t="n">
        <f aca="false">1000*(E998-E997)</f>
        <v>9.99999999999979</v>
      </c>
      <c r="I998" s="5"/>
      <c r="J998" s="818" t="n">
        <f aca="false">1000*(E998-$E$215)/(B998-$B$215)</f>
        <v>12.0100508666305</v>
      </c>
      <c r="K998" s="732" t="n">
        <f aca="false">AVERAGE($E$216:E998)</f>
        <v>8.93976234367249</v>
      </c>
      <c r="L998" s="819" t="n">
        <f aca="false">L997+1</f>
        <v>783</v>
      </c>
      <c r="M998" s="820" t="n">
        <f aca="false">IF(B998&lt;$E$104,$E$105,$E$106)</f>
        <v>3</v>
      </c>
      <c r="N998" s="821" t="n">
        <f aca="false">IF(B998&lt;$E$104,$E$105,$E$111)</f>
        <v>2.5</v>
      </c>
      <c r="O998" s="822" t="n">
        <f aca="false">E998*$E$205*N998</f>
        <v>168.97341742574</v>
      </c>
      <c r="P998" s="823" t="n">
        <f aca="false">P997+O998</f>
        <v>91771.0952428509</v>
      </c>
      <c r="Q998" s="606" t="n">
        <f aca="false">Q997+1</f>
        <v>783</v>
      </c>
      <c r="R998" s="824" t="n">
        <f aca="false">R997-1</f>
        <v>-783</v>
      </c>
      <c r="S998" s="5"/>
      <c r="T998" s="5"/>
      <c r="U998" s="5"/>
      <c r="V998" s="10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02"/>
      <c r="AU998" s="502"/>
      <c r="AV998" s="606"/>
      <c r="AW998" s="502"/>
      <c r="AX998" s="502"/>
      <c r="AY998" s="502"/>
      <c r="AZ998" s="502"/>
      <c r="BA998" s="502"/>
      <c r="BB998" s="502"/>
      <c r="BC998" s="502"/>
      <c r="BD998" s="502"/>
      <c r="BE998" s="502"/>
      <c r="BF998" s="502"/>
      <c r="BG998" s="502"/>
      <c r="BH998" s="502"/>
      <c r="BI998" s="502"/>
      <c r="BJ998" s="502"/>
      <c r="BK998" s="502"/>
      <c r="BL998" s="502"/>
      <c r="BM998" s="502"/>
      <c r="BN998" s="502"/>
      <c r="BO998" s="502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  <c r="CX998" s="5"/>
      <c r="CY998" s="5"/>
      <c r="CZ998" s="5"/>
      <c r="DA998" s="5"/>
      <c r="DB998" s="5"/>
      <c r="DC998" s="5"/>
      <c r="DD998" s="5"/>
      <c r="DE998" s="5"/>
      <c r="DF998" s="5"/>
      <c r="DG998" s="5"/>
      <c r="DH998" s="5"/>
      <c r="DI998" s="5"/>
      <c r="DJ998" s="5"/>
      <c r="DK998" s="5"/>
      <c r="DL998" s="5"/>
      <c r="DM998" s="5"/>
      <c r="DN998" s="5"/>
      <c r="DO998" s="5"/>
      <c r="DP998" s="5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</row>
    <row r="999" s="504" customFormat="true" ht="12.75" hidden="true" customHeight="true" outlineLevel="0" collapsed="false">
      <c r="A999" s="5"/>
      <c r="B999" s="813" t="n">
        <f aca="false">B998+1</f>
        <v>784</v>
      </c>
      <c r="C999" s="814" t="n">
        <f aca="false">C998+D999</f>
        <v>110266.22335188</v>
      </c>
      <c r="D999" s="815" t="n">
        <f aca="false">E999*$E$205*M999</f>
        <v>202.925780910889</v>
      </c>
      <c r="E999" s="601" t="n">
        <f aca="false">E998+$C$204</f>
        <v>12.8694686016545</v>
      </c>
      <c r="F999" s="816" t="n">
        <f aca="false">F998+1</f>
        <v>784</v>
      </c>
      <c r="G999" s="775" t="n">
        <f aca="false">C999</f>
        <v>110266.22335188</v>
      </c>
      <c r="H999" s="817" t="n">
        <f aca="false">1000*(E999-E998)</f>
        <v>9.99999999999979</v>
      </c>
      <c r="I999" s="5"/>
      <c r="J999" s="818" t="n">
        <f aca="false">1000*(E999-$E$215)/(B999-$B$215)</f>
        <v>12.0074870262394</v>
      </c>
      <c r="K999" s="732" t="n">
        <f aca="false">AVERAGE($E$216:E999)</f>
        <v>8.94477472410359</v>
      </c>
      <c r="L999" s="819" t="n">
        <f aca="false">L998+1</f>
        <v>784</v>
      </c>
      <c r="M999" s="820" t="n">
        <f aca="false">IF(B999&lt;$E$104,$E$105,$E$106)</f>
        <v>3</v>
      </c>
      <c r="N999" s="821" t="n">
        <f aca="false">IF(B999&lt;$E$104,$E$105,$E$111)</f>
        <v>2.5</v>
      </c>
      <c r="O999" s="822" t="n">
        <f aca="false">E999*$E$205*N999</f>
        <v>169.10481742574</v>
      </c>
      <c r="P999" s="823" t="n">
        <f aca="false">P998+O999</f>
        <v>91940.2000602766</v>
      </c>
      <c r="Q999" s="606" t="n">
        <f aca="false">Q998+1</f>
        <v>784</v>
      </c>
      <c r="R999" s="824" t="n">
        <f aca="false">R998-1</f>
        <v>-784</v>
      </c>
      <c r="S999" s="5"/>
      <c r="T999" s="5"/>
      <c r="U999" s="5"/>
      <c r="V999" s="10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02"/>
      <c r="AU999" s="502"/>
      <c r="AV999" s="606"/>
      <c r="AW999" s="502"/>
      <c r="AX999" s="502"/>
      <c r="AY999" s="502"/>
      <c r="AZ999" s="502"/>
      <c r="BA999" s="502"/>
      <c r="BB999" s="502"/>
      <c r="BC999" s="502"/>
      <c r="BD999" s="502"/>
      <c r="BE999" s="502"/>
      <c r="BF999" s="502"/>
      <c r="BG999" s="502"/>
      <c r="BH999" s="502"/>
      <c r="BI999" s="502"/>
      <c r="BJ999" s="502"/>
      <c r="BK999" s="502"/>
      <c r="BL999" s="502"/>
      <c r="BM999" s="502"/>
      <c r="BN999" s="502"/>
      <c r="BO999" s="502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  <c r="CX999" s="5"/>
      <c r="CY999" s="5"/>
      <c r="CZ999" s="5"/>
      <c r="DA999" s="5"/>
      <c r="DB999" s="5"/>
      <c r="DC999" s="5"/>
      <c r="DD999" s="5"/>
      <c r="DE999" s="5"/>
      <c r="DF999" s="5"/>
      <c r="DG999" s="5"/>
      <c r="DH999" s="5"/>
      <c r="DI999" s="5"/>
      <c r="DJ999" s="5"/>
      <c r="DK999" s="5"/>
      <c r="DL999" s="5"/>
      <c r="DM999" s="5"/>
      <c r="DN999" s="5"/>
      <c r="DO999" s="5"/>
      <c r="DP999" s="5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</row>
    <row r="1000" s="504" customFormat="true" ht="12.75" hidden="true" customHeight="true" outlineLevel="0" collapsed="false">
      <c r="A1000" s="5"/>
      <c r="B1000" s="813" t="n">
        <f aca="false">B999+1</f>
        <v>785</v>
      </c>
      <c r="C1000" s="814" t="n">
        <f aca="false">C999+D1000</f>
        <v>110469.306812791</v>
      </c>
      <c r="D1000" s="815" t="n">
        <f aca="false">E1000*$E$205*M1000</f>
        <v>203.083460910889</v>
      </c>
      <c r="E1000" s="601" t="n">
        <f aca="false">E999+$C$204</f>
        <v>12.8794686016545</v>
      </c>
      <c r="F1000" s="816" t="n">
        <f aca="false">F999+1</f>
        <v>785</v>
      </c>
      <c r="G1000" s="775" t="n">
        <f aca="false">C1000</f>
        <v>110469.306812791</v>
      </c>
      <c r="H1000" s="817" t="n">
        <f aca="false">1000*(E1000-E999)</f>
        <v>9.99999999999979</v>
      </c>
      <c r="I1000" s="5"/>
      <c r="J1000" s="818" t="n">
        <f aca="false">1000*(E1000-$E$215)/(B1000-$B$215)</f>
        <v>12.0049297179257</v>
      </c>
      <c r="K1000" s="732" t="n">
        <f aca="false">AVERAGE($E$216:E1000)</f>
        <v>8.94978707299219</v>
      </c>
      <c r="L1000" s="819" t="n">
        <f aca="false">L999+1</f>
        <v>785</v>
      </c>
      <c r="M1000" s="820" t="n">
        <f aca="false">IF(B1000&lt;$E$104,$E$105,$E$106)</f>
        <v>3</v>
      </c>
      <c r="N1000" s="821" t="n">
        <f aca="false">IF(B1000&lt;$E$104,$E$105,$E$111)</f>
        <v>2.5</v>
      </c>
      <c r="O1000" s="822" t="n">
        <f aca="false">E1000*$E$205*N1000</f>
        <v>169.23621742574</v>
      </c>
      <c r="P1000" s="823" t="n">
        <f aca="false">P999+O1000</f>
        <v>92109.4362777023</v>
      </c>
      <c r="Q1000" s="606" t="n">
        <f aca="false">Q999+1</f>
        <v>785</v>
      </c>
      <c r="R1000" s="824" t="n">
        <f aca="false">R999-1</f>
        <v>-785</v>
      </c>
      <c r="S1000" s="5"/>
      <c r="T1000" s="5"/>
      <c r="U1000" s="5"/>
      <c r="V1000" s="10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02"/>
      <c r="AU1000" s="502"/>
      <c r="AV1000" s="606"/>
      <c r="AW1000" s="502"/>
      <c r="AX1000" s="502"/>
      <c r="AY1000" s="502"/>
      <c r="AZ1000" s="502"/>
      <c r="BA1000" s="502"/>
      <c r="BB1000" s="502"/>
      <c r="BC1000" s="502"/>
      <c r="BD1000" s="502"/>
      <c r="BE1000" s="502"/>
      <c r="BF1000" s="502"/>
      <c r="BG1000" s="502"/>
      <c r="BH1000" s="502"/>
      <c r="BI1000" s="502"/>
      <c r="BJ1000" s="502"/>
      <c r="BK1000" s="502"/>
      <c r="BL1000" s="502"/>
      <c r="BM1000" s="502"/>
      <c r="BN1000" s="502"/>
      <c r="BO1000" s="502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5"/>
      <c r="CX1000" s="5"/>
      <c r="CY1000" s="5"/>
      <c r="CZ1000" s="5"/>
      <c r="DA1000" s="5"/>
      <c r="DB1000" s="5"/>
      <c r="DC1000" s="5"/>
      <c r="DD1000" s="5"/>
      <c r="DE1000" s="5"/>
      <c r="DF1000" s="5"/>
      <c r="DG1000" s="5"/>
      <c r="DH1000" s="5"/>
      <c r="DI1000" s="5"/>
      <c r="DJ1000" s="5"/>
      <c r="DK1000" s="5"/>
      <c r="DL1000" s="5"/>
      <c r="DM1000" s="5"/>
      <c r="DN1000" s="5"/>
      <c r="DO1000" s="5"/>
      <c r="DP1000" s="5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</row>
    <row r="1001" s="504" customFormat="true" ht="12.75" hidden="true" customHeight="true" outlineLevel="0" collapsed="false">
      <c r="A1001" s="5"/>
      <c r="B1001" s="813" t="n">
        <f aca="false">B1000+1</f>
        <v>786</v>
      </c>
      <c r="C1001" s="814" t="n">
        <f aca="false">C1000+D1001</f>
        <v>110672.547953702</v>
      </c>
      <c r="D1001" s="815" t="n">
        <f aca="false">E1001*$E$205*M1001</f>
        <v>203.241140910889</v>
      </c>
      <c r="E1001" s="601" t="n">
        <f aca="false">E1000+$C$204</f>
        <v>12.8894686016545</v>
      </c>
      <c r="F1001" s="816" t="n">
        <f aca="false">F1000+1</f>
        <v>786</v>
      </c>
      <c r="G1001" s="775" t="n">
        <f aca="false">C1001</f>
        <v>110672.547953702</v>
      </c>
      <c r="H1001" s="817" t="n">
        <f aca="false">1000*(E1001-E1000)</f>
        <v>9.99999999999979</v>
      </c>
      <c r="I1001" s="5"/>
      <c r="J1001" s="818" t="n">
        <f aca="false">1000*(E1001-$E$215)/(B1001-$B$215)</f>
        <v>12.0023789167579</v>
      </c>
      <c r="K1001" s="732" t="n">
        <f aca="false">AVERAGE($E$216:E1001)</f>
        <v>8.95479939045868</v>
      </c>
      <c r="L1001" s="819" t="n">
        <f aca="false">L1000+1</f>
        <v>786</v>
      </c>
      <c r="M1001" s="820" t="n">
        <f aca="false">IF(B1001&lt;$E$104,$E$105,$E$106)</f>
        <v>3</v>
      </c>
      <c r="N1001" s="821" t="n">
        <f aca="false">IF(B1001&lt;$E$104,$E$105,$E$111)</f>
        <v>2.5</v>
      </c>
      <c r="O1001" s="822" t="n">
        <f aca="false">E1001*$E$205*N1001</f>
        <v>169.36761742574</v>
      </c>
      <c r="P1001" s="823" t="n">
        <f aca="false">P1000+O1001</f>
        <v>92278.8038951281</v>
      </c>
      <c r="Q1001" s="606" t="n">
        <f aca="false">Q1000+1</f>
        <v>786</v>
      </c>
      <c r="R1001" s="824" t="n">
        <f aca="false">R1000-1</f>
        <v>-786</v>
      </c>
      <c r="S1001" s="5"/>
      <c r="T1001" s="5"/>
      <c r="U1001" s="5"/>
      <c r="V1001" s="10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02"/>
      <c r="AU1001" s="502"/>
      <c r="AV1001" s="606"/>
      <c r="AW1001" s="502"/>
      <c r="AX1001" s="502"/>
      <c r="AY1001" s="502"/>
      <c r="AZ1001" s="502"/>
      <c r="BA1001" s="502"/>
      <c r="BB1001" s="502"/>
      <c r="BC1001" s="502"/>
      <c r="BD1001" s="502"/>
      <c r="BE1001" s="502"/>
      <c r="BF1001" s="502"/>
      <c r="BG1001" s="502"/>
      <c r="BH1001" s="502"/>
      <c r="BI1001" s="502"/>
      <c r="BJ1001" s="502"/>
      <c r="BK1001" s="502"/>
      <c r="BL1001" s="502"/>
      <c r="BM1001" s="502"/>
      <c r="BN1001" s="502"/>
      <c r="BO1001" s="502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  <c r="DE1001" s="5"/>
      <c r="DF1001" s="5"/>
      <c r="DG1001" s="5"/>
      <c r="DH1001" s="5"/>
      <c r="DI1001" s="5"/>
      <c r="DJ1001" s="5"/>
      <c r="DK1001" s="5"/>
      <c r="DL1001" s="5"/>
      <c r="DM1001" s="5"/>
      <c r="DN1001" s="5"/>
      <c r="DO1001" s="5"/>
      <c r="DP1001" s="5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</row>
    <row r="1002" s="504" customFormat="true" ht="12.75" hidden="true" customHeight="true" outlineLevel="0" collapsed="false">
      <c r="A1002" s="5"/>
      <c r="B1002" s="813" t="n">
        <f aca="false">B1001+1</f>
        <v>787</v>
      </c>
      <c r="C1002" s="814" t="n">
        <f aca="false">C1001+D1002</f>
        <v>110875.946774613</v>
      </c>
      <c r="D1002" s="815" t="n">
        <f aca="false">E1002*$E$205*M1002</f>
        <v>203.398820910889</v>
      </c>
      <c r="E1002" s="601" t="n">
        <f aca="false">E1001+$C$204</f>
        <v>12.8994686016545</v>
      </c>
      <c r="F1002" s="816" t="n">
        <f aca="false">F1001+1</f>
        <v>787</v>
      </c>
      <c r="G1002" s="775" t="n">
        <f aca="false">C1002</f>
        <v>110875.946774613</v>
      </c>
      <c r="H1002" s="817" t="n">
        <f aca="false">1000*(E1002-E1001)</f>
        <v>9.99999999999979</v>
      </c>
      <c r="I1002" s="5"/>
      <c r="J1002" s="818" t="n">
        <f aca="false">1000*(E1002-$E$215)/(B1002-$B$215)</f>
        <v>11.999834597931</v>
      </c>
      <c r="K1002" s="732" t="n">
        <f aca="false">AVERAGE($E$216:E1002)</f>
        <v>8.95981167662284</v>
      </c>
      <c r="L1002" s="819" t="n">
        <f aca="false">L1001+1</f>
        <v>787</v>
      </c>
      <c r="M1002" s="820" t="n">
        <f aca="false">IF(B1002&lt;$E$104,$E$105,$E$106)</f>
        <v>3</v>
      </c>
      <c r="N1002" s="821" t="n">
        <f aca="false">IF(B1002&lt;$E$104,$E$105,$E$111)</f>
        <v>2.5</v>
      </c>
      <c r="O1002" s="822" t="n">
        <f aca="false">E1002*$E$205*N1002</f>
        <v>169.49901742574</v>
      </c>
      <c r="P1002" s="823" t="n">
        <f aca="false">P1001+O1002</f>
        <v>92448.3029125538</v>
      </c>
      <c r="Q1002" s="606" t="n">
        <f aca="false">Q1001+1</f>
        <v>787</v>
      </c>
      <c r="R1002" s="824" t="n">
        <f aca="false">R1001-1</f>
        <v>-787</v>
      </c>
      <c r="S1002" s="5"/>
      <c r="T1002" s="5"/>
      <c r="U1002" s="5"/>
      <c r="V1002" s="10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02"/>
      <c r="AU1002" s="502"/>
      <c r="AV1002" s="606"/>
      <c r="AW1002" s="502"/>
      <c r="AX1002" s="502"/>
      <c r="AY1002" s="502"/>
      <c r="AZ1002" s="502"/>
      <c r="BA1002" s="502"/>
      <c r="BB1002" s="502"/>
      <c r="BC1002" s="502"/>
      <c r="BD1002" s="502"/>
      <c r="BE1002" s="502"/>
      <c r="BF1002" s="502"/>
      <c r="BG1002" s="502"/>
      <c r="BH1002" s="502"/>
      <c r="BI1002" s="502"/>
      <c r="BJ1002" s="502"/>
      <c r="BK1002" s="502"/>
      <c r="BL1002" s="502"/>
      <c r="BM1002" s="502"/>
      <c r="BN1002" s="502"/>
      <c r="BO1002" s="502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  <c r="DA1002" s="5"/>
      <c r="DB1002" s="5"/>
      <c r="DC1002" s="5"/>
      <c r="DD1002" s="5"/>
      <c r="DE1002" s="5"/>
      <c r="DF1002" s="5"/>
      <c r="DG1002" s="5"/>
      <c r="DH1002" s="5"/>
      <c r="DI1002" s="5"/>
      <c r="DJ1002" s="5"/>
      <c r="DK1002" s="5"/>
      <c r="DL1002" s="5"/>
      <c r="DM1002" s="5"/>
      <c r="DN1002" s="5"/>
      <c r="DO1002" s="5"/>
      <c r="DP1002" s="5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</row>
    <row r="1003" s="504" customFormat="true" ht="12.75" hidden="true" customHeight="true" outlineLevel="0" collapsed="false">
      <c r="A1003" s="5"/>
      <c r="B1003" s="813" t="n">
        <f aca="false">B1002+1</f>
        <v>788</v>
      </c>
      <c r="C1003" s="814" t="n">
        <f aca="false">C1002+D1003</f>
        <v>111079.503275524</v>
      </c>
      <c r="D1003" s="815" t="n">
        <f aca="false">E1003*$E$205*M1003</f>
        <v>203.556500910888</v>
      </c>
      <c r="E1003" s="601" t="n">
        <f aca="false">E1002+$C$204</f>
        <v>12.9094686016545</v>
      </c>
      <c r="F1003" s="816" t="n">
        <f aca="false">F1002+1</f>
        <v>788</v>
      </c>
      <c r="G1003" s="775" t="n">
        <f aca="false">C1003</f>
        <v>111079.503275524</v>
      </c>
      <c r="H1003" s="817" t="n">
        <f aca="false">1000*(E1003-E1002)</f>
        <v>9.99999999999979</v>
      </c>
      <c r="I1003" s="5"/>
      <c r="J1003" s="818" t="n">
        <f aca="false">1000*(E1003-$E$215)/(B1003-$B$215)</f>
        <v>11.9972967367661</v>
      </c>
      <c r="K1003" s="732" t="n">
        <f aca="false">AVERAGE($E$216:E1003)</f>
        <v>8.96482393160385</v>
      </c>
      <c r="L1003" s="819" t="n">
        <f aca="false">L1002+1</f>
        <v>788</v>
      </c>
      <c r="M1003" s="820" t="n">
        <f aca="false">IF(B1003&lt;$E$104,$E$105,$E$106)</f>
        <v>3</v>
      </c>
      <c r="N1003" s="821" t="n">
        <f aca="false">IF(B1003&lt;$E$104,$E$105,$E$111)</f>
        <v>2.5</v>
      </c>
      <c r="O1003" s="822" t="n">
        <f aca="false">E1003*$E$205*N1003</f>
        <v>169.63041742574</v>
      </c>
      <c r="P1003" s="823" t="n">
        <f aca="false">P1002+O1003</f>
        <v>92617.9333299796</v>
      </c>
      <c r="Q1003" s="606" t="n">
        <f aca="false">Q1002+1</f>
        <v>788</v>
      </c>
      <c r="R1003" s="824" t="n">
        <f aca="false">R1002-1</f>
        <v>-788</v>
      </c>
      <c r="S1003" s="5"/>
      <c r="T1003" s="5"/>
      <c r="U1003" s="5"/>
      <c r="V1003" s="10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02"/>
      <c r="AU1003" s="502"/>
      <c r="AV1003" s="606"/>
      <c r="AW1003" s="502"/>
      <c r="AX1003" s="502"/>
      <c r="AY1003" s="502"/>
      <c r="AZ1003" s="502"/>
      <c r="BA1003" s="502"/>
      <c r="BB1003" s="502"/>
      <c r="BC1003" s="502"/>
      <c r="BD1003" s="502"/>
      <c r="BE1003" s="502"/>
      <c r="BF1003" s="502"/>
      <c r="BG1003" s="502"/>
      <c r="BH1003" s="502"/>
      <c r="BI1003" s="502"/>
      <c r="BJ1003" s="502"/>
      <c r="BK1003" s="502"/>
      <c r="BL1003" s="502"/>
      <c r="BM1003" s="502"/>
      <c r="BN1003" s="502"/>
      <c r="BO1003" s="502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5"/>
      <c r="CX1003" s="5"/>
      <c r="CY1003" s="5"/>
      <c r="CZ1003" s="5"/>
      <c r="DA1003" s="5"/>
      <c r="DB1003" s="5"/>
      <c r="DC1003" s="5"/>
      <c r="DD1003" s="5"/>
      <c r="DE1003" s="5"/>
      <c r="DF1003" s="5"/>
      <c r="DG1003" s="5"/>
      <c r="DH1003" s="5"/>
      <c r="DI1003" s="5"/>
      <c r="DJ1003" s="5"/>
      <c r="DK1003" s="5"/>
      <c r="DL1003" s="5"/>
      <c r="DM1003" s="5"/>
      <c r="DN1003" s="5"/>
      <c r="DO1003" s="5"/>
      <c r="DP1003" s="5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</row>
    <row r="1004" s="504" customFormat="true" ht="12.75" hidden="true" customHeight="true" outlineLevel="0" collapsed="false">
      <c r="A1004" s="5"/>
      <c r="B1004" s="813" t="n">
        <f aca="false">B1003+1</f>
        <v>789</v>
      </c>
      <c r="C1004" s="814" t="n">
        <f aca="false">C1003+D1004</f>
        <v>111283.217456435</v>
      </c>
      <c r="D1004" s="815" t="n">
        <f aca="false">E1004*$E$205*M1004</f>
        <v>203.714180910888</v>
      </c>
      <c r="E1004" s="601" t="n">
        <f aca="false">E1003+$C$204</f>
        <v>12.9194686016545</v>
      </c>
      <c r="F1004" s="816" t="n">
        <f aca="false">F1003+1</f>
        <v>789</v>
      </c>
      <c r="G1004" s="775" t="n">
        <f aca="false">C1004</f>
        <v>111283.217456435</v>
      </c>
      <c r="H1004" s="817" t="n">
        <f aca="false">1000*(E1004-E1003)</f>
        <v>9.99999999999979</v>
      </c>
      <c r="I1004" s="5"/>
      <c r="J1004" s="818" t="n">
        <f aca="false">1000*(E1004-$E$215)/(B1004-$B$215)</f>
        <v>11.9947653087094</v>
      </c>
      <c r="K1004" s="732" t="n">
        <f aca="false">AVERAGE($E$216:E1004)</f>
        <v>8.96983615552026</v>
      </c>
      <c r="L1004" s="819" t="n">
        <f aca="false">L1003+1</f>
        <v>789</v>
      </c>
      <c r="M1004" s="820" t="n">
        <f aca="false">IF(B1004&lt;$E$104,$E$105,$E$106)</f>
        <v>3</v>
      </c>
      <c r="N1004" s="821" t="n">
        <f aca="false">IF(B1004&lt;$E$104,$E$105,$E$111)</f>
        <v>2.5</v>
      </c>
      <c r="O1004" s="822" t="n">
        <f aca="false">E1004*$E$205*N1004</f>
        <v>169.76181742574</v>
      </c>
      <c r="P1004" s="823" t="n">
        <f aca="false">P1003+O1004</f>
        <v>92787.6951474053</v>
      </c>
      <c r="Q1004" s="606" t="n">
        <f aca="false">Q1003+1</f>
        <v>789</v>
      </c>
      <c r="R1004" s="824" t="n">
        <f aca="false">R1003-1</f>
        <v>-789</v>
      </c>
      <c r="S1004" s="5"/>
      <c r="T1004" s="5"/>
      <c r="U1004" s="5"/>
      <c r="V1004" s="10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02"/>
      <c r="AU1004" s="502"/>
      <c r="AV1004" s="606"/>
      <c r="AW1004" s="502"/>
      <c r="AX1004" s="502"/>
      <c r="AY1004" s="502"/>
      <c r="AZ1004" s="502"/>
      <c r="BA1004" s="502"/>
      <c r="BB1004" s="502"/>
      <c r="BC1004" s="502"/>
      <c r="BD1004" s="502"/>
      <c r="BE1004" s="502"/>
      <c r="BF1004" s="502"/>
      <c r="BG1004" s="502"/>
      <c r="BH1004" s="502"/>
      <c r="BI1004" s="502"/>
      <c r="BJ1004" s="502"/>
      <c r="BK1004" s="502"/>
      <c r="BL1004" s="502"/>
      <c r="BM1004" s="502"/>
      <c r="BN1004" s="502"/>
      <c r="BO1004" s="502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  <c r="DA1004" s="5"/>
      <c r="DB1004" s="5"/>
      <c r="DC1004" s="5"/>
      <c r="DD1004" s="5"/>
      <c r="DE1004" s="5"/>
      <c r="DF1004" s="5"/>
      <c r="DG1004" s="5"/>
      <c r="DH1004" s="5"/>
      <c r="DI1004" s="5"/>
      <c r="DJ1004" s="5"/>
      <c r="DK1004" s="5"/>
      <c r="DL1004" s="5"/>
      <c r="DM1004" s="5"/>
      <c r="DN1004" s="5"/>
      <c r="DO1004" s="5"/>
      <c r="DP1004" s="5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</row>
    <row r="1005" s="504" customFormat="true" ht="12.75" hidden="true" customHeight="true" outlineLevel="0" collapsed="false">
      <c r="A1005" s="5"/>
      <c r="B1005" s="813" t="n">
        <f aca="false">B1004+1</f>
        <v>790</v>
      </c>
      <c r="C1005" s="814" t="n">
        <f aca="false">C1004+D1005</f>
        <v>111487.089317346</v>
      </c>
      <c r="D1005" s="815" t="n">
        <f aca="false">E1005*$E$205*M1005</f>
        <v>203.871860910888</v>
      </c>
      <c r="E1005" s="601" t="n">
        <f aca="false">E1004+$C$204</f>
        <v>12.9294686016545</v>
      </c>
      <c r="F1005" s="816" t="n">
        <f aca="false">F1004+1</f>
        <v>790</v>
      </c>
      <c r="G1005" s="775" t="n">
        <f aca="false">C1005</f>
        <v>111487.089317346</v>
      </c>
      <c r="H1005" s="817" t="n">
        <f aca="false">1000*(E1005-E1004)</f>
        <v>9.99999999999979</v>
      </c>
      <c r="I1005" s="5"/>
      <c r="J1005" s="818" t="n">
        <f aca="false">1000*(E1005-$E$215)/(B1005-$B$215)</f>
        <v>11.9922402893312</v>
      </c>
      <c r="K1005" s="732" t="n">
        <f aca="false">AVERAGE($E$216:E1005)</f>
        <v>8.97484834849005</v>
      </c>
      <c r="L1005" s="819" t="n">
        <f aca="false">L1004+1</f>
        <v>790</v>
      </c>
      <c r="M1005" s="820" t="n">
        <f aca="false">IF(B1005&lt;$E$104,$E$105,$E$106)</f>
        <v>3</v>
      </c>
      <c r="N1005" s="821" t="n">
        <f aca="false">IF(B1005&lt;$E$104,$E$105,$E$111)</f>
        <v>2.5</v>
      </c>
      <c r="O1005" s="822" t="n">
        <f aca="false">E1005*$E$205*N1005</f>
        <v>169.89321742574</v>
      </c>
      <c r="P1005" s="823" t="n">
        <f aca="false">P1004+O1005</f>
        <v>92957.588364831</v>
      </c>
      <c r="Q1005" s="606" t="n">
        <f aca="false">Q1004+1</f>
        <v>790</v>
      </c>
      <c r="R1005" s="824" t="n">
        <f aca="false">R1004-1</f>
        <v>-790</v>
      </c>
      <c r="S1005" s="5"/>
      <c r="T1005" s="5"/>
      <c r="U1005" s="5"/>
      <c r="V1005" s="10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02"/>
      <c r="AU1005" s="502"/>
      <c r="AV1005" s="606"/>
      <c r="AW1005" s="502"/>
      <c r="AX1005" s="502"/>
      <c r="AY1005" s="502"/>
      <c r="AZ1005" s="502"/>
      <c r="BA1005" s="502"/>
      <c r="BB1005" s="502"/>
      <c r="BC1005" s="502"/>
      <c r="BD1005" s="502"/>
      <c r="BE1005" s="502"/>
      <c r="BF1005" s="502"/>
      <c r="BG1005" s="502"/>
      <c r="BH1005" s="502"/>
      <c r="BI1005" s="502"/>
      <c r="BJ1005" s="502"/>
      <c r="BK1005" s="502"/>
      <c r="BL1005" s="502"/>
      <c r="BM1005" s="502"/>
      <c r="BN1005" s="502"/>
      <c r="BO1005" s="502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5"/>
      <c r="CX1005" s="5"/>
      <c r="CY1005" s="5"/>
      <c r="CZ1005" s="5"/>
      <c r="DA1005" s="5"/>
      <c r="DB1005" s="5"/>
      <c r="DC1005" s="5"/>
      <c r="DD1005" s="5"/>
      <c r="DE1005" s="5"/>
      <c r="DF1005" s="5"/>
      <c r="DG1005" s="5"/>
      <c r="DH1005" s="5"/>
      <c r="DI1005" s="5"/>
      <c r="DJ1005" s="5"/>
      <c r="DK1005" s="5"/>
      <c r="DL1005" s="5"/>
      <c r="DM1005" s="5"/>
      <c r="DN1005" s="5"/>
      <c r="DO1005" s="5"/>
      <c r="DP1005" s="5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</row>
    <row r="1006" s="504" customFormat="true" ht="12.75" hidden="true" customHeight="true" outlineLevel="0" collapsed="false">
      <c r="A1006" s="5"/>
      <c r="B1006" s="813" t="n">
        <f aca="false">B1005+1</f>
        <v>791</v>
      </c>
      <c r="C1006" s="814" t="n">
        <f aca="false">C1005+D1006</f>
        <v>111691.118858257</v>
      </c>
      <c r="D1006" s="815" t="n">
        <f aca="false">E1006*$E$205*M1006</f>
        <v>204.029540910888</v>
      </c>
      <c r="E1006" s="601" t="n">
        <f aca="false">E1005+$C$204</f>
        <v>12.9394686016545</v>
      </c>
      <c r="F1006" s="816" t="n">
        <f aca="false">F1005+1</f>
        <v>791</v>
      </c>
      <c r="G1006" s="775" t="n">
        <f aca="false">C1006</f>
        <v>111691.118858257</v>
      </c>
      <c r="H1006" s="817" t="n">
        <f aca="false">1000*(E1006-E1005)</f>
        <v>9.99999999999979</v>
      </c>
      <c r="I1006" s="5"/>
      <c r="J1006" s="818" t="n">
        <f aca="false">1000*(E1006-$E$215)/(B1006-$B$215)</f>
        <v>11.9897216543258</v>
      </c>
      <c r="K1006" s="732" t="n">
        <f aca="false">AVERAGE($E$216:E1006)</f>
        <v>8.97986051063059</v>
      </c>
      <c r="L1006" s="819" t="n">
        <f aca="false">L1005+1</f>
        <v>791</v>
      </c>
      <c r="M1006" s="820" t="n">
        <f aca="false">IF(B1006&lt;$E$104,$E$105,$E$106)</f>
        <v>3</v>
      </c>
      <c r="N1006" s="821" t="n">
        <f aca="false">IF(B1006&lt;$E$104,$E$105,$E$111)</f>
        <v>2.5</v>
      </c>
      <c r="O1006" s="822" t="n">
        <f aca="false">E1006*$E$205*N1006</f>
        <v>170.02461742574</v>
      </c>
      <c r="P1006" s="823" t="n">
        <f aca="false">P1005+O1006</f>
        <v>93127.6129822568</v>
      </c>
      <c r="Q1006" s="606" t="n">
        <f aca="false">Q1005+1</f>
        <v>791</v>
      </c>
      <c r="R1006" s="824" t="n">
        <f aca="false">R1005-1</f>
        <v>-791</v>
      </c>
      <c r="S1006" s="5"/>
      <c r="T1006" s="5"/>
      <c r="U1006" s="5"/>
      <c r="V1006" s="10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02"/>
      <c r="AU1006" s="502"/>
      <c r="AV1006" s="606"/>
      <c r="AW1006" s="502"/>
      <c r="AX1006" s="502"/>
      <c r="AY1006" s="502"/>
      <c r="AZ1006" s="502"/>
      <c r="BA1006" s="502"/>
      <c r="BB1006" s="502"/>
      <c r="BC1006" s="502"/>
      <c r="BD1006" s="502"/>
      <c r="BE1006" s="502"/>
      <c r="BF1006" s="502"/>
      <c r="BG1006" s="502"/>
      <c r="BH1006" s="502"/>
      <c r="BI1006" s="502"/>
      <c r="BJ1006" s="502"/>
      <c r="BK1006" s="502"/>
      <c r="BL1006" s="502"/>
      <c r="BM1006" s="502"/>
      <c r="BN1006" s="502"/>
      <c r="BO1006" s="502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  <c r="DE1006" s="5"/>
      <c r="DF1006" s="5"/>
      <c r="DG1006" s="5"/>
      <c r="DH1006" s="5"/>
      <c r="DI1006" s="5"/>
      <c r="DJ1006" s="5"/>
      <c r="DK1006" s="5"/>
      <c r="DL1006" s="5"/>
      <c r="DM1006" s="5"/>
      <c r="DN1006" s="5"/>
      <c r="DO1006" s="5"/>
      <c r="DP1006" s="5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</row>
    <row r="1007" s="504" customFormat="true" ht="12.75" hidden="true" customHeight="true" outlineLevel="0" collapsed="false">
      <c r="A1007" s="5"/>
      <c r="B1007" s="813" t="n">
        <f aca="false">B1006+1</f>
        <v>792</v>
      </c>
      <c r="C1007" s="814" t="n">
        <f aca="false">C1006+D1007</f>
        <v>111895.306079168</v>
      </c>
      <c r="D1007" s="815" t="n">
        <f aca="false">E1007*$E$205*M1007</f>
        <v>204.187220910888</v>
      </c>
      <c r="E1007" s="601" t="n">
        <f aca="false">E1006+$C$204</f>
        <v>12.9494686016545</v>
      </c>
      <c r="F1007" s="816" t="n">
        <f aca="false">F1006+1</f>
        <v>792</v>
      </c>
      <c r="G1007" s="775" t="n">
        <f aca="false">C1007</f>
        <v>111895.306079168</v>
      </c>
      <c r="H1007" s="817" t="n">
        <f aca="false">1000*(E1007-E1006)</f>
        <v>9.99999999999979</v>
      </c>
      <c r="I1007" s="5"/>
      <c r="J1007" s="818" t="n">
        <f aca="false">1000*(E1007-$E$215)/(B1007-$B$215)</f>
        <v>11.9872093795097</v>
      </c>
      <c r="K1007" s="732" t="n">
        <f aca="false">AVERAGE($E$216:E1007)</f>
        <v>8.98487264205865</v>
      </c>
      <c r="L1007" s="819" t="n">
        <f aca="false">L1006+1</f>
        <v>792</v>
      </c>
      <c r="M1007" s="820" t="n">
        <f aca="false">IF(B1007&lt;$E$104,$E$105,$E$106)</f>
        <v>3</v>
      </c>
      <c r="N1007" s="821" t="n">
        <f aca="false">IF(B1007&lt;$E$104,$E$105,$E$111)</f>
        <v>2.5</v>
      </c>
      <c r="O1007" s="822" t="n">
        <f aca="false">E1007*$E$205*N1007</f>
        <v>170.15601742574</v>
      </c>
      <c r="P1007" s="823" t="n">
        <f aca="false">P1006+O1007</f>
        <v>93297.7689996825</v>
      </c>
      <c r="Q1007" s="606" t="n">
        <f aca="false">Q1006+1</f>
        <v>792</v>
      </c>
      <c r="R1007" s="824" t="n">
        <f aca="false">R1006-1</f>
        <v>-792</v>
      </c>
      <c r="S1007" s="5"/>
      <c r="T1007" s="5"/>
      <c r="U1007" s="5"/>
      <c r="V1007" s="10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02"/>
      <c r="AU1007" s="502"/>
      <c r="AV1007" s="606"/>
      <c r="AW1007" s="502"/>
      <c r="AX1007" s="502"/>
      <c r="AY1007" s="502"/>
      <c r="AZ1007" s="502"/>
      <c r="BA1007" s="502"/>
      <c r="BB1007" s="502"/>
      <c r="BC1007" s="502"/>
      <c r="BD1007" s="502"/>
      <c r="BE1007" s="502"/>
      <c r="BF1007" s="502"/>
      <c r="BG1007" s="502"/>
      <c r="BH1007" s="502"/>
      <c r="BI1007" s="502"/>
      <c r="BJ1007" s="502"/>
      <c r="BK1007" s="502"/>
      <c r="BL1007" s="502"/>
      <c r="BM1007" s="502"/>
      <c r="BN1007" s="502"/>
      <c r="BO1007" s="502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  <c r="DE1007" s="5"/>
      <c r="DF1007" s="5"/>
      <c r="DG1007" s="5"/>
      <c r="DH1007" s="5"/>
      <c r="DI1007" s="5"/>
      <c r="DJ1007" s="5"/>
      <c r="DK1007" s="5"/>
      <c r="DL1007" s="5"/>
      <c r="DM1007" s="5"/>
      <c r="DN1007" s="5"/>
      <c r="DO1007" s="5"/>
      <c r="DP1007" s="5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</row>
    <row r="1008" s="504" customFormat="true" ht="12.75" hidden="true" customHeight="true" outlineLevel="0" collapsed="false">
      <c r="A1008" s="5"/>
      <c r="B1008" s="813" t="n">
        <f aca="false">B1007+1</f>
        <v>793</v>
      </c>
      <c r="C1008" s="814" t="n">
        <f aca="false">C1007+D1008</f>
        <v>112099.650980078</v>
      </c>
      <c r="D1008" s="815" t="n">
        <f aca="false">E1008*$E$205*M1008</f>
        <v>204.344900910888</v>
      </c>
      <c r="E1008" s="601" t="n">
        <f aca="false">E1007+$C$204</f>
        <v>12.9594686016545</v>
      </c>
      <c r="F1008" s="816" t="n">
        <f aca="false">F1007+1</f>
        <v>793</v>
      </c>
      <c r="G1008" s="775" t="n">
        <f aca="false">C1008</f>
        <v>112099.650980078</v>
      </c>
      <c r="H1008" s="817" t="n">
        <f aca="false">1000*(E1008-E1007)</f>
        <v>9.99999999999979</v>
      </c>
      <c r="I1008" s="5"/>
      <c r="J1008" s="818" t="n">
        <f aca="false">1000*(E1008-$E$215)/(B1008-$B$215)</f>
        <v>11.9847034408218</v>
      </c>
      <c r="K1008" s="732" t="n">
        <f aca="false">AVERAGE($E$216:E1008)</f>
        <v>8.98988474289042</v>
      </c>
      <c r="L1008" s="819" t="n">
        <f aca="false">L1007+1</f>
        <v>793</v>
      </c>
      <c r="M1008" s="820" t="n">
        <f aca="false">IF(B1008&lt;$E$104,$E$105,$E$106)</f>
        <v>3</v>
      </c>
      <c r="N1008" s="821" t="n">
        <f aca="false">IF(B1008&lt;$E$104,$E$105,$E$111)</f>
        <v>2.5</v>
      </c>
      <c r="O1008" s="822" t="n">
        <f aca="false">E1008*$E$205*N1008</f>
        <v>170.28741742574</v>
      </c>
      <c r="P1008" s="823" t="n">
        <f aca="false">P1007+O1008</f>
        <v>93468.0564171083</v>
      </c>
      <c r="Q1008" s="606" t="n">
        <f aca="false">Q1007+1</f>
        <v>793</v>
      </c>
      <c r="R1008" s="824" t="n">
        <f aca="false">R1007-1</f>
        <v>-793</v>
      </c>
      <c r="S1008" s="5"/>
      <c r="T1008" s="5"/>
      <c r="U1008" s="5"/>
      <c r="V1008" s="10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02"/>
      <c r="AU1008" s="502"/>
      <c r="AV1008" s="606"/>
      <c r="AW1008" s="502"/>
      <c r="AX1008" s="502"/>
      <c r="AY1008" s="502"/>
      <c r="AZ1008" s="502"/>
      <c r="BA1008" s="502"/>
      <c r="BB1008" s="502"/>
      <c r="BC1008" s="502"/>
      <c r="BD1008" s="502"/>
      <c r="BE1008" s="502"/>
      <c r="BF1008" s="502"/>
      <c r="BG1008" s="502"/>
      <c r="BH1008" s="502"/>
      <c r="BI1008" s="502"/>
      <c r="BJ1008" s="502"/>
      <c r="BK1008" s="502"/>
      <c r="BL1008" s="502"/>
      <c r="BM1008" s="502"/>
      <c r="BN1008" s="502"/>
      <c r="BO1008" s="502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  <c r="DE1008" s="5"/>
      <c r="DF1008" s="5"/>
      <c r="DG1008" s="5"/>
      <c r="DH1008" s="5"/>
      <c r="DI1008" s="5"/>
      <c r="DJ1008" s="5"/>
      <c r="DK1008" s="5"/>
      <c r="DL1008" s="5"/>
      <c r="DM1008" s="5"/>
      <c r="DN1008" s="5"/>
      <c r="DO1008" s="5"/>
      <c r="DP1008" s="5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</row>
    <row r="1009" s="504" customFormat="true" ht="12.75" hidden="true" customHeight="true" outlineLevel="0" collapsed="false">
      <c r="A1009" s="5"/>
      <c r="B1009" s="813" t="n">
        <f aca="false">B1008+1</f>
        <v>794</v>
      </c>
      <c r="C1009" s="814" t="n">
        <f aca="false">C1008+D1009</f>
        <v>112304.153560989</v>
      </c>
      <c r="D1009" s="815" t="n">
        <f aca="false">E1009*$E$205*M1009</f>
        <v>204.502580910888</v>
      </c>
      <c r="E1009" s="601" t="n">
        <f aca="false">E1008+$C$204</f>
        <v>12.9694686016545</v>
      </c>
      <c r="F1009" s="816" t="n">
        <f aca="false">F1008+1</f>
        <v>794</v>
      </c>
      <c r="G1009" s="775" t="n">
        <f aca="false">C1009</f>
        <v>112304.153560989</v>
      </c>
      <c r="H1009" s="817" t="n">
        <f aca="false">1000*(E1009-E1008)</f>
        <v>9.99999999999979</v>
      </c>
      <c r="I1009" s="5"/>
      <c r="J1009" s="818" t="n">
        <f aca="false">1000*(E1009-$E$215)/(B1009-$B$215)</f>
        <v>11.982203814322</v>
      </c>
      <c r="K1009" s="732" t="n">
        <f aca="false">AVERAGE($E$216:E1009)</f>
        <v>8.99489681324151</v>
      </c>
      <c r="L1009" s="819" t="n">
        <f aca="false">L1008+1</f>
        <v>794</v>
      </c>
      <c r="M1009" s="820" t="n">
        <f aca="false">IF(B1009&lt;$E$104,$E$105,$E$106)</f>
        <v>3</v>
      </c>
      <c r="N1009" s="821" t="n">
        <f aca="false">IF(B1009&lt;$E$104,$E$105,$E$111)</f>
        <v>2.5</v>
      </c>
      <c r="O1009" s="822" t="n">
        <f aca="false">E1009*$E$205*N1009</f>
        <v>170.41881742574</v>
      </c>
      <c r="P1009" s="823" t="n">
        <f aca="false">P1008+O1009</f>
        <v>93638.475234534</v>
      </c>
      <c r="Q1009" s="606" t="n">
        <f aca="false">Q1008+1</f>
        <v>794</v>
      </c>
      <c r="R1009" s="824" t="n">
        <f aca="false">R1008-1</f>
        <v>-794</v>
      </c>
      <c r="S1009" s="5"/>
      <c r="T1009" s="5"/>
      <c r="U1009" s="5"/>
      <c r="V1009" s="10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02"/>
      <c r="AU1009" s="502"/>
      <c r="AV1009" s="606"/>
      <c r="AW1009" s="502"/>
      <c r="AX1009" s="502"/>
      <c r="AY1009" s="502"/>
      <c r="AZ1009" s="502"/>
      <c r="BA1009" s="502"/>
      <c r="BB1009" s="502"/>
      <c r="BC1009" s="502"/>
      <c r="BD1009" s="502"/>
      <c r="BE1009" s="502"/>
      <c r="BF1009" s="502"/>
      <c r="BG1009" s="502"/>
      <c r="BH1009" s="502"/>
      <c r="BI1009" s="502"/>
      <c r="BJ1009" s="502"/>
      <c r="BK1009" s="502"/>
      <c r="BL1009" s="502"/>
      <c r="BM1009" s="502"/>
      <c r="BN1009" s="502"/>
      <c r="BO1009" s="502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  <c r="DE1009" s="5"/>
      <c r="DF1009" s="5"/>
      <c r="DG1009" s="5"/>
      <c r="DH1009" s="5"/>
      <c r="DI1009" s="5"/>
      <c r="DJ1009" s="5"/>
      <c r="DK1009" s="5"/>
      <c r="DL1009" s="5"/>
      <c r="DM1009" s="5"/>
      <c r="DN1009" s="5"/>
      <c r="DO1009" s="5"/>
      <c r="DP1009" s="5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</row>
    <row r="1010" s="504" customFormat="true" ht="12.75" hidden="true" customHeight="true" outlineLevel="0" collapsed="false">
      <c r="A1010" s="5"/>
      <c r="B1010" s="813" t="n">
        <f aca="false">B1009+1</f>
        <v>795</v>
      </c>
      <c r="C1010" s="814" t="n">
        <f aca="false">C1009+D1010</f>
        <v>112508.8138219</v>
      </c>
      <c r="D1010" s="815" t="n">
        <f aca="false">E1010*$E$205*M1010</f>
        <v>204.660260910889</v>
      </c>
      <c r="E1010" s="601" t="n">
        <f aca="false">E1009+$C$204</f>
        <v>12.9794686016545</v>
      </c>
      <c r="F1010" s="816" t="n">
        <f aca="false">F1009+1</f>
        <v>795</v>
      </c>
      <c r="G1010" s="775" t="n">
        <f aca="false">C1010</f>
        <v>112508.8138219</v>
      </c>
      <c r="H1010" s="817" t="n">
        <f aca="false">1000*(E1010-E1009)</f>
        <v>9.99999999999979</v>
      </c>
      <c r="I1010" s="5"/>
      <c r="J1010" s="818" t="n">
        <f aca="false">1000*(E1010-$E$215)/(B1010-$B$215)</f>
        <v>11.9797104761908</v>
      </c>
      <c r="K1010" s="732" t="n">
        <f aca="false">AVERAGE($E$216:E1010)</f>
        <v>8.99990885322693</v>
      </c>
      <c r="L1010" s="819" t="n">
        <f aca="false">L1009+1</f>
        <v>795</v>
      </c>
      <c r="M1010" s="820" t="n">
        <f aca="false">IF(B1010&lt;$E$104,$E$105,$E$106)</f>
        <v>3</v>
      </c>
      <c r="N1010" s="821" t="n">
        <f aca="false">IF(B1010&lt;$E$104,$E$105,$E$111)</f>
        <v>2.5</v>
      </c>
      <c r="O1010" s="822" t="n">
        <f aca="false">E1010*$E$205*N1010</f>
        <v>170.55021742574</v>
      </c>
      <c r="P1010" s="823" t="n">
        <f aca="false">P1009+O1010</f>
        <v>93809.0254519597</v>
      </c>
      <c r="Q1010" s="606" t="n">
        <f aca="false">Q1009+1</f>
        <v>795</v>
      </c>
      <c r="R1010" s="824" t="n">
        <f aca="false">R1009-1</f>
        <v>-795</v>
      </c>
      <c r="S1010" s="5"/>
      <c r="T1010" s="5"/>
      <c r="U1010" s="5"/>
      <c r="V1010" s="10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02"/>
      <c r="AU1010" s="502"/>
      <c r="AV1010" s="606"/>
      <c r="AW1010" s="502"/>
      <c r="AX1010" s="502"/>
      <c r="AY1010" s="502"/>
      <c r="AZ1010" s="502"/>
      <c r="BA1010" s="502"/>
      <c r="BB1010" s="502"/>
      <c r="BC1010" s="502"/>
      <c r="BD1010" s="502"/>
      <c r="BE1010" s="502"/>
      <c r="BF1010" s="502"/>
      <c r="BG1010" s="502"/>
      <c r="BH1010" s="502"/>
      <c r="BI1010" s="502"/>
      <c r="BJ1010" s="502"/>
      <c r="BK1010" s="502"/>
      <c r="BL1010" s="502"/>
      <c r="BM1010" s="502"/>
      <c r="BN1010" s="502"/>
      <c r="BO1010" s="502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  <c r="DE1010" s="5"/>
      <c r="DF1010" s="5"/>
      <c r="DG1010" s="5"/>
      <c r="DH1010" s="5"/>
      <c r="DI1010" s="5"/>
      <c r="DJ1010" s="5"/>
      <c r="DK1010" s="5"/>
      <c r="DL1010" s="5"/>
      <c r="DM1010" s="5"/>
      <c r="DN1010" s="5"/>
      <c r="DO1010" s="5"/>
      <c r="DP1010" s="5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</row>
    <row r="1011" s="504" customFormat="true" ht="12.75" hidden="true" customHeight="true" outlineLevel="0" collapsed="false">
      <c r="A1011" s="5"/>
      <c r="B1011" s="813" t="n">
        <f aca="false">B1010+1</f>
        <v>796</v>
      </c>
      <c r="C1011" s="814" t="n">
        <f aca="false">C1010+D1011</f>
        <v>112713.631762811</v>
      </c>
      <c r="D1011" s="815" t="n">
        <f aca="false">E1011*$E$205*M1011</f>
        <v>204.817940910888</v>
      </c>
      <c r="E1011" s="601" t="n">
        <f aca="false">E1010+$C$204</f>
        <v>12.9894686016545</v>
      </c>
      <c r="F1011" s="816" t="n">
        <f aca="false">F1010+1</f>
        <v>796</v>
      </c>
      <c r="G1011" s="775" t="n">
        <f aca="false">C1011</f>
        <v>112713.631762811</v>
      </c>
      <c r="H1011" s="817" t="n">
        <f aca="false">1000*(E1011-E1010)</f>
        <v>9.99999999999979</v>
      </c>
      <c r="I1011" s="5"/>
      <c r="J1011" s="818" t="n">
        <f aca="false">1000*(E1011-$E$215)/(B1011-$B$215)</f>
        <v>11.9772234027282</v>
      </c>
      <c r="K1011" s="732" t="n">
        <f aca="false">AVERAGE($E$216:E1011)</f>
        <v>9.00492086296114</v>
      </c>
      <c r="L1011" s="819" t="n">
        <f aca="false">L1010+1</f>
        <v>796</v>
      </c>
      <c r="M1011" s="820" t="n">
        <f aca="false">IF(B1011&lt;$E$104,$E$105,$E$106)</f>
        <v>3</v>
      </c>
      <c r="N1011" s="821" t="n">
        <f aca="false">IF(B1011&lt;$E$104,$E$105,$E$111)</f>
        <v>2.5</v>
      </c>
      <c r="O1011" s="822" t="n">
        <f aca="false">E1011*$E$205*N1011</f>
        <v>170.68161742574</v>
      </c>
      <c r="P1011" s="823" t="n">
        <f aca="false">P1010+O1011</f>
        <v>93979.7070693855</v>
      </c>
      <c r="Q1011" s="606" t="n">
        <f aca="false">Q1010+1</f>
        <v>796</v>
      </c>
      <c r="R1011" s="824" t="n">
        <f aca="false">R1010-1</f>
        <v>-796</v>
      </c>
      <c r="S1011" s="5"/>
      <c r="T1011" s="5"/>
      <c r="U1011" s="5"/>
      <c r="V1011" s="10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02"/>
      <c r="AU1011" s="502"/>
      <c r="AV1011" s="606"/>
      <c r="AW1011" s="502"/>
      <c r="AX1011" s="502"/>
      <c r="AY1011" s="502"/>
      <c r="AZ1011" s="502"/>
      <c r="BA1011" s="502"/>
      <c r="BB1011" s="502"/>
      <c r="BC1011" s="502"/>
      <c r="BD1011" s="502"/>
      <c r="BE1011" s="502"/>
      <c r="BF1011" s="502"/>
      <c r="BG1011" s="502"/>
      <c r="BH1011" s="502"/>
      <c r="BI1011" s="502"/>
      <c r="BJ1011" s="502"/>
      <c r="BK1011" s="502"/>
      <c r="BL1011" s="502"/>
      <c r="BM1011" s="502"/>
      <c r="BN1011" s="502"/>
      <c r="BO1011" s="502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  <c r="DE1011" s="5"/>
      <c r="DF1011" s="5"/>
      <c r="DG1011" s="5"/>
      <c r="DH1011" s="5"/>
      <c r="DI1011" s="5"/>
      <c r="DJ1011" s="5"/>
      <c r="DK1011" s="5"/>
      <c r="DL1011" s="5"/>
      <c r="DM1011" s="5"/>
      <c r="DN1011" s="5"/>
      <c r="DO1011" s="5"/>
      <c r="DP1011" s="5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</row>
    <row r="1012" s="504" customFormat="true" ht="12.75" hidden="true" customHeight="true" outlineLevel="0" collapsed="false">
      <c r="A1012" s="5"/>
      <c r="B1012" s="813" t="n">
        <f aca="false">B1011+1</f>
        <v>797</v>
      </c>
      <c r="C1012" s="814" t="n">
        <f aca="false">C1011+D1012</f>
        <v>112918.607383722</v>
      </c>
      <c r="D1012" s="815" t="n">
        <f aca="false">E1012*$E$205*M1012</f>
        <v>204.975620910888</v>
      </c>
      <c r="E1012" s="601" t="n">
        <f aca="false">E1011+$C$204</f>
        <v>12.9994686016545</v>
      </c>
      <c r="F1012" s="816" t="n">
        <f aca="false">F1011+1</f>
        <v>797</v>
      </c>
      <c r="G1012" s="775" t="n">
        <f aca="false">C1012</f>
        <v>112918.607383722</v>
      </c>
      <c r="H1012" s="817" t="n">
        <f aca="false">1000*(E1012-E1011)</f>
        <v>9.99999999999979</v>
      </c>
      <c r="I1012" s="5"/>
      <c r="J1012" s="818" t="n">
        <f aca="false">1000*(E1012-$E$215)/(B1012-$B$215)</f>
        <v>11.9747425703534</v>
      </c>
      <c r="K1012" s="732" t="n">
        <f aca="false">AVERAGE($E$216:E1012)</f>
        <v>9.00993284255799</v>
      </c>
      <c r="L1012" s="819" t="n">
        <f aca="false">L1011+1</f>
        <v>797</v>
      </c>
      <c r="M1012" s="820" t="n">
        <f aca="false">IF(B1012&lt;$E$104,$E$105,$E$106)</f>
        <v>3</v>
      </c>
      <c r="N1012" s="821" t="n">
        <f aca="false">IF(B1012&lt;$E$104,$E$105,$E$111)</f>
        <v>2.5</v>
      </c>
      <c r="O1012" s="822" t="n">
        <f aca="false">E1012*$E$205*N1012</f>
        <v>170.81301742574</v>
      </c>
      <c r="P1012" s="823" t="n">
        <f aca="false">P1011+O1012</f>
        <v>94150.5200868112</v>
      </c>
      <c r="Q1012" s="606" t="n">
        <f aca="false">Q1011+1</f>
        <v>797</v>
      </c>
      <c r="R1012" s="824" t="n">
        <f aca="false">R1011-1</f>
        <v>-797</v>
      </c>
      <c r="S1012" s="5"/>
      <c r="T1012" s="5"/>
      <c r="U1012" s="5"/>
      <c r="V1012" s="10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02"/>
      <c r="AU1012" s="502"/>
      <c r="AV1012" s="606"/>
      <c r="AW1012" s="502"/>
      <c r="AX1012" s="502"/>
      <c r="AY1012" s="502"/>
      <c r="AZ1012" s="502"/>
      <c r="BA1012" s="502"/>
      <c r="BB1012" s="502"/>
      <c r="BC1012" s="502"/>
      <c r="BD1012" s="502"/>
      <c r="BE1012" s="502"/>
      <c r="BF1012" s="502"/>
      <c r="BG1012" s="502"/>
      <c r="BH1012" s="502"/>
      <c r="BI1012" s="502"/>
      <c r="BJ1012" s="502"/>
      <c r="BK1012" s="502"/>
      <c r="BL1012" s="502"/>
      <c r="BM1012" s="502"/>
      <c r="BN1012" s="502"/>
      <c r="BO1012" s="502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  <c r="DE1012" s="5"/>
      <c r="DF1012" s="5"/>
      <c r="DG1012" s="5"/>
      <c r="DH1012" s="5"/>
      <c r="DI1012" s="5"/>
      <c r="DJ1012" s="5"/>
      <c r="DK1012" s="5"/>
      <c r="DL1012" s="5"/>
      <c r="DM1012" s="5"/>
      <c r="DN1012" s="5"/>
      <c r="DO1012" s="5"/>
      <c r="DP1012" s="5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</row>
    <row r="1013" s="504" customFormat="true" ht="12.75" hidden="true" customHeight="true" outlineLevel="0" collapsed="false">
      <c r="A1013" s="5"/>
      <c r="B1013" s="813" t="n">
        <f aca="false">B1012+1</f>
        <v>798</v>
      </c>
      <c r="C1013" s="814" t="n">
        <f aca="false">C1012+D1013</f>
        <v>113123.740684633</v>
      </c>
      <c r="D1013" s="815" t="n">
        <f aca="false">E1013*$E$205*M1013</f>
        <v>205.133300910888</v>
      </c>
      <c r="E1013" s="601" t="n">
        <f aca="false">E1012+$C$204</f>
        <v>13.0094686016545</v>
      </c>
      <c r="F1013" s="816" t="n">
        <f aca="false">F1012+1</f>
        <v>798</v>
      </c>
      <c r="G1013" s="775" t="n">
        <f aca="false">C1013</f>
        <v>113123.740684633</v>
      </c>
      <c r="H1013" s="817" t="n">
        <f aca="false">1000*(E1013-E1012)</f>
        <v>9.99999999999979</v>
      </c>
      <c r="I1013" s="5"/>
      <c r="J1013" s="818" t="n">
        <f aca="false">1000*(E1013-$E$215)/(B1013-$B$215)</f>
        <v>11.9722679556036</v>
      </c>
      <c r="K1013" s="732" t="n">
        <f aca="false">AVERAGE($E$216:E1013)</f>
        <v>9.0149447921308</v>
      </c>
      <c r="L1013" s="819" t="n">
        <f aca="false">L1012+1</f>
        <v>798</v>
      </c>
      <c r="M1013" s="820" t="n">
        <f aca="false">IF(B1013&lt;$E$104,$E$105,$E$106)</f>
        <v>3</v>
      </c>
      <c r="N1013" s="821" t="n">
        <f aca="false">IF(B1013&lt;$E$104,$E$105,$E$111)</f>
        <v>2.5</v>
      </c>
      <c r="O1013" s="822" t="n">
        <f aca="false">E1013*$E$205*N1013</f>
        <v>170.94441742574</v>
      </c>
      <c r="P1013" s="823" t="n">
        <f aca="false">P1012+O1013</f>
        <v>94321.464504237</v>
      </c>
      <c r="Q1013" s="606" t="n">
        <f aca="false">Q1012+1</f>
        <v>798</v>
      </c>
      <c r="R1013" s="824" t="n">
        <f aca="false">R1012-1</f>
        <v>-798</v>
      </c>
      <c r="S1013" s="5"/>
      <c r="T1013" s="5"/>
      <c r="U1013" s="5"/>
      <c r="V1013" s="10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02"/>
      <c r="AU1013" s="502"/>
      <c r="AV1013" s="606"/>
      <c r="AW1013" s="502"/>
      <c r="AX1013" s="502"/>
      <c r="AY1013" s="502"/>
      <c r="AZ1013" s="502"/>
      <c r="BA1013" s="502"/>
      <c r="BB1013" s="502"/>
      <c r="BC1013" s="502"/>
      <c r="BD1013" s="502"/>
      <c r="BE1013" s="502"/>
      <c r="BF1013" s="502"/>
      <c r="BG1013" s="502"/>
      <c r="BH1013" s="502"/>
      <c r="BI1013" s="502"/>
      <c r="BJ1013" s="502"/>
      <c r="BK1013" s="502"/>
      <c r="BL1013" s="502"/>
      <c r="BM1013" s="502"/>
      <c r="BN1013" s="502"/>
      <c r="BO1013" s="502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  <c r="DA1013" s="5"/>
      <c r="DB1013" s="5"/>
      <c r="DC1013" s="5"/>
      <c r="DD1013" s="5"/>
      <c r="DE1013" s="5"/>
      <c r="DF1013" s="5"/>
      <c r="DG1013" s="5"/>
      <c r="DH1013" s="5"/>
      <c r="DI1013" s="5"/>
      <c r="DJ1013" s="5"/>
      <c r="DK1013" s="5"/>
      <c r="DL1013" s="5"/>
      <c r="DM1013" s="5"/>
      <c r="DN1013" s="5"/>
      <c r="DO1013" s="5"/>
      <c r="DP1013" s="5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</row>
    <row r="1014" s="504" customFormat="true" ht="12.75" hidden="true" customHeight="true" outlineLevel="0" collapsed="false">
      <c r="A1014" s="5"/>
      <c r="B1014" s="813" t="n">
        <f aca="false">B1013+1</f>
        <v>799</v>
      </c>
      <c r="C1014" s="814" t="n">
        <f aca="false">C1013+D1014</f>
        <v>113329.031665544</v>
      </c>
      <c r="D1014" s="815" t="n">
        <f aca="false">E1014*$E$205*M1014</f>
        <v>205.290980910888</v>
      </c>
      <c r="E1014" s="601" t="n">
        <f aca="false">E1013+$C$204</f>
        <v>13.0194686016545</v>
      </c>
      <c r="F1014" s="816" t="n">
        <f aca="false">F1013+1</f>
        <v>799</v>
      </c>
      <c r="G1014" s="775" t="n">
        <f aca="false">C1014</f>
        <v>113329.031665544</v>
      </c>
      <c r="H1014" s="817" t="n">
        <f aca="false">1000*(E1014-E1013)</f>
        <v>9.99999999999979</v>
      </c>
      <c r="I1014" s="5"/>
      <c r="J1014" s="818" t="n">
        <f aca="false">1000*(E1014-$E$215)/(B1014-$B$215)</f>
        <v>11.9697995351335</v>
      </c>
      <c r="K1014" s="732" t="n">
        <f aca="false">AVERAGE($E$216:E1014)</f>
        <v>9.01995671179228</v>
      </c>
      <c r="L1014" s="819" t="n">
        <f aca="false">L1013+1</f>
        <v>799</v>
      </c>
      <c r="M1014" s="820" t="n">
        <f aca="false">IF(B1014&lt;$E$104,$E$105,$E$106)</f>
        <v>3</v>
      </c>
      <c r="N1014" s="821" t="n">
        <f aca="false">IF(B1014&lt;$E$104,$E$105,$E$111)</f>
        <v>2.5</v>
      </c>
      <c r="O1014" s="822" t="n">
        <f aca="false">E1014*$E$205*N1014</f>
        <v>171.07581742574</v>
      </c>
      <c r="P1014" s="823" t="n">
        <f aca="false">P1013+O1014</f>
        <v>94492.5403216627</v>
      </c>
      <c r="Q1014" s="606" t="n">
        <f aca="false">Q1013+1</f>
        <v>799</v>
      </c>
      <c r="R1014" s="824" t="n">
        <f aca="false">R1013-1</f>
        <v>-799</v>
      </c>
      <c r="S1014" s="5"/>
      <c r="T1014" s="5"/>
      <c r="U1014" s="5"/>
      <c r="V1014" s="10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02"/>
      <c r="AU1014" s="502"/>
      <c r="AV1014" s="606"/>
      <c r="AW1014" s="502"/>
      <c r="AX1014" s="502"/>
      <c r="AY1014" s="502"/>
      <c r="AZ1014" s="502"/>
      <c r="BA1014" s="502"/>
      <c r="BB1014" s="502"/>
      <c r="BC1014" s="502"/>
      <c r="BD1014" s="502"/>
      <c r="BE1014" s="502"/>
      <c r="BF1014" s="502"/>
      <c r="BG1014" s="502"/>
      <c r="BH1014" s="502"/>
      <c r="BI1014" s="502"/>
      <c r="BJ1014" s="502"/>
      <c r="BK1014" s="502"/>
      <c r="BL1014" s="502"/>
      <c r="BM1014" s="502"/>
      <c r="BN1014" s="502"/>
      <c r="BO1014" s="502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  <c r="DI1014" s="5"/>
      <c r="DJ1014" s="5"/>
      <c r="DK1014" s="5"/>
      <c r="DL1014" s="5"/>
      <c r="DM1014" s="5"/>
      <c r="DN1014" s="5"/>
      <c r="DO1014" s="5"/>
      <c r="DP1014" s="5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</row>
    <row r="1015" s="504" customFormat="true" ht="12.75" hidden="true" customHeight="true" outlineLevel="0" collapsed="false">
      <c r="A1015" s="5"/>
      <c r="B1015" s="827" t="n">
        <f aca="false">B1014+1</f>
        <v>800</v>
      </c>
      <c r="C1015" s="768" t="n">
        <f aca="false">C1014+D1015</f>
        <v>113534.480326455</v>
      </c>
      <c r="D1015" s="828" t="n">
        <f aca="false">E1015*$E$205*M1015</f>
        <v>205.448660910888</v>
      </c>
      <c r="E1015" s="787" t="n">
        <f aca="false">E1014+$C$204</f>
        <v>13.0294686016545</v>
      </c>
      <c r="F1015" s="829" t="n">
        <f aca="false">F1014+1</f>
        <v>800</v>
      </c>
      <c r="G1015" s="830" t="n">
        <f aca="false">C1015</f>
        <v>113534.480326455</v>
      </c>
      <c r="H1015" s="831" t="n">
        <f aca="false">1000*(E1015-E1014)</f>
        <v>9.99999999999979</v>
      </c>
      <c r="I1015" s="785"/>
      <c r="J1015" s="832" t="n">
        <f aca="false">1000*(E1015-$E$215)/(B1015-$B$215)</f>
        <v>11.9673372857146</v>
      </c>
      <c r="K1015" s="787" t="n">
        <f aca="false">AVERAGE($E$216:E1015)</f>
        <v>9.02496860165461</v>
      </c>
      <c r="L1015" s="833" t="n">
        <f aca="false">L1014+1</f>
        <v>800</v>
      </c>
      <c r="M1015" s="834" t="n">
        <f aca="false">IF(B1015&lt;$E$104,$E$105,$E$106)</f>
        <v>3</v>
      </c>
      <c r="N1015" s="835" t="n">
        <f aca="false">IF(B1015&lt;$E$104,$E$105,$E$111)</f>
        <v>2.5</v>
      </c>
      <c r="O1015" s="836" t="n">
        <f aca="false">E1015*$E$205*N1015</f>
        <v>171.20721742574</v>
      </c>
      <c r="P1015" s="837" t="n">
        <f aca="false">P1014+O1015</f>
        <v>94663.7475390884</v>
      </c>
      <c r="Q1015" s="742" t="n">
        <f aca="false">Q1014+1</f>
        <v>800</v>
      </c>
      <c r="R1015" s="824" t="n">
        <f aca="false">R1014-1</f>
        <v>-800</v>
      </c>
      <c r="S1015" s="5"/>
      <c r="T1015" s="5"/>
      <c r="U1015" s="5"/>
      <c r="V1015" s="10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02"/>
      <c r="AU1015" s="502"/>
      <c r="AV1015" s="606"/>
      <c r="AW1015" s="502"/>
      <c r="AX1015" s="502"/>
      <c r="AY1015" s="502"/>
      <c r="AZ1015" s="502"/>
      <c r="BA1015" s="502"/>
      <c r="BB1015" s="502"/>
      <c r="BC1015" s="502"/>
      <c r="BD1015" s="502"/>
      <c r="BE1015" s="502"/>
      <c r="BF1015" s="502"/>
      <c r="BG1015" s="502"/>
      <c r="BH1015" s="502"/>
      <c r="BI1015" s="502"/>
      <c r="BJ1015" s="502"/>
      <c r="BK1015" s="502"/>
      <c r="BL1015" s="502"/>
      <c r="BM1015" s="502"/>
      <c r="BN1015" s="502"/>
      <c r="BO1015" s="502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  <c r="DE1015" s="5"/>
      <c r="DF1015" s="5"/>
      <c r="DG1015" s="5"/>
      <c r="DH1015" s="5"/>
      <c r="DI1015" s="5"/>
      <c r="DJ1015" s="5"/>
      <c r="DK1015" s="5"/>
      <c r="DL1015" s="5"/>
      <c r="DM1015" s="5"/>
      <c r="DN1015" s="5"/>
      <c r="DO1015" s="5"/>
      <c r="DP1015" s="5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</row>
    <row r="1016" s="504" customFormat="true" ht="12.75" hidden="true" customHeight="true" outlineLevel="0" collapsed="false">
      <c r="A1016" s="5"/>
      <c r="B1016" s="813" t="n">
        <f aca="false">B1015+1</f>
        <v>801</v>
      </c>
      <c r="C1016" s="814" t="n">
        <f aca="false">C1015+D1016</f>
        <v>113740.086667366</v>
      </c>
      <c r="D1016" s="815" t="n">
        <f aca="false">E1016*$E$205*M1016</f>
        <v>205.606340910888</v>
      </c>
      <c r="E1016" s="601" t="n">
        <f aca="false">E1015+$C$204</f>
        <v>13.0394686016545</v>
      </c>
      <c r="F1016" s="816" t="n">
        <f aca="false">F1015+1</f>
        <v>801</v>
      </c>
      <c r="G1016" s="775" t="n">
        <f aca="false">C1016</f>
        <v>113740.086667366</v>
      </c>
      <c r="H1016" s="817" t="n">
        <f aca="false">1000*(E1016-E1015)</f>
        <v>9.99999999999979</v>
      </c>
      <c r="I1016" s="5"/>
      <c r="J1016" s="818" t="n">
        <f aca="false">1000*(E1016-$E$215)/(B1016-$B$215)</f>
        <v>11.9648811842343</v>
      </c>
      <c r="K1016" s="732" t="n">
        <f aca="false">AVERAGE($E$216:E1016)</f>
        <v>9.02998046182939</v>
      </c>
      <c r="L1016" s="819" t="n">
        <f aca="false">L1015+1</f>
        <v>801</v>
      </c>
      <c r="M1016" s="820" t="n">
        <f aca="false">IF(B1016&lt;$E$104,$E$105,$E$106)</f>
        <v>3</v>
      </c>
      <c r="N1016" s="821" t="n">
        <f aca="false">IF(B1016&lt;$E$104,$E$105,$E$111)</f>
        <v>2.5</v>
      </c>
      <c r="O1016" s="822" t="n">
        <f aca="false">E1016*$E$205*N1016</f>
        <v>171.33861742574</v>
      </c>
      <c r="P1016" s="823" t="n">
        <f aca="false">P1015+O1016</f>
        <v>94835.0861565142</v>
      </c>
      <c r="Q1016" s="606" t="n">
        <f aca="false">Q1015+1</f>
        <v>801</v>
      </c>
      <c r="R1016" s="824" t="n">
        <f aca="false">R1015-1</f>
        <v>-801</v>
      </c>
      <c r="S1016" s="5"/>
      <c r="T1016" s="5"/>
      <c r="U1016" s="5"/>
      <c r="V1016" s="10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02"/>
      <c r="AU1016" s="502"/>
      <c r="AV1016" s="606"/>
      <c r="AW1016" s="502"/>
      <c r="AX1016" s="502"/>
      <c r="AY1016" s="502"/>
      <c r="AZ1016" s="502"/>
      <c r="BA1016" s="502"/>
      <c r="BB1016" s="502"/>
      <c r="BC1016" s="502"/>
      <c r="BD1016" s="502"/>
      <c r="BE1016" s="502"/>
      <c r="BF1016" s="502"/>
      <c r="BG1016" s="502"/>
      <c r="BH1016" s="502"/>
      <c r="BI1016" s="502"/>
      <c r="BJ1016" s="502"/>
      <c r="BK1016" s="502"/>
      <c r="BL1016" s="502"/>
      <c r="BM1016" s="502"/>
      <c r="BN1016" s="502"/>
      <c r="BO1016" s="502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  <c r="DI1016" s="5"/>
      <c r="DJ1016" s="5"/>
      <c r="DK1016" s="5"/>
      <c r="DL1016" s="5"/>
      <c r="DM1016" s="5"/>
      <c r="DN1016" s="5"/>
      <c r="DO1016" s="5"/>
      <c r="DP1016" s="5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</row>
    <row r="1017" s="504" customFormat="true" ht="12.75" hidden="true" customHeight="true" outlineLevel="0" collapsed="false">
      <c r="A1017" s="5"/>
      <c r="B1017" s="813" t="n">
        <f aca="false">B1016+1</f>
        <v>802</v>
      </c>
      <c r="C1017" s="814" t="n">
        <f aca="false">C1016+D1017</f>
        <v>113945.850688276</v>
      </c>
      <c r="D1017" s="815" t="n">
        <f aca="false">E1017*$E$205*M1017</f>
        <v>205.764020910888</v>
      </c>
      <c r="E1017" s="601" t="n">
        <f aca="false">E1016+$C$204</f>
        <v>13.0494686016545</v>
      </c>
      <c r="F1017" s="816" t="n">
        <f aca="false">F1016+1</f>
        <v>802</v>
      </c>
      <c r="G1017" s="775" t="n">
        <f aca="false">C1017</f>
        <v>113945.850688276</v>
      </c>
      <c r="H1017" s="817" t="n">
        <f aca="false">1000*(E1017-E1016)</f>
        <v>9.99999999999979</v>
      </c>
      <c r="I1017" s="5"/>
      <c r="J1017" s="818" t="n">
        <f aca="false">1000*(E1017-$E$215)/(B1017-$B$215)</f>
        <v>11.9624312076954</v>
      </c>
      <c r="K1017" s="732" t="n">
        <f aca="false">AVERAGE($E$216:E1017)</f>
        <v>9.03499229242767</v>
      </c>
      <c r="L1017" s="819" t="n">
        <f aca="false">L1016+1</f>
        <v>802</v>
      </c>
      <c r="M1017" s="820" t="n">
        <f aca="false">IF(B1017&lt;$E$104,$E$105,$E$106)</f>
        <v>3</v>
      </c>
      <c r="N1017" s="821" t="n">
        <f aca="false">IF(B1017&lt;$E$104,$E$105,$E$111)</f>
        <v>2.5</v>
      </c>
      <c r="O1017" s="822" t="n">
        <f aca="false">E1017*$E$205*N1017</f>
        <v>171.47001742574</v>
      </c>
      <c r="P1017" s="823" t="n">
        <f aca="false">P1016+O1017</f>
        <v>95006.5561739399</v>
      </c>
      <c r="Q1017" s="606" t="n">
        <f aca="false">Q1016+1</f>
        <v>802</v>
      </c>
      <c r="R1017" s="824" t="n">
        <f aca="false">R1016-1</f>
        <v>-802</v>
      </c>
      <c r="S1017" s="5"/>
      <c r="T1017" s="5"/>
      <c r="U1017" s="5"/>
      <c r="V1017" s="10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02"/>
      <c r="AU1017" s="502"/>
      <c r="AV1017" s="606"/>
      <c r="AW1017" s="502"/>
      <c r="AX1017" s="502"/>
      <c r="AY1017" s="502"/>
      <c r="AZ1017" s="502"/>
      <c r="BA1017" s="502"/>
      <c r="BB1017" s="502"/>
      <c r="BC1017" s="502"/>
      <c r="BD1017" s="502"/>
      <c r="BE1017" s="502"/>
      <c r="BF1017" s="502"/>
      <c r="BG1017" s="502"/>
      <c r="BH1017" s="502"/>
      <c r="BI1017" s="502"/>
      <c r="BJ1017" s="502"/>
      <c r="BK1017" s="502"/>
      <c r="BL1017" s="502"/>
      <c r="BM1017" s="502"/>
      <c r="BN1017" s="502"/>
      <c r="BO1017" s="502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  <c r="DE1017" s="5"/>
      <c r="DF1017" s="5"/>
      <c r="DG1017" s="5"/>
      <c r="DH1017" s="5"/>
      <c r="DI1017" s="5"/>
      <c r="DJ1017" s="5"/>
      <c r="DK1017" s="5"/>
      <c r="DL1017" s="5"/>
      <c r="DM1017" s="5"/>
      <c r="DN1017" s="5"/>
      <c r="DO1017" s="5"/>
      <c r="DP1017" s="5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</row>
    <row r="1018" s="504" customFormat="true" ht="12.75" hidden="true" customHeight="true" outlineLevel="0" collapsed="false">
      <c r="A1018" s="5"/>
      <c r="B1018" s="813" t="n">
        <f aca="false">B1017+1</f>
        <v>803</v>
      </c>
      <c r="C1018" s="814" t="n">
        <f aca="false">C1017+D1018</f>
        <v>114151.772389187</v>
      </c>
      <c r="D1018" s="815" t="n">
        <f aca="false">E1018*$E$205*M1018</f>
        <v>205.921700910888</v>
      </c>
      <c r="E1018" s="601" t="n">
        <f aca="false">E1017+$C$204</f>
        <v>13.0594686016545</v>
      </c>
      <c r="F1018" s="816" t="n">
        <f aca="false">F1017+1</f>
        <v>803</v>
      </c>
      <c r="G1018" s="775" t="n">
        <f aca="false">C1018</f>
        <v>114151.772389187</v>
      </c>
      <c r="H1018" s="817" t="n">
        <f aca="false">1000*(E1018-E1017)</f>
        <v>9.99999999999979</v>
      </c>
      <c r="I1018" s="5"/>
      <c r="J1018" s="818" t="n">
        <f aca="false">1000*(E1018-$E$215)/(B1018-$B$215)</f>
        <v>11.959987333215</v>
      </c>
      <c r="K1018" s="732" t="n">
        <f aca="false">AVERAGE($E$216:E1018)</f>
        <v>9.04000409355996</v>
      </c>
      <c r="L1018" s="819" t="n">
        <f aca="false">L1017+1</f>
        <v>803</v>
      </c>
      <c r="M1018" s="820" t="n">
        <f aca="false">IF(B1018&lt;$E$104,$E$105,$E$106)</f>
        <v>3</v>
      </c>
      <c r="N1018" s="821" t="n">
        <f aca="false">IF(B1018&lt;$E$104,$E$105,$E$111)</f>
        <v>2.5</v>
      </c>
      <c r="O1018" s="822" t="n">
        <f aca="false">E1018*$E$205*N1018</f>
        <v>171.60141742574</v>
      </c>
      <c r="P1018" s="823" t="n">
        <f aca="false">P1017+O1018</f>
        <v>95178.1575913657</v>
      </c>
      <c r="Q1018" s="606" t="n">
        <f aca="false">Q1017+1</f>
        <v>803</v>
      </c>
      <c r="R1018" s="824" t="n">
        <f aca="false">R1017-1</f>
        <v>-803</v>
      </c>
      <c r="S1018" s="5"/>
      <c r="T1018" s="5"/>
      <c r="U1018" s="5"/>
      <c r="V1018" s="10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02"/>
      <c r="AU1018" s="502"/>
      <c r="AV1018" s="606"/>
      <c r="AW1018" s="502"/>
      <c r="AX1018" s="502"/>
      <c r="AY1018" s="502"/>
      <c r="AZ1018" s="502"/>
      <c r="BA1018" s="502"/>
      <c r="BB1018" s="502"/>
      <c r="BC1018" s="502"/>
      <c r="BD1018" s="502"/>
      <c r="BE1018" s="502"/>
      <c r="BF1018" s="502"/>
      <c r="BG1018" s="502"/>
      <c r="BH1018" s="502"/>
      <c r="BI1018" s="502"/>
      <c r="BJ1018" s="502"/>
      <c r="BK1018" s="502"/>
      <c r="BL1018" s="502"/>
      <c r="BM1018" s="502"/>
      <c r="BN1018" s="502"/>
      <c r="BO1018" s="502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  <c r="DE1018" s="5"/>
      <c r="DF1018" s="5"/>
      <c r="DG1018" s="5"/>
      <c r="DH1018" s="5"/>
      <c r="DI1018" s="5"/>
      <c r="DJ1018" s="5"/>
      <c r="DK1018" s="5"/>
      <c r="DL1018" s="5"/>
      <c r="DM1018" s="5"/>
      <c r="DN1018" s="5"/>
      <c r="DO1018" s="5"/>
      <c r="DP1018" s="5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</row>
    <row r="1019" s="504" customFormat="true" ht="12.75" hidden="true" customHeight="true" outlineLevel="0" collapsed="false">
      <c r="A1019" s="5"/>
      <c r="B1019" s="813" t="n">
        <f aca="false">B1018+1</f>
        <v>804</v>
      </c>
      <c r="C1019" s="814" t="n">
        <f aca="false">C1018+D1019</f>
        <v>114357.851770098</v>
      </c>
      <c r="D1019" s="815" t="n">
        <f aca="false">E1019*$E$205*M1019</f>
        <v>206.079380910888</v>
      </c>
      <c r="E1019" s="601" t="n">
        <f aca="false">E1018+$C$204</f>
        <v>13.0694686016545</v>
      </c>
      <c r="F1019" s="816" t="n">
        <f aca="false">F1018+1</f>
        <v>804</v>
      </c>
      <c r="G1019" s="775" t="n">
        <f aca="false">C1019</f>
        <v>114357.851770098</v>
      </c>
      <c r="H1019" s="817" t="n">
        <f aca="false">1000*(E1019-E1018)</f>
        <v>9.99999999999979</v>
      </c>
      <c r="I1019" s="5"/>
      <c r="J1019" s="818" t="n">
        <f aca="false">1000*(E1019-$E$215)/(B1019-$B$215)</f>
        <v>11.9575495380245</v>
      </c>
      <c r="K1019" s="732" t="n">
        <f aca="false">AVERAGE($E$216:E1019)</f>
        <v>9.0450158653362</v>
      </c>
      <c r="L1019" s="819" t="n">
        <f aca="false">L1018+1</f>
        <v>804</v>
      </c>
      <c r="M1019" s="820" t="n">
        <f aca="false">IF(B1019&lt;$E$104,$E$105,$E$106)</f>
        <v>3</v>
      </c>
      <c r="N1019" s="821" t="n">
        <f aca="false">IF(B1019&lt;$E$104,$E$105,$E$111)</f>
        <v>2.5</v>
      </c>
      <c r="O1019" s="822" t="n">
        <f aca="false">E1019*$E$205*N1019</f>
        <v>171.73281742574</v>
      </c>
      <c r="P1019" s="823" t="n">
        <f aca="false">P1018+O1019</f>
        <v>95349.8904087914</v>
      </c>
      <c r="Q1019" s="606" t="n">
        <f aca="false">Q1018+1</f>
        <v>804</v>
      </c>
      <c r="R1019" s="824" t="n">
        <f aca="false">R1018-1</f>
        <v>-804</v>
      </c>
      <c r="S1019" s="5"/>
      <c r="T1019" s="5"/>
      <c r="U1019" s="5"/>
      <c r="V1019" s="10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02"/>
      <c r="AU1019" s="502"/>
      <c r="AV1019" s="606"/>
      <c r="AW1019" s="502"/>
      <c r="AX1019" s="502"/>
      <c r="AY1019" s="502"/>
      <c r="AZ1019" s="502"/>
      <c r="BA1019" s="502"/>
      <c r="BB1019" s="502"/>
      <c r="BC1019" s="502"/>
      <c r="BD1019" s="502"/>
      <c r="BE1019" s="502"/>
      <c r="BF1019" s="502"/>
      <c r="BG1019" s="502"/>
      <c r="BH1019" s="502"/>
      <c r="BI1019" s="502"/>
      <c r="BJ1019" s="502"/>
      <c r="BK1019" s="502"/>
      <c r="BL1019" s="502"/>
      <c r="BM1019" s="502"/>
      <c r="BN1019" s="502"/>
      <c r="BO1019" s="502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  <c r="DE1019" s="5"/>
      <c r="DF1019" s="5"/>
      <c r="DG1019" s="5"/>
      <c r="DH1019" s="5"/>
      <c r="DI1019" s="5"/>
      <c r="DJ1019" s="5"/>
      <c r="DK1019" s="5"/>
      <c r="DL1019" s="5"/>
      <c r="DM1019" s="5"/>
      <c r="DN1019" s="5"/>
      <c r="DO1019" s="5"/>
      <c r="DP1019" s="5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</row>
    <row r="1020" s="504" customFormat="true" ht="12.75" hidden="true" customHeight="true" outlineLevel="0" collapsed="false">
      <c r="A1020" s="5"/>
      <c r="B1020" s="813" t="n">
        <f aca="false">B1019+1</f>
        <v>805</v>
      </c>
      <c r="C1020" s="814" t="n">
        <f aca="false">C1019+D1020</f>
        <v>114564.088831009</v>
      </c>
      <c r="D1020" s="815" t="n">
        <f aca="false">E1020*$E$205*M1020</f>
        <v>206.237060910888</v>
      </c>
      <c r="E1020" s="601" t="n">
        <f aca="false">E1019+$C$204</f>
        <v>13.0794686016545</v>
      </c>
      <c r="F1020" s="816" t="n">
        <f aca="false">F1019+1</f>
        <v>805</v>
      </c>
      <c r="G1020" s="775" t="n">
        <f aca="false">C1020</f>
        <v>114564.088831009</v>
      </c>
      <c r="H1020" s="817" t="n">
        <f aca="false">1000*(E1020-E1019)</f>
        <v>9.99999999999979</v>
      </c>
      <c r="I1020" s="5"/>
      <c r="J1020" s="818" t="n">
        <f aca="false">1000*(E1020-$E$215)/(B1020-$B$215)</f>
        <v>11.9551177994679</v>
      </c>
      <c r="K1020" s="732" t="n">
        <f aca="false">AVERAGE($E$216:E1020)</f>
        <v>9.05002760786578</v>
      </c>
      <c r="L1020" s="819" t="n">
        <f aca="false">L1019+1</f>
        <v>805</v>
      </c>
      <c r="M1020" s="820" t="n">
        <f aca="false">IF(B1020&lt;$E$104,$E$105,$E$106)</f>
        <v>3</v>
      </c>
      <c r="N1020" s="821" t="n">
        <f aca="false">IF(B1020&lt;$E$104,$E$105,$E$111)</f>
        <v>2.5</v>
      </c>
      <c r="O1020" s="822" t="n">
        <f aca="false">E1020*$E$205*N1020</f>
        <v>171.86421742574</v>
      </c>
      <c r="P1020" s="823" t="n">
        <f aca="false">P1019+O1020</f>
        <v>95521.7546262172</v>
      </c>
      <c r="Q1020" s="606" t="n">
        <f aca="false">Q1019+1</f>
        <v>805</v>
      </c>
      <c r="R1020" s="824" t="n">
        <f aca="false">R1019-1</f>
        <v>-805</v>
      </c>
      <c r="S1020" s="5"/>
      <c r="T1020" s="5"/>
      <c r="U1020" s="5"/>
      <c r="V1020" s="10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02"/>
      <c r="AU1020" s="502"/>
      <c r="AV1020" s="606"/>
      <c r="AW1020" s="502"/>
      <c r="AX1020" s="502"/>
      <c r="AY1020" s="502"/>
      <c r="AZ1020" s="502"/>
      <c r="BA1020" s="502"/>
      <c r="BB1020" s="502"/>
      <c r="BC1020" s="502"/>
      <c r="BD1020" s="502"/>
      <c r="BE1020" s="502"/>
      <c r="BF1020" s="502"/>
      <c r="BG1020" s="502"/>
      <c r="BH1020" s="502"/>
      <c r="BI1020" s="502"/>
      <c r="BJ1020" s="502"/>
      <c r="BK1020" s="502"/>
      <c r="BL1020" s="502"/>
      <c r="BM1020" s="502"/>
      <c r="BN1020" s="502"/>
      <c r="BO1020" s="502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  <c r="DE1020" s="5"/>
      <c r="DF1020" s="5"/>
      <c r="DG1020" s="5"/>
      <c r="DH1020" s="5"/>
      <c r="DI1020" s="5"/>
      <c r="DJ1020" s="5"/>
      <c r="DK1020" s="5"/>
      <c r="DL1020" s="5"/>
      <c r="DM1020" s="5"/>
      <c r="DN1020" s="5"/>
      <c r="DO1020" s="5"/>
      <c r="DP1020" s="5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</row>
    <row r="1021" s="504" customFormat="true" ht="12.75" hidden="true" customHeight="true" outlineLevel="0" collapsed="false">
      <c r="A1021" s="5"/>
      <c r="B1021" s="813" t="n">
        <f aca="false">B1020+1</f>
        <v>806</v>
      </c>
      <c r="C1021" s="814" t="n">
        <f aca="false">C1020+D1021</f>
        <v>114770.48357192</v>
      </c>
      <c r="D1021" s="815" t="n">
        <f aca="false">E1021*$E$205*M1021</f>
        <v>206.394740910888</v>
      </c>
      <c r="E1021" s="601" t="n">
        <f aca="false">E1020+$C$204</f>
        <v>13.0894686016545</v>
      </c>
      <c r="F1021" s="816" t="n">
        <f aca="false">F1020+1</f>
        <v>806</v>
      </c>
      <c r="G1021" s="775" t="n">
        <f aca="false">C1021</f>
        <v>114770.48357192</v>
      </c>
      <c r="H1021" s="817" t="n">
        <f aca="false">1000*(E1021-E1020)</f>
        <v>9.99999999999979</v>
      </c>
      <c r="I1021" s="5"/>
      <c r="J1021" s="818" t="n">
        <f aca="false">1000*(E1021-$E$215)/(B1021-$B$215)</f>
        <v>11.9526920950021</v>
      </c>
      <c r="K1021" s="732" t="n">
        <f aca="false">AVERAGE($E$216:E1021)</f>
        <v>9.05503932125758</v>
      </c>
      <c r="L1021" s="819" t="n">
        <f aca="false">L1020+1</f>
        <v>806</v>
      </c>
      <c r="M1021" s="820" t="n">
        <f aca="false">IF(B1021&lt;$E$104,$E$105,$E$106)</f>
        <v>3</v>
      </c>
      <c r="N1021" s="821" t="n">
        <f aca="false">IF(B1021&lt;$E$104,$E$105,$E$111)</f>
        <v>2.5</v>
      </c>
      <c r="O1021" s="822" t="n">
        <f aca="false">E1021*$E$205*N1021</f>
        <v>171.99561742574</v>
      </c>
      <c r="P1021" s="823" t="n">
        <f aca="false">P1020+O1021</f>
        <v>95693.7502436429</v>
      </c>
      <c r="Q1021" s="606" t="n">
        <f aca="false">Q1020+1</f>
        <v>806</v>
      </c>
      <c r="R1021" s="824" t="n">
        <f aca="false">R1020-1</f>
        <v>-806</v>
      </c>
      <c r="S1021" s="5"/>
      <c r="T1021" s="5"/>
      <c r="U1021" s="5"/>
      <c r="V1021" s="10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02"/>
      <c r="AU1021" s="502"/>
      <c r="AV1021" s="606"/>
      <c r="AW1021" s="502"/>
      <c r="AX1021" s="502"/>
      <c r="AY1021" s="502"/>
      <c r="AZ1021" s="502"/>
      <c r="BA1021" s="502"/>
      <c r="BB1021" s="502"/>
      <c r="BC1021" s="502"/>
      <c r="BD1021" s="502"/>
      <c r="BE1021" s="502"/>
      <c r="BF1021" s="502"/>
      <c r="BG1021" s="502"/>
      <c r="BH1021" s="502"/>
      <c r="BI1021" s="502"/>
      <c r="BJ1021" s="502"/>
      <c r="BK1021" s="502"/>
      <c r="BL1021" s="502"/>
      <c r="BM1021" s="502"/>
      <c r="BN1021" s="502"/>
      <c r="BO1021" s="502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  <c r="DA1021" s="5"/>
      <c r="DB1021" s="5"/>
      <c r="DC1021" s="5"/>
      <c r="DD1021" s="5"/>
      <c r="DE1021" s="5"/>
      <c r="DF1021" s="5"/>
      <c r="DG1021" s="5"/>
      <c r="DH1021" s="5"/>
      <c r="DI1021" s="5"/>
      <c r="DJ1021" s="5"/>
      <c r="DK1021" s="5"/>
      <c r="DL1021" s="5"/>
      <c r="DM1021" s="5"/>
      <c r="DN1021" s="5"/>
      <c r="DO1021" s="5"/>
      <c r="DP1021" s="5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</row>
    <row r="1022" s="504" customFormat="true" ht="12.75" hidden="true" customHeight="true" outlineLevel="0" collapsed="false">
      <c r="A1022" s="5"/>
      <c r="B1022" s="813" t="n">
        <f aca="false">B1021+1</f>
        <v>807</v>
      </c>
      <c r="C1022" s="814" t="n">
        <f aca="false">C1021+D1022</f>
        <v>114977.035992831</v>
      </c>
      <c r="D1022" s="815" t="n">
        <f aca="false">E1022*$E$205*M1022</f>
        <v>206.552420910888</v>
      </c>
      <c r="E1022" s="601" t="n">
        <f aca="false">E1021+$C$204</f>
        <v>13.0994686016545</v>
      </c>
      <c r="F1022" s="816" t="n">
        <f aca="false">F1021+1</f>
        <v>807</v>
      </c>
      <c r="G1022" s="775" t="n">
        <f aca="false">C1022</f>
        <v>114977.035992831</v>
      </c>
      <c r="H1022" s="817" t="n">
        <f aca="false">1000*(E1022-E1021)</f>
        <v>9.99999999999979</v>
      </c>
      <c r="I1022" s="5"/>
      <c r="J1022" s="818" t="n">
        <f aca="false">1000*(E1022-$E$215)/(B1022-$B$215)</f>
        <v>11.9502724021954</v>
      </c>
      <c r="K1022" s="732" t="n">
        <f aca="false">AVERAGE($E$216:E1022)</f>
        <v>9.06005100561991</v>
      </c>
      <c r="L1022" s="819" t="n">
        <f aca="false">L1021+1</f>
        <v>807</v>
      </c>
      <c r="M1022" s="820" t="n">
        <f aca="false">IF(B1022&lt;$E$104,$E$105,$E$106)</f>
        <v>3</v>
      </c>
      <c r="N1022" s="821" t="n">
        <f aca="false">IF(B1022&lt;$E$104,$E$105,$E$111)</f>
        <v>2.5</v>
      </c>
      <c r="O1022" s="822" t="n">
        <f aca="false">E1022*$E$205*N1022</f>
        <v>172.12701742574</v>
      </c>
      <c r="P1022" s="823" t="n">
        <f aca="false">P1021+O1022</f>
        <v>95865.8772610686</v>
      </c>
      <c r="Q1022" s="606" t="n">
        <f aca="false">Q1021+1</f>
        <v>807</v>
      </c>
      <c r="R1022" s="824" t="n">
        <f aca="false">R1021-1</f>
        <v>-807</v>
      </c>
      <c r="S1022" s="5"/>
      <c r="T1022" s="5"/>
      <c r="U1022" s="5"/>
      <c r="V1022" s="10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02"/>
      <c r="AU1022" s="502"/>
      <c r="AV1022" s="606"/>
      <c r="AW1022" s="502"/>
      <c r="AX1022" s="502"/>
      <c r="AY1022" s="502"/>
      <c r="AZ1022" s="502"/>
      <c r="BA1022" s="502"/>
      <c r="BB1022" s="502"/>
      <c r="BC1022" s="502"/>
      <c r="BD1022" s="502"/>
      <c r="BE1022" s="502"/>
      <c r="BF1022" s="502"/>
      <c r="BG1022" s="502"/>
      <c r="BH1022" s="502"/>
      <c r="BI1022" s="502"/>
      <c r="BJ1022" s="502"/>
      <c r="BK1022" s="502"/>
      <c r="BL1022" s="502"/>
      <c r="BM1022" s="502"/>
      <c r="BN1022" s="502"/>
      <c r="BO1022" s="502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  <c r="DE1022" s="5"/>
      <c r="DF1022" s="5"/>
      <c r="DG1022" s="5"/>
      <c r="DH1022" s="5"/>
      <c r="DI1022" s="5"/>
      <c r="DJ1022" s="5"/>
      <c r="DK1022" s="5"/>
      <c r="DL1022" s="5"/>
      <c r="DM1022" s="5"/>
      <c r="DN1022" s="5"/>
      <c r="DO1022" s="5"/>
      <c r="DP1022" s="5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</row>
    <row r="1023" s="504" customFormat="true" ht="12.75" hidden="true" customHeight="true" outlineLevel="0" collapsed="false">
      <c r="A1023" s="5"/>
      <c r="B1023" s="813" t="n">
        <f aca="false">B1022+1</f>
        <v>808</v>
      </c>
      <c r="C1023" s="814" t="n">
        <f aca="false">C1022+D1023</f>
        <v>115183.746093742</v>
      </c>
      <c r="D1023" s="815" t="n">
        <f aca="false">E1023*$E$205*M1023</f>
        <v>206.710100910888</v>
      </c>
      <c r="E1023" s="601" t="n">
        <f aca="false">E1022+$C$204</f>
        <v>13.1094686016545</v>
      </c>
      <c r="F1023" s="816" t="n">
        <f aca="false">F1022+1</f>
        <v>808</v>
      </c>
      <c r="G1023" s="775" t="n">
        <f aca="false">C1023</f>
        <v>115183.746093742</v>
      </c>
      <c r="H1023" s="817" t="n">
        <f aca="false">1000*(E1023-E1022)</f>
        <v>9.99999999999979</v>
      </c>
      <c r="I1023" s="5"/>
      <c r="J1023" s="818" t="n">
        <f aca="false">1000*(E1023-$E$215)/(B1023-$B$215)</f>
        <v>11.9478586987273</v>
      </c>
      <c r="K1023" s="732" t="n">
        <f aca="false">AVERAGE($E$216:E1023)</f>
        <v>9.06506266106054</v>
      </c>
      <c r="L1023" s="819" t="n">
        <f aca="false">L1022+1</f>
        <v>808</v>
      </c>
      <c r="M1023" s="820" t="n">
        <f aca="false">IF(B1023&lt;$E$104,$E$105,$E$106)</f>
        <v>3</v>
      </c>
      <c r="N1023" s="821" t="n">
        <f aca="false">IF(B1023&lt;$E$104,$E$105,$E$111)</f>
        <v>2.5</v>
      </c>
      <c r="O1023" s="822" t="n">
        <f aca="false">E1023*$E$205*N1023</f>
        <v>172.25841742574</v>
      </c>
      <c r="P1023" s="823" t="n">
        <f aca="false">P1022+O1023</f>
        <v>96038.1356784944</v>
      </c>
      <c r="Q1023" s="606" t="n">
        <f aca="false">Q1022+1</f>
        <v>808</v>
      </c>
      <c r="R1023" s="824" t="n">
        <f aca="false">R1022-1</f>
        <v>-808</v>
      </c>
      <c r="S1023" s="5"/>
      <c r="T1023" s="5"/>
      <c r="U1023" s="5"/>
      <c r="V1023" s="10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02"/>
      <c r="AU1023" s="502"/>
      <c r="AV1023" s="606"/>
      <c r="AW1023" s="502"/>
      <c r="AX1023" s="502"/>
      <c r="AY1023" s="502"/>
      <c r="AZ1023" s="502"/>
      <c r="BA1023" s="502"/>
      <c r="BB1023" s="502"/>
      <c r="BC1023" s="502"/>
      <c r="BD1023" s="502"/>
      <c r="BE1023" s="502"/>
      <c r="BF1023" s="502"/>
      <c r="BG1023" s="502"/>
      <c r="BH1023" s="502"/>
      <c r="BI1023" s="502"/>
      <c r="BJ1023" s="502"/>
      <c r="BK1023" s="502"/>
      <c r="BL1023" s="502"/>
      <c r="BM1023" s="502"/>
      <c r="BN1023" s="502"/>
      <c r="BO1023" s="502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  <c r="DE1023" s="5"/>
      <c r="DF1023" s="5"/>
      <c r="DG1023" s="5"/>
      <c r="DH1023" s="5"/>
      <c r="DI1023" s="5"/>
      <c r="DJ1023" s="5"/>
      <c r="DK1023" s="5"/>
      <c r="DL1023" s="5"/>
      <c r="DM1023" s="5"/>
      <c r="DN1023" s="5"/>
      <c r="DO1023" s="5"/>
      <c r="DP1023" s="5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</row>
    <row r="1024" s="504" customFormat="true" ht="12.75" hidden="true" customHeight="true" outlineLevel="0" collapsed="false">
      <c r="A1024" s="5"/>
      <c r="B1024" s="813" t="n">
        <f aca="false">B1023+1</f>
        <v>809</v>
      </c>
      <c r="C1024" s="814" t="n">
        <f aca="false">C1023+D1024</f>
        <v>115390.613874653</v>
      </c>
      <c r="D1024" s="815" t="n">
        <f aca="false">E1024*$E$205*M1024</f>
        <v>206.867780910888</v>
      </c>
      <c r="E1024" s="601" t="n">
        <f aca="false">E1023+$C$204</f>
        <v>13.1194686016545</v>
      </c>
      <c r="F1024" s="816" t="n">
        <f aca="false">F1023+1</f>
        <v>809</v>
      </c>
      <c r="G1024" s="775" t="n">
        <f aca="false">C1024</f>
        <v>115390.613874653</v>
      </c>
      <c r="H1024" s="817" t="n">
        <f aca="false">1000*(E1024-E1023)</f>
        <v>9.99999999999979</v>
      </c>
      <c r="I1024" s="5"/>
      <c r="J1024" s="818" t="n">
        <f aca="false">1000*(E1024-$E$215)/(B1024-$B$215)</f>
        <v>11.9454509623877</v>
      </c>
      <c r="K1024" s="732" t="n">
        <f aca="false">AVERAGE($E$216:E1024)</f>
        <v>9.07007428768674</v>
      </c>
      <c r="L1024" s="819" t="n">
        <f aca="false">L1023+1</f>
        <v>809</v>
      </c>
      <c r="M1024" s="820" t="n">
        <f aca="false">IF(B1024&lt;$E$104,$E$105,$E$106)</f>
        <v>3</v>
      </c>
      <c r="N1024" s="821" t="n">
        <f aca="false">IF(B1024&lt;$E$104,$E$105,$E$111)</f>
        <v>2.5</v>
      </c>
      <c r="O1024" s="822" t="n">
        <f aca="false">E1024*$E$205*N1024</f>
        <v>172.38981742574</v>
      </c>
      <c r="P1024" s="823" t="n">
        <f aca="false">P1023+O1024</f>
        <v>96210.5254959201</v>
      </c>
      <c r="Q1024" s="606" t="n">
        <f aca="false">Q1023+1</f>
        <v>809</v>
      </c>
      <c r="R1024" s="824" t="n">
        <f aca="false">R1023-1</f>
        <v>-809</v>
      </c>
      <c r="S1024" s="5"/>
      <c r="T1024" s="5"/>
      <c r="U1024" s="5"/>
      <c r="V1024" s="10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02"/>
      <c r="AU1024" s="502"/>
      <c r="AV1024" s="606"/>
      <c r="AW1024" s="502"/>
      <c r="AX1024" s="502"/>
      <c r="AY1024" s="502"/>
      <c r="AZ1024" s="502"/>
      <c r="BA1024" s="502"/>
      <c r="BB1024" s="502"/>
      <c r="BC1024" s="502"/>
      <c r="BD1024" s="502"/>
      <c r="BE1024" s="502"/>
      <c r="BF1024" s="502"/>
      <c r="BG1024" s="502"/>
      <c r="BH1024" s="502"/>
      <c r="BI1024" s="502"/>
      <c r="BJ1024" s="502"/>
      <c r="BK1024" s="502"/>
      <c r="BL1024" s="502"/>
      <c r="BM1024" s="502"/>
      <c r="BN1024" s="502"/>
      <c r="BO1024" s="502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  <c r="DE1024" s="5"/>
      <c r="DF1024" s="5"/>
      <c r="DG1024" s="5"/>
      <c r="DH1024" s="5"/>
      <c r="DI1024" s="5"/>
      <c r="DJ1024" s="5"/>
      <c r="DK1024" s="5"/>
      <c r="DL1024" s="5"/>
      <c r="DM1024" s="5"/>
      <c r="DN1024" s="5"/>
      <c r="DO1024" s="5"/>
      <c r="DP1024" s="5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</row>
    <row r="1025" s="504" customFormat="true" ht="12.75" hidden="true" customHeight="true" outlineLevel="0" collapsed="false">
      <c r="A1025" s="5"/>
      <c r="B1025" s="813" t="n">
        <f aca="false">B1024+1</f>
        <v>810</v>
      </c>
      <c r="C1025" s="814" t="n">
        <f aca="false">C1024+D1025</f>
        <v>115597.639335564</v>
      </c>
      <c r="D1025" s="815" t="n">
        <f aca="false">E1025*$E$205*M1025</f>
        <v>207.025460910888</v>
      </c>
      <c r="E1025" s="601" t="n">
        <f aca="false">E1024+$C$204</f>
        <v>13.1294686016545</v>
      </c>
      <c r="F1025" s="816" t="n">
        <f aca="false">F1024+1</f>
        <v>810</v>
      </c>
      <c r="G1025" s="775" t="n">
        <f aca="false">C1025</f>
        <v>115597.639335564</v>
      </c>
      <c r="H1025" s="817" t="n">
        <f aca="false">1000*(E1025-E1024)</f>
        <v>9.99999999999979</v>
      </c>
      <c r="I1025" s="5"/>
      <c r="J1025" s="818" t="n">
        <f aca="false">1000*(E1025-$E$215)/(B1025-$B$215)</f>
        <v>11.9430491710761</v>
      </c>
      <c r="K1025" s="732" t="n">
        <f aca="false">AVERAGE($E$216:E1025)</f>
        <v>9.07508588560522</v>
      </c>
      <c r="L1025" s="819" t="n">
        <f aca="false">L1024+1</f>
        <v>810</v>
      </c>
      <c r="M1025" s="820" t="n">
        <f aca="false">IF(B1025&lt;$E$104,$E$105,$E$106)</f>
        <v>3</v>
      </c>
      <c r="N1025" s="821" t="n">
        <f aca="false">IF(B1025&lt;$E$104,$E$105,$E$111)</f>
        <v>2.5</v>
      </c>
      <c r="O1025" s="822" t="n">
        <f aca="false">E1025*$E$205*N1025</f>
        <v>172.52121742574</v>
      </c>
      <c r="P1025" s="823" t="n">
        <f aca="false">P1024+O1025</f>
        <v>96383.0467133458</v>
      </c>
      <c r="Q1025" s="606" t="n">
        <f aca="false">Q1024+1</f>
        <v>810</v>
      </c>
      <c r="R1025" s="824" t="n">
        <f aca="false">R1024-1</f>
        <v>-810</v>
      </c>
      <c r="S1025" s="5"/>
      <c r="T1025" s="5"/>
      <c r="U1025" s="5"/>
      <c r="V1025" s="10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02"/>
      <c r="AU1025" s="502"/>
      <c r="AV1025" s="606"/>
      <c r="AW1025" s="502"/>
      <c r="AX1025" s="502"/>
      <c r="AY1025" s="502"/>
      <c r="AZ1025" s="502"/>
      <c r="BA1025" s="502"/>
      <c r="BB1025" s="502"/>
      <c r="BC1025" s="502"/>
      <c r="BD1025" s="502"/>
      <c r="BE1025" s="502"/>
      <c r="BF1025" s="502"/>
      <c r="BG1025" s="502"/>
      <c r="BH1025" s="502"/>
      <c r="BI1025" s="502"/>
      <c r="BJ1025" s="502"/>
      <c r="BK1025" s="502"/>
      <c r="BL1025" s="502"/>
      <c r="BM1025" s="502"/>
      <c r="BN1025" s="502"/>
      <c r="BO1025" s="502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  <c r="DA1025" s="5"/>
      <c r="DB1025" s="5"/>
      <c r="DC1025" s="5"/>
      <c r="DD1025" s="5"/>
      <c r="DE1025" s="5"/>
      <c r="DF1025" s="5"/>
      <c r="DG1025" s="5"/>
      <c r="DH1025" s="5"/>
      <c r="DI1025" s="5"/>
      <c r="DJ1025" s="5"/>
      <c r="DK1025" s="5"/>
      <c r="DL1025" s="5"/>
      <c r="DM1025" s="5"/>
      <c r="DN1025" s="5"/>
      <c r="DO1025" s="5"/>
      <c r="DP1025" s="5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</row>
    <row r="1026" s="504" customFormat="true" ht="12.75" hidden="true" customHeight="true" outlineLevel="0" collapsed="false">
      <c r="A1026" s="5"/>
      <c r="B1026" s="813" t="n">
        <f aca="false">B1025+1</f>
        <v>811</v>
      </c>
      <c r="C1026" s="814" t="n">
        <f aca="false">C1025+D1026</f>
        <v>115804.822476474</v>
      </c>
      <c r="D1026" s="815" t="n">
        <f aca="false">E1026*$E$205*M1026</f>
        <v>207.183140910888</v>
      </c>
      <c r="E1026" s="601" t="n">
        <f aca="false">E1025+$C$204</f>
        <v>13.1394686016545</v>
      </c>
      <c r="F1026" s="816" t="n">
        <f aca="false">F1025+1</f>
        <v>811</v>
      </c>
      <c r="G1026" s="775" t="n">
        <f aca="false">C1026</f>
        <v>115804.822476474</v>
      </c>
      <c r="H1026" s="817" t="n">
        <f aca="false">1000*(E1026-E1025)</f>
        <v>9.99999999999979</v>
      </c>
      <c r="I1026" s="5"/>
      <c r="J1026" s="818" t="n">
        <f aca="false">1000*(E1026-$E$215)/(B1026-$B$215)</f>
        <v>11.9406533028011</v>
      </c>
      <c r="K1026" s="732" t="n">
        <f aca="false">AVERAGE($E$216:E1026)</f>
        <v>9.08009745492218</v>
      </c>
      <c r="L1026" s="819" t="n">
        <f aca="false">L1025+1</f>
        <v>811</v>
      </c>
      <c r="M1026" s="820" t="n">
        <f aca="false">IF(B1026&lt;$E$104,$E$105,$E$106)</f>
        <v>3</v>
      </c>
      <c r="N1026" s="821" t="n">
        <f aca="false">IF(B1026&lt;$E$104,$E$105,$E$111)</f>
        <v>2.5</v>
      </c>
      <c r="O1026" s="822" t="n">
        <f aca="false">E1026*$E$205*N1026</f>
        <v>172.65261742574</v>
      </c>
      <c r="P1026" s="823" t="n">
        <f aca="false">P1025+O1026</f>
        <v>96555.6993307716</v>
      </c>
      <c r="Q1026" s="606" t="n">
        <f aca="false">Q1025+1</f>
        <v>811</v>
      </c>
      <c r="R1026" s="824" t="n">
        <f aca="false">R1025-1</f>
        <v>-811</v>
      </c>
      <c r="S1026" s="5"/>
      <c r="T1026" s="5"/>
      <c r="U1026" s="5"/>
      <c r="V1026" s="10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02"/>
      <c r="AU1026" s="502"/>
      <c r="AV1026" s="606"/>
      <c r="AW1026" s="502"/>
      <c r="AX1026" s="502"/>
      <c r="AY1026" s="502"/>
      <c r="AZ1026" s="502"/>
      <c r="BA1026" s="502"/>
      <c r="BB1026" s="502"/>
      <c r="BC1026" s="502"/>
      <c r="BD1026" s="502"/>
      <c r="BE1026" s="502"/>
      <c r="BF1026" s="502"/>
      <c r="BG1026" s="502"/>
      <c r="BH1026" s="502"/>
      <c r="BI1026" s="502"/>
      <c r="BJ1026" s="502"/>
      <c r="BK1026" s="502"/>
      <c r="BL1026" s="502"/>
      <c r="BM1026" s="502"/>
      <c r="BN1026" s="502"/>
      <c r="BO1026" s="502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  <c r="DI1026" s="5"/>
      <c r="DJ1026" s="5"/>
      <c r="DK1026" s="5"/>
      <c r="DL1026" s="5"/>
      <c r="DM1026" s="5"/>
      <c r="DN1026" s="5"/>
      <c r="DO1026" s="5"/>
      <c r="DP1026" s="5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</row>
    <row r="1027" s="504" customFormat="true" ht="12.75" hidden="true" customHeight="true" outlineLevel="0" collapsed="false">
      <c r="A1027" s="5"/>
      <c r="B1027" s="813" t="n">
        <f aca="false">B1026+1</f>
        <v>812</v>
      </c>
      <c r="C1027" s="814" t="n">
        <f aca="false">C1026+D1027</f>
        <v>116012.163297385</v>
      </c>
      <c r="D1027" s="815" t="n">
        <f aca="false">E1027*$E$205*M1027</f>
        <v>207.340820910888</v>
      </c>
      <c r="E1027" s="601" t="n">
        <f aca="false">E1026+$C$204</f>
        <v>13.1494686016545</v>
      </c>
      <c r="F1027" s="816" t="n">
        <f aca="false">F1026+1</f>
        <v>812</v>
      </c>
      <c r="G1027" s="775" t="n">
        <f aca="false">C1027</f>
        <v>116012.163297385</v>
      </c>
      <c r="H1027" s="817" t="n">
        <f aca="false">1000*(E1027-E1026)</f>
        <v>9.99999999999979</v>
      </c>
      <c r="I1027" s="5"/>
      <c r="J1027" s="818" t="n">
        <f aca="false">1000*(E1027-$E$215)/(B1027-$B$215)</f>
        <v>11.9382633356794</v>
      </c>
      <c r="K1027" s="732" t="n">
        <f aca="false">AVERAGE($E$216:E1027)</f>
        <v>9.08510899574327</v>
      </c>
      <c r="L1027" s="819" t="n">
        <f aca="false">L1026+1</f>
        <v>812</v>
      </c>
      <c r="M1027" s="820" t="n">
        <f aca="false">IF(B1027&lt;$E$104,$E$105,$E$106)</f>
        <v>3</v>
      </c>
      <c r="N1027" s="821" t="n">
        <f aca="false">IF(B1027&lt;$E$104,$E$105,$E$111)</f>
        <v>2.5</v>
      </c>
      <c r="O1027" s="822" t="n">
        <f aca="false">E1027*$E$205*N1027</f>
        <v>172.78401742574</v>
      </c>
      <c r="P1027" s="823" t="n">
        <f aca="false">P1026+O1027</f>
        <v>96728.4833481973</v>
      </c>
      <c r="Q1027" s="606" t="n">
        <f aca="false">Q1026+1</f>
        <v>812</v>
      </c>
      <c r="R1027" s="824" t="n">
        <f aca="false">R1026-1</f>
        <v>-812</v>
      </c>
      <c r="S1027" s="5"/>
      <c r="T1027" s="5"/>
      <c r="U1027" s="5"/>
      <c r="V1027" s="10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02"/>
      <c r="AU1027" s="502"/>
      <c r="AV1027" s="606"/>
      <c r="AW1027" s="502"/>
      <c r="AX1027" s="502"/>
      <c r="AY1027" s="502"/>
      <c r="AZ1027" s="502"/>
      <c r="BA1027" s="502"/>
      <c r="BB1027" s="502"/>
      <c r="BC1027" s="502"/>
      <c r="BD1027" s="502"/>
      <c r="BE1027" s="502"/>
      <c r="BF1027" s="502"/>
      <c r="BG1027" s="502"/>
      <c r="BH1027" s="502"/>
      <c r="BI1027" s="502"/>
      <c r="BJ1027" s="502"/>
      <c r="BK1027" s="502"/>
      <c r="BL1027" s="502"/>
      <c r="BM1027" s="502"/>
      <c r="BN1027" s="502"/>
      <c r="BO1027" s="502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  <c r="DA1027" s="5"/>
      <c r="DB1027" s="5"/>
      <c r="DC1027" s="5"/>
      <c r="DD1027" s="5"/>
      <c r="DE1027" s="5"/>
      <c r="DF1027" s="5"/>
      <c r="DG1027" s="5"/>
      <c r="DH1027" s="5"/>
      <c r="DI1027" s="5"/>
      <c r="DJ1027" s="5"/>
      <c r="DK1027" s="5"/>
      <c r="DL1027" s="5"/>
      <c r="DM1027" s="5"/>
      <c r="DN1027" s="5"/>
      <c r="DO1027" s="5"/>
      <c r="DP1027" s="5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</row>
    <row r="1028" s="504" customFormat="true" ht="12.75" hidden="true" customHeight="true" outlineLevel="0" collapsed="false">
      <c r="A1028" s="5"/>
      <c r="B1028" s="813" t="n">
        <f aca="false">B1027+1</f>
        <v>813</v>
      </c>
      <c r="C1028" s="814" t="n">
        <f aca="false">C1027+D1028</f>
        <v>116219.661798296</v>
      </c>
      <c r="D1028" s="815" t="n">
        <f aca="false">E1028*$E$205*M1028</f>
        <v>207.498500910888</v>
      </c>
      <c r="E1028" s="601" t="n">
        <f aca="false">E1027+$C$204</f>
        <v>13.1594686016545</v>
      </c>
      <c r="F1028" s="816" t="n">
        <f aca="false">F1027+1</f>
        <v>813</v>
      </c>
      <c r="G1028" s="775" t="n">
        <f aca="false">C1028</f>
        <v>116219.661798296</v>
      </c>
      <c r="H1028" s="817" t="n">
        <f aca="false">1000*(E1028-E1027)</f>
        <v>9.99999999999979</v>
      </c>
      <c r="I1028" s="5"/>
      <c r="J1028" s="818" t="n">
        <f aca="false">1000*(E1028-$E$215)/(B1028-$B$215)</f>
        <v>11.9358792479356</v>
      </c>
      <c r="K1028" s="732" t="n">
        <f aca="false">AVERAGE($E$216:E1028)</f>
        <v>9.09012050817367</v>
      </c>
      <c r="L1028" s="819" t="n">
        <f aca="false">L1027+1</f>
        <v>813</v>
      </c>
      <c r="M1028" s="820" t="n">
        <f aca="false">IF(B1028&lt;$E$104,$E$105,$E$106)</f>
        <v>3</v>
      </c>
      <c r="N1028" s="821" t="n">
        <f aca="false">IF(B1028&lt;$E$104,$E$105,$E$111)</f>
        <v>2.5</v>
      </c>
      <c r="O1028" s="822" t="n">
        <f aca="false">E1028*$E$205*N1028</f>
        <v>172.91541742574</v>
      </c>
      <c r="P1028" s="823" t="n">
        <f aca="false">P1027+O1028</f>
        <v>96901.3987656231</v>
      </c>
      <c r="Q1028" s="606" t="n">
        <f aca="false">Q1027+1</f>
        <v>813</v>
      </c>
      <c r="R1028" s="824" t="n">
        <f aca="false">R1027-1</f>
        <v>-813</v>
      </c>
      <c r="S1028" s="5"/>
      <c r="T1028" s="5"/>
      <c r="U1028" s="5"/>
      <c r="V1028" s="10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02"/>
      <c r="AU1028" s="502"/>
      <c r="AV1028" s="606"/>
      <c r="AW1028" s="502"/>
      <c r="AX1028" s="502"/>
      <c r="AY1028" s="502"/>
      <c r="AZ1028" s="502"/>
      <c r="BA1028" s="502"/>
      <c r="BB1028" s="502"/>
      <c r="BC1028" s="502"/>
      <c r="BD1028" s="502"/>
      <c r="BE1028" s="502"/>
      <c r="BF1028" s="502"/>
      <c r="BG1028" s="502"/>
      <c r="BH1028" s="502"/>
      <c r="BI1028" s="502"/>
      <c r="BJ1028" s="502"/>
      <c r="BK1028" s="502"/>
      <c r="BL1028" s="502"/>
      <c r="BM1028" s="502"/>
      <c r="BN1028" s="502"/>
      <c r="BO1028" s="502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  <c r="DE1028" s="5"/>
      <c r="DF1028" s="5"/>
      <c r="DG1028" s="5"/>
      <c r="DH1028" s="5"/>
      <c r="DI1028" s="5"/>
      <c r="DJ1028" s="5"/>
      <c r="DK1028" s="5"/>
      <c r="DL1028" s="5"/>
      <c r="DM1028" s="5"/>
      <c r="DN1028" s="5"/>
      <c r="DO1028" s="5"/>
      <c r="DP1028" s="5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</row>
    <row r="1029" s="504" customFormat="true" ht="12.75" hidden="true" customHeight="true" outlineLevel="0" collapsed="false">
      <c r="A1029" s="5"/>
      <c r="B1029" s="813" t="n">
        <f aca="false">B1028+1</f>
        <v>814</v>
      </c>
      <c r="C1029" s="814" t="n">
        <f aca="false">C1028+D1029</f>
        <v>116427.317979207</v>
      </c>
      <c r="D1029" s="815" t="n">
        <f aca="false">E1029*$E$205*M1029</f>
        <v>207.656180910888</v>
      </c>
      <c r="E1029" s="601" t="n">
        <f aca="false">E1028+$C$204</f>
        <v>13.1694686016545</v>
      </c>
      <c r="F1029" s="816" t="n">
        <f aca="false">F1028+1</f>
        <v>814</v>
      </c>
      <c r="G1029" s="775" t="n">
        <f aca="false">C1029</f>
        <v>116427.317979207</v>
      </c>
      <c r="H1029" s="817" t="n">
        <f aca="false">1000*(E1029-E1028)</f>
        <v>9.99999999999979</v>
      </c>
      <c r="I1029" s="5"/>
      <c r="J1029" s="818" t="n">
        <f aca="false">1000*(E1029-$E$215)/(B1029-$B$215)</f>
        <v>11.9335010179013</v>
      </c>
      <c r="K1029" s="732" t="n">
        <f aca="false">AVERAGE($E$216:E1029)</f>
        <v>9.09513199231799</v>
      </c>
      <c r="L1029" s="819" t="n">
        <f aca="false">L1028+1</f>
        <v>814</v>
      </c>
      <c r="M1029" s="820" t="n">
        <f aca="false">IF(B1029&lt;$E$104,$E$105,$E$106)</f>
        <v>3</v>
      </c>
      <c r="N1029" s="821" t="n">
        <f aca="false">IF(B1029&lt;$E$104,$E$105,$E$111)</f>
        <v>2.5</v>
      </c>
      <c r="O1029" s="822" t="n">
        <f aca="false">E1029*$E$205*N1029</f>
        <v>173.04681742574</v>
      </c>
      <c r="P1029" s="823" t="n">
        <f aca="false">P1028+O1029</f>
        <v>97074.4455830488</v>
      </c>
      <c r="Q1029" s="606" t="n">
        <f aca="false">Q1028+1</f>
        <v>814</v>
      </c>
      <c r="R1029" s="824" t="n">
        <f aca="false">R1028-1</f>
        <v>-814</v>
      </c>
      <c r="S1029" s="5"/>
      <c r="T1029" s="5"/>
      <c r="U1029" s="5"/>
      <c r="V1029" s="10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02"/>
      <c r="AU1029" s="502"/>
      <c r="AV1029" s="606"/>
      <c r="AW1029" s="502"/>
      <c r="AX1029" s="502"/>
      <c r="AY1029" s="502"/>
      <c r="AZ1029" s="502"/>
      <c r="BA1029" s="502"/>
      <c r="BB1029" s="502"/>
      <c r="BC1029" s="502"/>
      <c r="BD1029" s="502"/>
      <c r="BE1029" s="502"/>
      <c r="BF1029" s="502"/>
      <c r="BG1029" s="502"/>
      <c r="BH1029" s="502"/>
      <c r="BI1029" s="502"/>
      <c r="BJ1029" s="502"/>
      <c r="BK1029" s="502"/>
      <c r="BL1029" s="502"/>
      <c r="BM1029" s="502"/>
      <c r="BN1029" s="502"/>
      <c r="BO1029" s="502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  <c r="DA1029" s="5"/>
      <c r="DB1029" s="5"/>
      <c r="DC1029" s="5"/>
      <c r="DD1029" s="5"/>
      <c r="DE1029" s="5"/>
      <c r="DF1029" s="5"/>
      <c r="DG1029" s="5"/>
      <c r="DH1029" s="5"/>
      <c r="DI1029" s="5"/>
      <c r="DJ1029" s="5"/>
      <c r="DK1029" s="5"/>
      <c r="DL1029" s="5"/>
      <c r="DM1029" s="5"/>
      <c r="DN1029" s="5"/>
      <c r="DO1029" s="5"/>
      <c r="DP1029" s="5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</row>
    <row r="1030" s="504" customFormat="true" ht="12.75" hidden="true" customHeight="true" outlineLevel="0" collapsed="false">
      <c r="A1030" s="5"/>
      <c r="B1030" s="813" t="n">
        <f aca="false">B1029+1</f>
        <v>815</v>
      </c>
      <c r="C1030" s="814" t="n">
        <f aca="false">C1029+D1030</f>
        <v>116635.131840118</v>
      </c>
      <c r="D1030" s="815" t="n">
        <f aca="false">E1030*$E$205*M1030</f>
        <v>207.813860910888</v>
      </c>
      <c r="E1030" s="601" t="n">
        <f aca="false">E1029+$C$204</f>
        <v>13.1794686016545</v>
      </c>
      <c r="F1030" s="816" t="n">
        <f aca="false">F1029+1</f>
        <v>815</v>
      </c>
      <c r="G1030" s="775" t="n">
        <f aca="false">C1030</f>
        <v>116635.131840118</v>
      </c>
      <c r="H1030" s="817" t="n">
        <f aca="false">1000*(E1030-E1029)</f>
        <v>9.99999999999979</v>
      </c>
      <c r="I1030" s="5"/>
      <c r="J1030" s="818" t="n">
        <f aca="false">1000*(E1030-$E$215)/(B1030-$B$215)</f>
        <v>11.9311286240143</v>
      </c>
      <c r="K1030" s="732" t="n">
        <f aca="false">AVERAGE($E$216:E1030)</f>
        <v>9.10014344828037</v>
      </c>
      <c r="L1030" s="819" t="n">
        <f aca="false">L1029+1</f>
        <v>815</v>
      </c>
      <c r="M1030" s="820" t="n">
        <f aca="false">IF(B1030&lt;$E$104,$E$105,$E$106)</f>
        <v>3</v>
      </c>
      <c r="N1030" s="821" t="n">
        <f aca="false">IF(B1030&lt;$E$104,$E$105,$E$111)</f>
        <v>2.5</v>
      </c>
      <c r="O1030" s="822" t="n">
        <f aca="false">E1030*$E$205*N1030</f>
        <v>173.17821742574</v>
      </c>
      <c r="P1030" s="823" t="n">
        <f aca="false">P1029+O1030</f>
        <v>97247.6238004746</v>
      </c>
      <c r="Q1030" s="606" t="n">
        <f aca="false">Q1029+1</f>
        <v>815</v>
      </c>
      <c r="R1030" s="824" t="n">
        <f aca="false">R1029-1</f>
        <v>-815</v>
      </c>
      <c r="S1030" s="5"/>
      <c r="T1030" s="5"/>
      <c r="U1030" s="5"/>
      <c r="V1030" s="10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02"/>
      <c r="AU1030" s="502"/>
      <c r="AV1030" s="606"/>
      <c r="AW1030" s="502"/>
      <c r="AX1030" s="502"/>
      <c r="AY1030" s="502"/>
      <c r="AZ1030" s="502"/>
      <c r="BA1030" s="502"/>
      <c r="BB1030" s="502"/>
      <c r="BC1030" s="502"/>
      <c r="BD1030" s="502"/>
      <c r="BE1030" s="502"/>
      <c r="BF1030" s="502"/>
      <c r="BG1030" s="502"/>
      <c r="BH1030" s="502"/>
      <c r="BI1030" s="502"/>
      <c r="BJ1030" s="502"/>
      <c r="BK1030" s="502"/>
      <c r="BL1030" s="502"/>
      <c r="BM1030" s="502"/>
      <c r="BN1030" s="502"/>
      <c r="BO1030" s="502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  <c r="DE1030" s="5"/>
      <c r="DF1030" s="5"/>
      <c r="DG1030" s="5"/>
      <c r="DH1030" s="5"/>
      <c r="DI1030" s="5"/>
      <c r="DJ1030" s="5"/>
      <c r="DK1030" s="5"/>
      <c r="DL1030" s="5"/>
      <c r="DM1030" s="5"/>
      <c r="DN1030" s="5"/>
      <c r="DO1030" s="5"/>
      <c r="DP1030" s="5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</row>
    <row r="1031" s="504" customFormat="true" ht="12.75" hidden="true" customHeight="true" outlineLevel="0" collapsed="false">
      <c r="A1031" s="5"/>
      <c r="B1031" s="813" t="n">
        <f aca="false">B1030+1</f>
        <v>816</v>
      </c>
      <c r="C1031" s="814" t="n">
        <f aca="false">C1030+D1031</f>
        <v>116843.103381029</v>
      </c>
      <c r="D1031" s="815" t="n">
        <f aca="false">E1031*$E$205*M1031</f>
        <v>207.971540910888</v>
      </c>
      <c r="E1031" s="601" t="n">
        <f aca="false">E1030+$C$204</f>
        <v>13.1894686016545</v>
      </c>
      <c r="F1031" s="816" t="n">
        <f aca="false">F1030+1</f>
        <v>816</v>
      </c>
      <c r="G1031" s="775" t="n">
        <f aca="false">C1031</f>
        <v>116843.103381029</v>
      </c>
      <c r="H1031" s="817" t="n">
        <f aca="false">1000*(E1031-E1030)</f>
        <v>9.99999999999979</v>
      </c>
      <c r="I1031" s="5"/>
      <c r="J1031" s="818" t="n">
        <f aca="false">1000*(E1031-$E$215)/(B1031-$B$215)</f>
        <v>11.9287620448182</v>
      </c>
      <c r="K1031" s="732" t="n">
        <f aca="false">AVERAGE($E$216:E1031)</f>
        <v>9.10515487616441</v>
      </c>
      <c r="L1031" s="819" t="n">
        <f aca="false">L1030+1</f>
        <v>816</v>
      </c>
      <c r="M1031" s="820" t="n">
        <f aca="false">IF(B1031&lt;$E$104,$E$105,$E$106)</f>
        <v>3</v>
      </c>
      <c r="N1031" s="821" t="n">
        <f aca="false">IF(B1031&lt;$E$104,$E$105,$E$111)</f>
        <v>2.5</v>
      </c>
      <c r="O1031" s="822" t="n">
        <f aca="false">E1031*$E$205*N1031</f>
        <v>173.30961742574</v>
      </c>
      <c r="P1031" s="823" t="n">
        <f aca="false">P1030+O1031</f>
        <v>97420.9334179003</v>
      </c>
      <c r="Q1031" s="606" t="n">
        <f aca="false">Q1030+1</f>
        <v>816</v>
      </c>
      <c r="R1031" s="824" t="n">
        <f aca="false">R1030-1</f>
        <v>-816</v>
      </c>
      <c r="S1031" s="5"/>
      <c r="T1031" s="5"/>
      <c r="U1031" s="5"/>
      <c r="V1031" s="10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02"/>
      <c r="AU1031" s="502"/>
      <c r="AV1031" s="606"/>
      <c r="AW1031" s="502"/>
      <c r="AX1031" s="502"/>
      <c r="AY1031" s="502"/>
      <c r="AZ1031" s="502"/>
      <c r="BA1031" s="502"/>
      <c r="BB1031" s="502"/>
      <c r="BC1031" s="502"/>
      <c r="BD1031" s="502"/>
      <c r="BE1031" s="502"/>
      <c r="BF1031" s="502"/>
      <c r="BG1031" s="502"/>
      <c r="BH1031" s="502"/>
      <c r="BI1031" s="502"/>
      <c r="BJ1031" s="502"/>
      <c r="BK1031" s="502"/>
      <c r="BL1031" s="502"/>
      <c r="BM1031" s="502"/>
      <c r="BN1031" s="502"/>
      <c r="BO1031" s="502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  <c r="DA1031" s="5"/>
      <c r="DB1031" s="5"/>
      <c r="DC1031" s="5"/>
      <c r="DD1031" s="5"/>
      <c r="DE1031" s="5"/>
      <c r="DF1031" s="5"/>
      <c r="DG1031" s="5"/>
      <c r="DH1031" s="5"/>
      <c r="DI1031" s="5"/>
      <c r="DJ1031" s="5"/>
      <c r="DK1031" s="5"/>
      <c r="DL1031" s="5"/>
      <c r="DM1031" s="5"/>
      <c r="DN1031" s="5"/>
      <c r="DO1031" s="5"/>
      <c r="DP1031" s="5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</row>
    <row r="1032" s="504" customFormat="true" ht="12.75" hidden="true" customHeight="true" outlineLevel="0" collapsed="false">
      <c r="A1032" s="5"/>
      <c r="B1032" s="813" t="n">
        <f aca="false">B1031+1</f>
        <v>817</v>
      </c>
      <c r="C1032" s="814" t="n">
        <f aca="false">C1031+D1032</f>
        <v>117051.23260194</v>
      </c>
      <c r="D1032" s="815" t="n">
        <f aca="false">E1032*$E$205*M1032</f>
        <v>208.129220910888</v>
      </c>
      <c r="E1032" s="601" t="n">
        <f aca="false">E1031+$C$204</f>
        <v>13.1994686016545</v>
      </c>
      <c r="F1032" s="816" t="n">
        <f aca="false">F1031+1</f>
        <v>817</v>
      </c>
      <c r="G1032" s="775" t="n">
        <f aca="false">C1032</f>
        <v>117051.23260194</v>
      </c>
      <c r="H1032" s="817" t="n">
        <f aca="false">1000*(E1032-E1031)</f>
        <v>9.99999999999979</v>
      </c>
      <c r="I1032" s="5"/>
      <c r="J1032" s="818" t="n">
        <f aca="false">1000*(E1032-$E$215)/(B1032-$B$215)</f>
        <v>11.9264012589617</v>
      </c>
      <c r="K1032" s="732" t="n">
        <f aca="false">AVERAGE($E$216:E1032)</f>
        <v>9.11016627607321</v>
      </c>
      <c r="L1032" s="819" t="n">
        <f aca="false">L1031+1</f>
        <v>817</v>
      </c>
      <c r="M1032" s="820" t="n">
        <f aca="false">IF(B1032&lt;$E$104,$E$105,$E$106)</f>
        <v>3</v>
      </c>
      <c r="N1032" s="821" t="n">
        <f aca="false">IF(B1032&lt;$E$104,$E$105,$E$111)</f>
        <v>2.5</v>
      </c>
      <c r="O1032" s="822" t="n">
        <f aca="false">E1032*$E$205*N1032</f>
        <v>173.44101742574</v>
      </c>
      <c r="P1032" s="823" t="n">
        <f aca="false">P1031+O1032</f>
        <v>97594.374435326</v>
      </c>
      <c r="Q1032" s="606" t="n">
        <f aca="false">Q1031+1</f>
        <v>817</v>
      </c>
      <c r="R1032" s="824" t="n">
        <f aca="false">R1031-1</f>
        <v>-817</v>
      </c>
      <c r="S1032" s="5"/>
      <c r="T1032" s="5"/>
      <c r="U1032" s="5"/>
      <c r="V1032" s="10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02"/>
      <c r="AU1032" s="502"/>
      <c r="AV1032" s="606"/>
      <c r="AW1032" s="502"/>
      <c r="AX1032" s="502"/>
      <c r="AY1032" s="502"/>
      <c r="AZ1032" s="502"/>
      <c r="BA1032" s="502"/>
      <c r="BB1032" s="502"/>
      <c r="BC1032" s="502"/>
      <c r="BD1032" s="502"/>
      <c r="BE1032" s="502"/>
      <c r="BF1032" s="502"/>
      <c r="BG1032" s="502"/>
      <c r="BH1032" s="502"/>
      <c r="BI1032" s="502"/>
      <c r="BJ1032" s="502"/>
      <c r="BK1032" s="502"/>
      <c r="BL1032" s="502"/>
      <c r="BM1032" s="502"/>
      <c r="BN1032" s="502"/>
      <c r="BO1032" s="502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  <c r="DE1032" s="5"/>
      <c r="DF1032" s="5"/>
      <c r="DG1032" s="5"/>
      <c r="DH1032" s="5"/>
      <c r="DI1032" s="5"/>
      <c r="DJ1032" s="5"/>
      <c r="DK1032" s="5"/>
      <c r="DL1032" s="5"/>
      <c r="DM1032" s="5"/>
      <c r="DN1032" s="5"/>
      <c r="DO1032" s="5"/>
      <c r="DP1032" s="5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</row>
    <row r="1033" s="504" customFormat="true" ht="12.75" hidden="true" customHeight="true" outlineLevel="0" collapsed="false">
      <c r="A1033" s="5"/>
      <c r="B1033" s="813" t="n">
        <f aca="false">B1032+1</f>
        <v>818</v>
      </c>
      <c r="C1033" s="814" t="n">
        <f aca="false">C1032+D1033</f>
        <v>117259.519502851</v>
      </c>
      <c r="D1033" s="815" t="n">
        <f aca="false">E1033*$E$205*M1033</f>
        <v>208.286900910888</v>
      </c>
      <c r="E1033" s="601" t="n">
        <f aca="false">E1032+$C$204</f>
        <v>13.2094686016545</v>
      </c>
      <c r="F1033" s="816" t="n">
        <f aca="false">F1032+1</f>
        <v>818</v>
      </c>
      <c r="G1033" s="775" t="n">
        <f aca="false">C1033</f>
        <v>117259.519502851</v>
      </c>
      <c r="H1033" s="817" t="n">
        <f aca="false">1000*(E1033-E1032)</f>
        <v>9.99999999999979</v>
      </c>
      <c r="I1033" s="5"/>
      <c r="J1033" s="818" t="n">
        <f aca="false">1000*(E1033-$E$215)/(B1033-$B$215)</f>
        <v>11.9240462451976</v>
      </c>
      <c r="K1033" s="732" t="n">
        <f aca="false">AVERAGE($E$216:E1033)</f>
        <v>9.11517764810937</v>
      </c>
      <c r="L1033" s="819" t="n">
        <f aca="false">L1032+1</f>
        <v>818</v>
      </c>
      <c r="M1033" s="820" t="n">
        <f aca="false">IF(B1033&lt;$E$104,$E$105,$E$106)</f>
        <v>3</v>
      </c>
      <c r="N1033" s="821" t="n">
        <f aca="false">IF(B1033&lt;$E$104,$E$105,$E$111)</f>
        <v>2.5</v>
      </c>
      <c r="O1033" s="822" t="n">
        <f aca="false">E1033*$E$205*N1033</f>
        <v>173.57241742574</v>
      </c>
      <c r="P1033" s="823" t="n">
        <f aca="false">P1032+O1033</f>
        <v>97767.9468527518</v>
      </c>
      <c r="Q1033" s="606" t="n">
        <f aca="false">Q1032+1</f>
        <v>818</v>
      </c>
      <c r="R1033" s="824" t="n">
        <f aca="false">R1032-1</f>
        <v>-818</v>
      </c>
      <c r="S1033" s="5"/>
      <c r="T1033" s="5"/>
      <c r="U1033" s="5"/>
      <c r="V1033" s="10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02"/>
      <c r="AU1033" s="502"/>
      <c r="AV1033" s="606"/>
      <c r="AW1033" s="502"/>
      <c r="AX1033" s="502"/>
      <c r="AY1033" s="502"/>
      <c r="AZ1033" s="502"/>
      <c r="BA1033" s="502"/>
      <c r="BB1033" s="502"/>
      <c r="BC1033" s="502"/>
      <c r="BD1033" s="502"/>
      <c r="BE1033" s="502"/>
      <c r="BF1033" s="502"/>
      <c r="BG1033" s="502"/>
      <c r="BH1033" s="502"/>
      <c r="BI1033" s="502"/>
      <c r="BJ1033" s="502"/>
      <c r="BK1033" s="502"/>
      <c r="BL1033" s="502"/>
      <c r="BM1033" s="502"/>
      <c r="BN1033" s="502"/>
      <c r="BO1033" s="502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  <c r="BZ1033" s="5"/>
      <c r="CA1033" s="5"/>
      <c r="CB1033" s="5"/>
      <c r="CC1033" s="5"/>
      <c r="CD1033" s="5"/>
      <c r="CE1033" s="5"/>
      <c r="CF1033" s="5"/>
      <c r="CG1033" s="5"/>
      <c r="CH1033" s="5"/>
      <c r="CI1033" s="5"/>
      <c r="CJ1033" s="5"/>
      <c r="CK1033" s="5"/>
      <c r="CL1033" s="5"/>
      <c r="CM1033" s="5"/>
      <c r="CN1033" s="5"/>
      <c r="CO1033" s="5"/>
      <c r="CP1033" s="5"/>
      <c r="CQ1033" s="5"/>
      <c r="CR1033" s="5"/>
      <c r="CS1033" s="5"/>
      <c r="CT1033" s="5"/>
      <c r="CU1033" s="5"/>
      <c r="CV1033" s="5"/>
      <c r="CW1033" s="5"/>
      <c r="CX1033" s="5"/>
      <c r="CY1033" s="5"/>
      <c r="CZ1033" s="5"/>
      <c r="DA1033" s="5"/>
      <c r="DB1033" s="5"/>
      <c r="DC1033" s="5"/>
      <c r="DD1033" s="5"/>
      <c r="DE1033" s="5"/>
      <c r="DF1033" s="5"/>
      <c r="DG1033" s="5"/>
      <c r="DH1033" s="5"/>
      <c r="DI1033" s="5"/>
      <c r="DJ1033" s="5"/>
      <c r="DK1033" s="5"/>
      <c r="DL1033" s="5"/>
      <c r="DM1033" s="5"/>
      <c r="DN1033" s="5"/>
      <c r="DO1033" s="5"/>
      <c r="DP1033" s="5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</row>
    <row r="1034" s="504" customFormat="true" ht="12.75" hidden="true" customHeight="true" outlineLevel="0" collapsed="false">
      <c r="A1034" s="5"/>
      <c r="B1034" s="813" t="n">
        <f aca="false">B1033+1</f>
        <v>819</v>
      </c>
      <c r="C1034" s="814" t="n">
        <f aca="false">C1033+D1034</f>
        <v>117467.964083762</v>
      </c>
      <c r="D1034" s="815" t="n">
        <f aca="false">E1034*$E$205*M1034</f>
        <v>208.444580910888</v>
      </c>
      <c r="E1034" s="601" t="n">
        <f aca="false">E1033+$C$204</f>
        <v>13.2194686016545</v>
      </c>
      <c r="F1034" s="816" t="n">
        <f aca="false">F1033+1</f>
        <v>819</v>
      </c>
      <c r="G1034" s="775" t="n">
        <f aca="false">C1034</f>
        <v>117467.964083762</v>
      </c>
      <c r="H1034" s="817" t="n">
        <f aca="false">1000*(E1034-E1033)</f>
        <v>9.99999999999979</v>
      </c>
      <c r="I1034" s="5"/>
      <c r="J1034" s="818" t="n">
        <f aca="false">1000*(E1034-$E$215)/(B1034-$B$215)</f>
        <v>11.921696982383</v>
      </c>
      <c r="K1034" s="732" t="n">
        <f aca="false">AVERAGE($E$216:E1034)</f>
        <v>9.12018899237499</v>
      </c>
      <c r="L1034" s="819" t="n">
        <f aca="false">L1033+1</f>
        <v>819</v>
      </c>
      <c r="M1034" s="820" t="n">
        <f aca="false">IF(B1034&lt;$E$104,$E$105,$E$106)</f>
        <v>3</v>
      </c>
      <c r="N1034" s="821" t="n">
        <f aca="false">IF(B1034&lt;$E$104,$E$105,$E$111)</f>
        <v>2.5</v>
      </c>
      <c r="O1034" s="822" t="n">
        <f aca="false">E1034*$E$205*N1034</f>
        <v>173.70381742574</v>
      </c>
      <c r="P1034" s="823" t="n">
        <f aca="false">P1033+O1034</f>
        <v>97941.6506701775</v>
      </c>
      <c r="Q1034" s="606" t="n">
        <f aca="false">Q1033+1</f>
        <v>819</v>
      </c>
      <c r="R1034" s="824" t="n">
        <f aca="false">R1033-1</f>
        <v>-819</v>
      </c>
      <c r="S1034" s="5"/>
      <c r="T1034" s="5"/>
      <c r="U1034" s="5"/>
      <c r="V1034" s="10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02"/>
      <c r="AU1034" s="502"/>
      <c r="AV1034" s="606"/>
      <c r="AW1034" s="502"/>
      <c r="AX1034" s="502"/>
      <c r="AY1034" s="502"/>
      <c r="AZ1034" s="502"/>
      <c r="BA1034" s="502"/>
      <c r="BB1034" s="502"/>
      <c r="BC1034" s="502"/>
      <c r="BD1034" s="502"/>
      <c r="BE1034" s="502"/>
      <c r="BF1034" s="502"/>
      <c r="BG1034" s="502"/>
      <c r="BH1034" s="502"/>
      <c r="BI1034" s="502"/>
      <c r="BJ1034" s="502"/>
      <c r="BK1034" s="502"/>
      <c r="BL1034" s="502"/>
      <c r="BM1034" s="502"/>
      <c r="BN1034" s="502"/>
      <c r="BO1034" s="502"/>
      <c r="BP1034" s="5"/>
      <c r="BQ1034" s="5"/>
      <c r="BR1034" s="5"/>
      <c r="BS1034" s="5"/>
      <c r="BT1034" s="5"/>
      <c r="BU1034" s="5"/>
      <c r="BV1034" s="5"/>
      <c r="BW1034" s="5"/>
      <c r="BX1034" s="5"/>
      <c r="BY1034" s="5"/>
      <c r="BZ1034" s="5"/>
      <c r="CA1034" s="5"/>
      <c r="CB1034" s="5"/>
      <c r="CC1034" s="5"/>
      <c r="CD1034" s="5"/>
      <c r="CE1034" s="5"/>
      <c r="CF1034" s="5"/>
      <c r="CG1034" s="5"/>
      <c r="CH1034" s="5"/>
      <c r="CI1034" s="5"/>
      <c r="CJ1034" s="5"/>
      <c r="CK1034" s="5"/>
      <c r="CL1034" s="5"/>
      <c r="CM1034" s="5"/>
      <c r="CN1034" s="5"/>
      <c r="CO1034" s="5"/>
      <c r="CP1034" s="5"/>
      <c r="CQ1034" s="5"/>
      <c r="CR1034" s="5"/>
      <c r="CS1034" s="5"/>
      <c r="CT1034" s="5"/>
      <c r="CU1034" s="5"/>
      <c r="CV1034" s="5"/>
      <c r="CW1034" s="5"/>
      <c r="CX1034" s="5"/>
      <c r="CY1034" s="5"/>
      <c r="CZ1034" s="5"/>
      <c r="DA1034" s="5"/>
      <c r="DB1034" s="5"/>
      <c r="DC1034" s="5"/>
      <c r="DD1034" s="5"/>
      <c r="DE1034" s="5"/>
      <c r="DF1034" s="5"/>
      <c r="DG1034" s="5"/>
      <c r="DH1034" s="5"/>
      <c r="DI1034" s="5"/>
      <c r="DJ1034" s="5"/>
      <c r="DK1034" s="5"/>
      <c r="DL1034" s="5"/>
      <c r="DM1034" s="5"/>
      <c r="DN1034" s="5"/>
      <c r="DO1034" s="5"/>
      <c r="DP1034" s="5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</row>
    <row r="1035" s="504" customFormat="true" ht="12.75" hidden="true" customHeight="true" outlineLevel="0" collapsed="false">
      <c r="A1035" s="5"/>
      <c r="B1035" s="813" t="n">
        <f aca="false">B1034+1</f>
        <v>820</v>
      </c>
      <c r="C1035" s="814" t="n">
        <f aca="false">C1034+D1035</f>
        <v>117676.566344672</v>
      </c>
      <c r="D1035" s="815" t="n">
        <f aca="false">E1035*$E$205*M1035</f>
        <v>208.602260910888</v>
      </c>
      <c r="E1035" s="601" t="n">
        <f aca="false">E1034+$C$204</f>
        <v>13.2294686016545</v>
      </c>
      <c r="F1035" s="816" t="n">
        <f aca="false">F1034+1</f>
        <v>820</v>
      </c>
      <c r="G1035" s="775" t="n">
        <f aca="false">C1035</f>
        <v>117676.566344672</v>
      </c>
      <c r="H1035" s="817" t="n">
        <f aca="false">1000*(E1035-E1034)</f>
        <v>9.99999999999979</v>
      </c>
      <c r="I1035" s="5"/>
      <c r="J1035" s="818" t="n">
        <f aca="false">1000*(E1035-$E$215)/(B1035-$B$215)</f>
        <v>11.9193534494776</v>
      </c>
      <c r="K1035" s="732" t="n">
        <f aca="false">AVERAGE($E$216:E1035)</f>
        <v>9.12520030897168</v>
      </c>
      <c r="L1035" s="819" t="n">
        <f aca="false">L1034+1</f>
        <v>820</v>
      </c>
      <c r="M1035" s="820" t="n">
        <f aca="false">IF(B1035&lt;$E$104,$E$105,$E$106)</f>
        <v>3</v>
      </c>
      <c r="N1035" s="821" t="n">
        <f aca="false">IF(B1035&lt;$E$104,$E$105,$E$111)</f>
        <v>2.5</v>
      </c>
      <c r="O1035" s="822" t="n">
        <f aca="false">E1035*$E$205*N1035</f>
        <v>173.83521742574</v>
      </c>
      <c r="P1035" s="823" t="n">
        <f aca="false">P1034+O1035</f>
        <v>98115.4858876033</v>
      </c>
      <c r="Q1035" s="606" t="n">
        <f aca="false">Q1034+1</f>
        <v>820</v>
      </c>
      <c r="R1035" s="824" t="n">
        <f aca="false">R1034-1</f>
        <v>-820</v>
      </c>
      <c r="S1035" s="5"/>
      <c r="T1035" s="5"/>
      <c r="U1035" s="5"/>
      <c r="V1035" s="10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02"/>
      <c r="AU1035" s="502"/>
      <c r="AV1035" s="606"/>
      <c r="AW1035" s="502"/>
      <c r="AX1035" s="502"/>
      <c r="AY1035" s="502"/>
      <c r="AZ1035" s="502"/>
      <c r="BA1035" s="502"/>
      <c r="BB1035" s="502"/>
      <c r="BC1035" s="502"/>
      <c r="BD1035" s="502"/>
      <c r="BE1035" s="502"/>
      <c r="BF1035" s="502"/>
      <c r="BG1035" s="502"/>
      <c r="BH1035" s="502"/>
      <c r="BI1035" s="502"/>
      <c r="BJ1035" s="502"/>
      <c r="BK1035" s="502"/>
      <c r="BL1035" s="502"/>
      <c r="BM1035" s="502"/>
      <c r="BN1035" s="502"/>
      <c r="BO1035" s="502"/>
      <c r="BP1035" s="5"/>
      <c r="BQ1035" s="5"/>
      <c r="BR1035" s="5"/>
      <c r="BS1035" s="5"/>
      <c r="BT1035" s="5"/>
      <c r="BU1035" s="5"/>
      <c r="BV1035" s="5"/>
      <c r="BW1035" s="5"/>
      <c r="BX1035" s="5"/>
      <c r="BY1035" s="5"/>
      <c r="BZ1035" s="5"/>
      <c r="CA1035" s="5"/>
      <c r="CB1035" s="5"/>
      <c r="CC1035" s="5"/>
      <c r="CD1035" s="5"/>
      <c r="CE1035" s="5"/>
      <c r="CF1035" s="5"/>
      <c r="CG1035" s="5"/>
      <c r="CH1035" s="5"/>
      <c r="CI1035" s="5"/>
      <c r="CJ1035" s="5"/>
      <c r="CK1035" s="5"/>
      <c r="CL1035" s="5"/>
      <c r="CM1035" s="5"/>
      <c r="CN1035" s="5"/>
      <c r="CO1035" s="5"/>
      <c r="CP1035" s="5"/>
      <c r="CQ1035" s="5"/>
      <c r="CR1035" s="5"/>
      <c r="CS1035" s="5"/>
      <c r="CT1035" s="5"/>
      <c r="CU1035" s="5"/>
      <c r="CV1035" s="5"/>
      <c r="CW1035" s="5"/>
      <c r="CX1035" s="5"/>
      <c r="CY1035" s="5"/>
      <c r="CZ1035" s="5"/>
      <c r="DA1035" s="5"/>
      <c r="DB1035" s="5"/>
      <c r="DC1035" s="5"/>
      <c r="DD1035" s="5"/>
      <c r="DE1035" s="5"/>
      <c r="DF1035" s="5"/>
      <c r="DG1035" s="5"/>
      <c r="DH1035" s="5"/>
      <c r="DI1035" s="5"/>
      <c r="DJ1035" s="5"/>
      <c r="DK1035" s="5"/>
      <c r="DL1035" s="5"/>
      <c r="DM1035" s="5"/>
      <c r="DN1035" s="5"/>
      <c r="DO1035" s="5"/>
      <c r="DP1035" s="5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</row>
    <row r="1036" s="504" customFormat="true" ht="12.75" hidden="true" customHeight="true" outlineLevel="0" collapsed="false">
      <c r="A1036" s="5"/>
      <c r="B1036" s="813" t="n">
        <f aca="false">B1035+1</f>
        <v>821</v>
      </c>
      <c r="C1036" s="814" t="n">
        <f aca="false">C1035+D1036</f>
        <v>117885.326285583</v>
      </c>
      <c r="D1036" s="815" t="n">
        <f aca="false">E1036*$E$205*M1036</f>
        <v>208.759940910888</v>
      </c>
      <c r="E1036" s="601" t="n">
        <f aca="false">E1035+$C$204</f>
        <v>13.2394686016545</v>
      </c>
      <c r="F1036" s="816" t="n">
        <f aca="false">F1035+1</f>
        <v>821</v>
      </c>
      <c r="G1036" s="775" t="n">
        <f aca="false">C1036</f>
        <v>117885.326285583</v>
      </c>
      <c r="H1036" s="817" t="n">
        <f aca="false">1000*(E1036-E1035)</f>
        <v>9.99999999999979</v>
      </c>
      <c r="I1036" s="5"/>
      <c r="J1036" s="818" t="n">
        <f aca="false">1000*(E1036-$E$215)/(B1036-$B$215)</f>
        <v>11.9170156255441</v>
      </c>
      <c r="K1036" s="732" t="n">
        <f aca="false">AVERAGE($E$216:E1036)</f>
        <v>9.13021159800052</v>
      </c>
      <c r="L1036" s="819" t="n">
        <f aca="false">L1035+1</f>
        <v>821</v>
      </c>
      <c r="M1036" s="820" t="n">
        <f aca="false">IF(B1036&lt;$E$104,$E$105,$E$106)</f>
        <v>3</v>
      </c>
      <c r="N1036" s="821" t="n">
        <f aca="false">IF(B1036&lt;$E$104,$E$105,$E$111)</f>
        <v>2.5</v>
      </c>
      <c r="O1036" s="822" t="n">
        <f aca="false">E1036*$E$205*N1036</f>
        <v>173.96661742574</v>
      </c>
      <c r="P1036" s="823" t="n">
        <f aca="false">P1035+O1036</f>
        <v>98289.452505029</v>
      </c>
      <c r="Q1036" s="606" t="n">
        <f aca="false">Q1035+1</f>
        <v>821</v>
      </c>
      <c r="R1036" s="824" t="n">
        <f aca="false">R1035-1</f>
        <v>-821</v>
      </c>
      <c r="S1036" s="5"/>
      <c r="T1036" s="5"/>
      <c r="U1036" s="5"/>
      <c r="V1036" s="10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02"/>
      <c r="AU1036" s="502"/>
      <c r="AV1036" s="606"/>
      <c r="AW1036" s="502"/>
      <c r="AX1036" s="502"/>
      <c r="AY1036" s="502"/>
      <c r="AZ1036" s="502"/>
      <c r="BA1036" s="502"/>
      <c r="BB1036" s="502"/>
      <c r="BC1036" s="502"/>
      <c r="BD1036" s="502"/>
      <c r="BE1036" s="502"/>
      <c r="BF1036" s="502"/>
      <c r="BG1036" s="502"/>
      <c r="BH1036" s="502"/>
      <c r="BI1036" s="502"/>
      <c r="BJ1036" s="502"/>
      <c r="BK1036" s="502"/>
      <c r="BL1036" s="502"/>
      <c r="BM1036" s="502"/>
      <c r="BN1036" s="502"/>
      <c r="BO1036" s="502"/>
      <c r="BP1036" s="5"/>
      <c r="BQ1036" s="5"/>
      <c r="BR1036" s="5"/>
      <c r="BS1036" s="5"/>
      <c r="BT1036" s="5"/>
      <c r="BU1036" s="5"/>
      <c r="BV1036" s="5"/>
      <c r="BW1036" s="5"/>
      <c r="BX1036" s="5"/>
      <c r="BY1036" s="5"/>
      <c r="BZ1036" s="5"/>
      <c r="CA1036" s="5"/>
      <c r="CB1036" s="5"/>
      <c r="CC1036" s="5"/>
      <c r="CD1036" s="5"/>
      <c r="CE1036" s="5"/>
      <c r="CF1036" s="5"/>
      <c r="CG1036" s="5"/>
      <c r="CH1036" s="5"/>
      <c r="CI1036" s="5"/>
      <c r="CJ1036" s="5"/>
      <c r="CK1036" s="5"/>
      <c r="CL1036" s="5"/>
      <c r="CM1036" s="5"/>
      <c r="CN1036" s="5"/>
      <c r="CO1036" s="5"/>
      <c r="CP1036" s="5"/>
      <c r="CQ1036" s="5"/>
      <c r="CR1036" s="5"/>
      <c r="CS1036" s="5"/>
      <c r="CT1036" s="5"/>
      <c r="CU1036" s="5"/>
      <c r="CV1036" s="5"/>
      <c r="CW1036" s="5"/>
      <c r="CX1036" s="5"/>
      <c r="CY1036" s="5"/>
      <c r="CZ1036" s="5"/>
      <c r="DA1036" s="5"/>
      <c r="DB1036" s="5"/>
      <c r="DC1036" s="5"/>
      <c r="DD1036" s="5"/>
      <c r="DE1036" s="5"/>
      <c r="DF1036" s="5"/>
      <c r="DG1036" s="5"/>
      <c r="DH1036" s="5"/>
      <c r="DI1036" s="5"/>
      <c r="DJ1036" s="5"/>
      <c r="DK1036" s="5"/>
      <c r="DL1036" s="5"/>
      <c r="DM1036" s="5"/>
      <c r="DN1036" s="5"/>
      <c r="DO1036" s="5"/>
      <c r="DP1036" s="5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</row>
    <row r="1037" s="504" customFormat="true" ht="12.75" hidden="true" customHeight="true" outlineLevel="0" collapsed="false">
      <c r="A1037" s="5"/>
      <c r="B1037" s="813" t="n">
        <f aca="false">B1036+1</f>
        <v>822</v>
      </c>
      <c r="C1037" s="814" t="n">
        <f aca="false">C1036+D1037</f>
        <v>118094.243906494</v>
      </c>
      <c r="D1037" s="815" t="n">
        <f aca="false">E1037*$E$205*M1037</f>
        <v>208.917620910888</v>
      </c>
      <c r="E1037" s="601" t="n">
        <f aca="false">E1036+$C$204</f>
        <v>13.2494686016545</v>
      </c>
      <c r="F1037" s="816" t="n">
        <f aca="false">F1036+1</f>
        <v>822</v>
      </c>
      <c r="G1037" s="775" t="n">
        <f aca="false">C1037</f>
        <v>118094.243906494</v>
      </c>
      <c r="H1037" s="817" t="n">
        <f aca="false">1000*(E1037-E1036)</f>
        <v>9.99999999999979</v>
      </c>
      <c r="I1037" s="5"/>
      <c r="J1037" s="818" t="n">
        <f aca="false">1000*(E1037-$E$215)/(B1037-$B$215)</f>
        <v>11.9146834897466</v>
      </c>
      <c r="K1037" s="732" t="n">
        <f aca="false">AVERAGE($E$216:E1037)</f>
        <v>9.13522285956215</v>
      </c>
      <c r="L1037" s="819" t="n">
        <f aca="false">L1036+1</f>
        <v>822</v>
      </c>
      <c r="M1037" s="820" t="n">
        <f aca="false">IF(B1037&lt;$E$104,$E$105,$E$106)</f>
        <v>3</v>
      </c>
      <c r="N1037" s="821" t="n">
        <f aca="false">IF(B1037&lt;$E$104,$E$105,$E$111)</f>
        <v>2.5</v>
      </c>
      <c r="O1037" s="822" t="n">
        <f aca="false">E1037*$E$205*N1037</f>
        <v>174.09801742574</v>
      </c>
      <c r="P1037" s="823" t="n">
        <f aca="false">P1036+O1037</f>
        <v>98463.5505224547</v>
      </c>
      <c r="Q1037" s="606" t="n">
        <f aca="false">Q1036+1</f>
        <v>822</v>
      </c>
      <c r="R1037" s="824" t="n">
        <f aca="false">R1036-1</f>
        <v>-822</v>
      </c>
      <c r="S1037" s="5"/>
      <c r="T1037" s="5"/>
      <c r="U1037" s="5"/>
      <c r="V1037" s="10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02"/>
      <c r="AU1037" s="502"/>
      <c r="AV1037" s="606"/>
      <c r="AW1037" s="502"/>
      <c r="AX1037" s="502"/>
      <c r="AY1037" s="502"/>
      <c r="AZ1037" s="502"/>
      <c r="BA1037" s="502"/>
      <c r="BB1037" s="502"/>
      <c r="BC1037" s="502"/>
      <c r="BD1037" s="502"/>
      <c r="BE1037" s="502"/>
      <c r="BF1037" s="502"/>
      <c r="BG1037" s="502"/>
      <c r="BH1037" s="502"/>
      <c r="BI1037" s="502"/>
      <c r="BJ1037" s="502"/>
      <c r="BK1037" s="502"/>
      <c r="BL1037" s="502"/>
      <c r="BM1037" s="502"/>
      <c r="BN1037" s="502"/>
      <c r="BO1037" s="502"/>
      <c r="BP1037" s="5"/>
      <c r="BQ1037" s="5"/>
      <c r="BR1037" s="5"/>
      <c r="BS1037" s="5"/>
      <c r="BT1037" s="5"/>
      <c r="BU1037" s="5"/>
      <c r="BV1037" s="5"/>
      <c r="BW1037" s="5"/>
      <c r="BX1037" s="5"/>
      <c r="BY1037" s="5"/>
      <c r="BZ1037" s="5"/>
      <c r="CA1037" s="5"/>
      <c r="CB1037" s="5"/>
      <c r="CC1037" s="5"/>
      <c r="CD1037" s="5"/>
      <c r="CE1037" s="5"/>
      <c r="CF1037" s="5"/>
      <c r="CG1037" s="5"/>
      <c r="CH1037" s="5"/>
      <c r="CI1037" s="5"/>
      <c r="CJ1037" s="5"/>
      <c r="CK1037" s="5"/>
      <c r="CL1037" s="5"/>
      <c r="CM1037" s="5"/>
      <c r="CN1037" s="5"/>
      <c r="CO1037" s="5"/>
      <c r="CP1037" s="5"/>
      <c r="CQ1037" s="5"/>
      <c r="CR1037" s="5"/>
      <c r="CS1037" s="5"/>
      <c r="CT1037" s="5"/>
      <c r="CU1037" s="5"/>
      <c r="CV1037" s="5"/>
      <c r="CW1037" s="5"/>
      <c r="CX1037" s="5"/>
      <c r="CY1037" s="5"/>
      <c r="CZ1037" s="5"/>
      <c r="DA1037" s="5"/>
      <c r="DB1037" s="5"/>
      <c r="DC1037" s="5"/>
      <c r="DD1037" s="5"/>
      <c r="DE1037" s="5"/>
      <c r="DF1037" s="5"/>
      <c r="DG1037" s="5"/>
      <c r="DH1037" s="5"/>
      <c r="DI1037" s="5"/>
      <c r="DJ1037" s="5"/>
      <c r="DK1037" s="5"/>
      <c r="DL1037" s="5"/>
      <c r="DM1037" s="5"/>
      <c r="DN1037" s="5"/>
      <c r="DO1037" s="5"/>
      <c r="DP1037" s="5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</row>
    <row r="1038" s="504" customFormat="true" ht="12.75" hidden="true" customHeight="true" outlineLevel="0" collapsed="false">
      <c r="A1038" s="5"/>
      <c r="B1038" s="813" t="n">
        <f aca="false">B1037+1</f>
        <v>823</v>
      </c>
      <c r="C1038" s="814" t="n">
        <f aca="false">C1037+D1038</f>
        <v>118303.319207405</v>
      </c>
      <c r="D1038" s="815" t="n">
        <f aca="false">E1038*$E$205*M1038</f>
        <v>209.075300910888</v>
      </c>
      <c r="E1038" s="601" t="n">
        <f aca="false">E1037+$C$204</f>
        <v>13.2594686016545</v>
      </c>
      <c r="F1038" s="816" t="n">
        <f aca="false">F1037+1</f>
        <v>823</v>
      </c>
      <c r="G1038" s="775" t="n">
        <f aca="false">C1038</f>
        <v>118303.319207405</v>
      </c>
      <c r="H1038" s="817" t="n">
        <f aca="false">1000*(E1038-E1037)</f>
        <v>9.99999999999979</v>
      </c>
      <c r="I1038" s="5"/>
      <c r="J1038" s="818" t="n">
        <f aca="false">1000*(E1038-$E$215)/(B1038-$B$215)</f>
        <v>11.9123570213508</v>
      </c>
      <c r="K1038" s="732" t="n">
        <f aca="false">AVERAGE($E$216:E1038)</f>
        <v>9.14023409375667</v>
      </c>
      <c r="L1038" s="819" t="n">
        <f aca="false">L1037+1</f>
        <v>823</v>
      </c>
      <c r="M1038" s="820" t="n">
        <f aca="false">IF(B1038&lt;$E$104,$E$105,$E$106)</f>
        <v>3</v>
      </c>
      <c r="N1038" s="821" t="n">
        <f aca="false">IF(B1038&lt;$E$104,$E$105,$E$111)</f>
        <v>2.5</v>
      </c>
      <c r="O1038" s="822" t="n">
        <f aca="false">E1038*$E$205*N1038</f>
        <v>174.22941742574</v>
      </c>
      <c r="P1038" s="823" t="n">
        <f aca="false">P1037+O1038</f>
        <v>98637.7799398805</v>
      </c>
      <c r="Q1038" s="606" t="n">
        <f aca="false">Q1037+1</f>
        <v>823</v>
      </c>
      <c r="R1038" s="824" t="n">
        <f aca="false">R1037-1</f>
        <v>-823</v>
      </c>
      <c r="S1038" s="5"/>
      <c r="T1038" s="5"/>
      <c r="U1038" s="5"/>
      <c r="V1038" s="10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02"/>
      <c r="AU1038" s="502"/>
      <c r="AV1038" s="606"/>
      <c r="AW1038" s="502"/>
      <c r="AX1038" s="502"/>
      <c r="AY1038" s="502"/>
      <c r="AZ1038" s="502"/>
      <c r="BA1038" s="502"/>
      <c r="BB1038" s="502"/>
      <c r="BC1038" s="502"/>
      <c r="BD1038" s="502"/>
      <c r="BE1038" s="502"/>
      <c r="BF1038" s="502"/>
      <c r="BG1038" s="502"/>
      <c r="BH1038" s="502"/>
      <c r="BI1038" s="502"/>
      <c r="BJ1038" s="502"/>
      <c r="BK1038" s="502"/>
      <c r="BL1038" s="502"/>
      <c r="BM1038" s="502"/>
      <c r="BN1038" s="502"/>
      <c r="BO1038" s="502"/>
      <c r="BP1038" s="5"/>
      <c r="BQ1038" s="5"/>
      <c r="BR1038" s="5"/>
      <c r="BS1038" s="5"/>
      <c r="BT1038" s="5"/>
      <c r="BU1038" s="5"/>
      <c r="BV1038" s="5"/>
      <c r="BW1038" s="5"/>
      <c r="BX1038" s="5"/>
      <c r="BY1038" s="5"/>
      <c r="BZ1038" s="5"/>
      <c r="CA1038" s="5"/>
      <c r="CB1038" s="5"/>
      <c r="CC1038" s="5"/>
      <c r="CD1038" s="5"/>
      <c r="CE1038" s="5"/>
      <c r="CF1038" s="5"/>
      <c r="CG1038" s="5"/>
      <c r="CH1038" s="5"/>
      <c r="CI1038" s="5"/>
      <c r="CJ1038" s="5"/>
      <c r="CK1038" s="5"/>
      <c r="CL1038" s="5"/>
      <c r="CM1038" s="5"/>
      <c r="CN1038" s="5"/>
      <c r="CO1038" s="5"/>
      <c r="CP1038" s="5"/>
      <c r="CQ1038" s="5"/>
      <c r="CR1038" s="5"/>
      <c r="CS1038" s="5"/>
      <c r="CT1038" s="5"/>
      <c r="CU1038" s="5"/>
      <c r="CV1038" s="5"/>
      <c r="CW1038" s="5"/>
      <c r="CX1038" s="5"/>
      <c r="CY1038" s="5"/>
      <c r="CZ1038" s="5"/>
      <c r="DA1038" s="5"/>
      <c r="DB1038" s="5"/>
      <c r="DC1038" s="5"/>
      <c r="DD1038" s="5"/>
      <c r="DE1038" s="5"/>
      <c r="DF1038" s="5"/>
      <c r="DG1038" s="5"/>
      <c r="DH1038" s="5"/>
      <c r="DI1038" s="5"/>
      <c r="DJ1038" s="5"/>
      <c r="DK1038" s="5"/>
      <c r="DL1038" s="5"/>
      <c r="DM1038" s="5"/>
      <c r="DN1038" s="5"/>
      <c r="DO1038" s="5"/>
      <c r="DP1038" s="5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</row>
    <row r="1039" s="504" customFormat="true" ht="12.75" hidden="true" customHeight="true" outlineLevel="0" collapsed="false">
      <c r="A1039" s="5"/>
      <c r="B1039" s="813" t="n">
        <f aca="false">B1038+1</f>
        <v>824</v>
      </c>
      <c r="C1039" s="814" t="n">
        <f aca="false">C1038+D1039</f>
        <v>118512.552188316</v>
      </c>
      <c r="D1039" s="815" t="n">
        <f aca="false">E1039*$E$205*M1039</f>
        <v>209.232980910888</v>
      </c>
      <c r="E1039" s="601" t="n">
        <f aca="false">E1038+$C$204</f>
        <v>13.2694686016545</v>
      </c>
      <c r="F1039" s="816" t="n">
        <f aca="false">F1038+1</f>
        <v>824</v>
      </c>
      <c r="G1039" s="775" t="n">
        <f aca="false">C1039</f>
        <v>118512.552188316</v>
      </c>
      <c r="H1039" s="817" t="n">
        <f aca="false">1000*(E1039-E1038)</f>
        <v>9.99999999999979</v>
      </c>
      <c r="I1039" s="5"/>
      <c r="J1039" s="818" t="n">
        <f aca="false">1000*(E1039-$E$215)/(B1039-$B$215)</f>
        <v>11.9100361997229</v>
      </c>
      <c r="K1039" s="732" t="n">
        <f aca="false">AVERAGE($E$216:E1039)</f>
        <v>9.14524530068373</v>
      </c>
      <c r="L1039" s="819" t="n">
        <f aca="false">L1038+1</f>
        <v>824</v>
      </c>
      <c r="M1039" s="820" t="n">
        <f aca="false">IF(B1039&lt;$E$104,$E$105,$E$106)</f>
        <v>3</v>
      </c>
      <c r="N1039" s="821" t="n">
        <f aca="false">IF(B1039&lt;$E$104,$E$105,$E$111)</f>
        <v>2.5</v>
      </c>
      <c r="O1039" s="822" t="n">
        <f aca="false">E1039*$E$205*N1039</f>
        <v>174.36081742574</v>
      </c>
      <c r="P1039" s="823" t="n">
        <f aca="false">P1038+O1039</f>
        <v>98812.1407573062</v>
      </c>
      <c r="Q1039" s="606" t="n">
        <f aca="false">Q1038+1</f>
        <v>824</v>
      </c>
      <c r="R1039" s="824" t="n">
        <f aca="false">R1038-1</f>
        <v>-824</v>
      </c>
      <c r="S1039" s="5"/>
      <c r="T1039" s="5"/>
      <c r="U1039" s="5"/>
      <c r="V1039" s="10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02"/>
      <c r="AU1039" s="502"/>
      <c r="AV1039" s="606"/>
      <c r="AW1039" s="502"/>
      <c r="AX1039" s="502"/>
      <c r="AY1039" s="502"/>
      <c r="AZ1039" s="502"/>
      <c r="BA1039" s="502"/>
      <c r="BB1039" s="502"/>
      <c r="BC1039" s="502"/>
      <c r="BD1039" s="502"/>
      <c r="BE1039" s="502"/>
      <c r="BF1039" s="502"/>
      <c r="BG1039" s="502"/>
      <c r="BH1039" s="502"/>
      <c r="BI1039" s="502"/>
      <c r="BJ1039" s="502"/>
      <c r="BK1039" s="502"/>
      <c r="BL1039" s="502"/>
      <c r="BM1039" s="502"/>
      <c r="BN1039" s="502"/>
      <c r="BO1039" s="502"/>
      <c r="BP1039" s="5"/>
      <c r="BQ1039" s="5"/>
      <c r="BR1039" s="5"/>
      <c r="BS1039" s="5"/>
      <c r="BT1039" s="5"/>
      <c r="BU1039" s="5"/>
      <c r="BV1039" s="5"/>
      <c r="BW1039" s="5"/>
      <c r="BX1039" s="5"/>
      <c r="BY1039" s="5"/>
      <c r="BZ1039" s="5"/>
      <c r="CA1039" s="5"/>
      <c r="CB1039" s="5"/>
      <c r="CC1039" s="5"/>
      <c r="CD1039" s="5"/>
      <c r="CE1039" s="5"/>
      <c r="CF1039" s="5"/>
      <c r="CG1039" s="5"/>
      <c r="CH1039" s="5"/>
      <c r="CI1039" s="5"/>
      <c r="CJ1039" s="5"/>
      <c r="CK1039" s="5"/>
      <c r="CL1039" s="5"/>
      <c r="CM1039" s="5"/>
      <c r="CN1039" s="5"/>
      <c r="CO1039" s="5"/>
      <c r="CP1039" s="5"/>
      <c r="CQ1039" s="5"/>
      <c r="CR1039" s="5"/>
      <c r="CS1039" s="5"/>
      <c r="CT1039" s="5"/>
      <c r="CU1039" s="5"/>
      <c r="CV1039" s="5"/>
      <c r="CW1039" s="5"/>
      <c r="CX1039" s="5"/>
      <c r="CY1039" s="5"/>
      <c r="CZ1039" s="5"/>
      <c r="DA1039" s="5"/>
      <c r="DB1039" s="5"/>
      <c r="DC1039" s="5"/>
      <c r="DD1039" s="5"/>
      <c r="DE1039" s="5"/>
      <c r="DF1039" s="5"/>
      <c r="DG1039" s="5"/>
      <c r="DH1039" s="5"/>
      <c r="DI1039" s="5"/>
      <c r="DJ1039" s="5"/>
      <c r="DK1039" s="5"/>
      <c r="DL1039" s="5"/>
      <c r="DM1039" s="5"/>
      <c r="DN1039" s="5"/>
      <c r="DO1039" s="5"/>
      <c r="DP1039" s="5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</row>
    <row r="1040" s="504" customFormat="true" ht="12.75" hidden="true" customHeight="true" outlineLevel="0" collapsed="false">
      <c r="A1040" s="5"/>
      <c r="B1040" s="813" t="n">
        <f aca="false">B1039+1</f>
        <v>825</v>
      </c>
      <c r="C1040" s="814" t="n">
        <f aca="false">C1039+D1040</f>
        <v>118721.942849227</v>
      </c>
      <c r="D1040" s="815" t="n">
        <f aca="false">E1040*$E$205*M1040</f>
        <v>209.390660910888</v>
      </c>
      <c r="E1040" s="601" t="n">
        <f aca="false">E1039+$C$204</f>
        <v>13.2794686016545</v>
      </c>
      <c r="F1040" s="816" t="n">
        <f aca="false">F1039+1</f>
        <v>825</v>
      </c>
      <c r="G1040" s="775" t="n">
        <f aca="false">C1040</f>
        <v>118721.942849227</v>
      </c>
      <c r="H1040" s="817" t="n">
        <f aca="false">1000*(E1040-E1039)</f>
        <v>9.99999999999979</v>
      </c>
      <c r="I1040" s="5"/>
      <c r="J1040" s="818" t="n">
        <f aca="false">1000*(E1040-$E$215)/(B1040-$B$215)</f>
        <v>11.9077210043293</v>
      </c>
      <c r="K1040" s="732" t="n">
        <f aca="false">AVERAGE($E$216:E1040)</f>
        <v>9.15025648044248</v>
      </c>
      <c r="L1040" s="819" t="n">
        <f aca="false">L1039+1</f>
        <v>825</v>
      </c>
      <c r="M1040" s="820" t="n">
        <f aca="false">IF(B1040&lt;$E$104,$E$105,$E$106)</f>
        <v>3</v>
      </c>
      <c r="N1040" s="821" t="n">
        <f aca="false">IF(B1040&lt;$E$104,$E$105,$E$111)</f>
        <v>2.5</v>
      </c>
      <c r="O1040" s="822" t="n">
        <f aca="false">E1040*$E$205*N1040</f>
        <v>174.49221742574</v>
      </c>
      <c r="P1040" s="823" t="n">
        <f aca="false">P1039+O1040</f>
        <v>98986.632974732</v>
      </c>
      <c r="Q1040" s="606" t="n">
        <f aca="false">Q1039+1</f>
        <v>825</v>
      </c>
      <c r="R1040" s="824" t="n">
        <f aca="false">R1039-1</f>
        <v>-825</v>
      </c>
      <c r="S1040" s="5"/>
      <c r="T1040" s="5"/>
      <c r="U1040" s="5"/>
      <c r="V1040" s="10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02"/>
      <c r="AU1040" s="502"/>
      <c r="AV1040" s="606"/>
      <c r="AW1040" s="502"/>
      <c r="AX1040" s="502"/>
      <c r="AY1040" s="502"/>
      <c r="AZ1040" s="502"/>
      <c r="BA1040" s="502"/>
      <c r="BB1040" s="502"/>
      <c r="BC1040" s="502"/>
      <c r="BD1040" s="502"/>
      <c r="BE1040" s="502"/>
      <c r="BF1040" s="502"/>
      <c r="BG1040" s="502"/>
      <c r="BH1040" s="502"/>
      <c r="BI1040" s="502"/>
      <c r="BJ1040" s="502"/>
      <c r="BK1040" s="502"/>
      <c r="BL1040" s="502"/>
      <c r="BM1040" s="502"/>
      <c r="BN1040" s="502"/>
      <c r="BO1040" s="502"/>
      <c r="BP1040" s="5"/>
      <c r="BQ1040" s="5"/>
      <c r="BR1040" s="5"/>
      <c r="BS1040" s="5"/>
      <c r="BT1040" s="5"/>
      <c r="BU1040" s="5"/>
      <c r="BV1040" s="5"/>
      <c r="BW1040" s="5"/>
      <c r="BX1040" s="5"/>
      <c r="BY1040" s="5"/>
      <c r="BZ1040" s="5"/>
      <c r="CA1040" s="5"/>
      <c r="CB1040" s="5"/>
      <c r="CC1040" s="5"/>
      <c r="CD1040" s="5"/>
      <c r="CE1040" s="5"/>
      <c r="CF1040" s="5"/>
      <c r="CG1040" s="5"/>
      <c r="CH1040" s="5"/>
      <c r="CI1040" s="5"/>
      <c r="CJ1040" s="5"/>
      <c r="CK1040" s="5"/>
      <c r="CL1040" s="5"/>
      <c r="CM1040" s="5"/>
      <c r="CN1040" s="5"/>
      <c r="CO1040" s="5"/>
      <c r="CP1040" s="5"/>
      <c r="CQ1040" s="5"/>
      <c r="CR1040" s="5"/>
      <c r="CS1040" s="5"/>
      <c r="CT1040" s="5"/>
      <c r="CU1040" s="5"/>
      <c r="CV1040" s="5"/>
      <c r="CW1040" s="5"/>
      <c r="CX1040" s="5"/>
      <c r="CY1040" s="5"/>
      <c r="CZ1040" s="5"/>
      <c r="DA1040" s="5"/>
      <c r="DB1040" s="5"/>
      <c r="DC1040" s="5"/>
      <c r="DD1040" s="5"/>
      <c r="DE1040" s="5"/>
      <c r="DF1040" s="5"/>
      <c r="DG1040" s="5"/>
      <c r="DH1040" s="5"/>
      <c r="DI1040" s="5"/>
      <c r="DJ1040" s="5"/>
      <c r="DK1040" s="5"/>
      <c r="DL1040" s="5"/>
      <c r="DM1040" s="5"/>
      <c r="DN1040" s="5"/>
      <c r="DO1040" s="5"/>
      <c r="DP1040" s="5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</row>
    <row r="1041" s="504" customFormat="true" ht="12.75" hidden="true" customHeight="true" outlineLevel="0" collapsed="false">
      <c r="A1041" s="5"/>
      <c r="B1041" s="813" t="n">
        <f aca="false">B1040+1</f>
        <v>826</v>
      </c>
      <c r="C1041" s="814" t="n">
        <f aca="false">C1040+D1041</f>
        <v>118931.491190138</v>
      </c>
      <c r="D1041" s="815" t="n">
        <f aca="false">E1041*$E$205*M1041</f>
        <v>209.548340910888</v>
      </c>
      <c r="E1041" s="601" t="n">
        <f aca="false">E1040+$C$204</f>
        <v>13.2894686016545</v>
      </c>
      <c r="F1041" s="816" t="n">
        <f aca="false">F1040+1</f>
        <v>826</v>
      </c>
      <c r="G1041" s="775" t="n">
        <f aca="false">C1041</f>
        <v>118931.491190138</v>
      </c>
      <c r="H1041" s="817" t="n">
        <f aca="false">1000*(E1041-E1040)</f>
        <v>9.99999999999979</v>
      </c>
      <c r="I1041" s="5"/>
      <c r="J1041" s="818" t="n">
        <f aca="false">1000*(E1041-$E$215)/(B1041-$B$215)</f>
        <v>11.9054114147357</v>
      </c>
      <c r="K1041" s="732" t="n">
        <f aca="false">AVERAGE($E$216:E1041)</f>
        <v>9.1552676331316</v>
      </c>
      <c r="L1041" s="819" t="n">
        <f aca="false">L1040+1</f>
        <v>826</v>
      </c>
      <c r="M1041" s="820" t="n">
        <f aca="false">IF(B1041&lt;$E$104,$E$105,$E$106)</f>
        <v>3</v>
      </c>
      <c r="N1041" s="821" t="n">
        <f aca="false">IF(B1041&lt;$E$104,$E$105,$E$111)</f>
        <v>2.5</v>
      </c>
      <c r="O1041" s="822" t="n">
        <f aca="false">E1041*$E$205*N1041</f>
        <v>174.62361742574</v>
      </c>
      <c r="P1041" s="823" t="n">
        <f aca="false">P1040+O1041</f>
        <v>99161.2565921577</v>
      </c>
      <c r="Q1041" s="606" t="n">
        <f aca="false">Q1040+1</f>
        <v>826</v>
      </c>
      <c r="R1041" s="824" t="n">
        <f aca="false">R1040-1</f>
        <v>-826</v>
      </c>
      <c r="S1041" s="5"/>
      <c r="T1041" s="5"/>
      <c r="U1041" s="5"/>
      <c r="V1041" s="10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02"/>
      <c r="AU1041" s="502"/>
      <c r="AV1041" s="606"/>
      <c r="AW1041" s="502"/>
      <c r="AX1041" s="502"/>
      <c r="AY1041" s="502"/>
      <c r="AZ1041" s="502"/>
      <c r="BA1041" s="502"/>
      <c r="BB1041" s="502"/>
      <c r="BC1041" s="502"/>
      <c r="BD1041" s="502"/>
      <c r="BE1041" s="502"/>
      <c r="BF1041" s="502"/>
      <c r="BG1041" s="502"/>
      <c r="BH1041" s="502"/>
      <c r="BI1041" s="502"/>
      <c r="BJ1041" s="502"/>
      <c r="BK1041" s="502"/>
      <c r="BL1041" s="502"/>
      <c r="BM1041" s="502"/>
      <c r="BN1041" s="502"/>
      <c r="BO1041" s="502"/>
      <c r="BP1041" s="5"/>
      <c r="BQ1041" s="5"/>
      <c r="BR1041" s="5"/>
      <c r="BS1041" s="5"/>
      <c r="BT1041" s="5"/>
      <c r="BU1041" s="5"/>
      <c r="BV1041" s="5"/>
      <c r="BW1041" s="5"/>
      <c r="BX1041" s="5"/>
      <c r="BY1041" s="5"/>
      <c r="BZ1041" s="5"/>
      <c r="CA1041" s="5"/>
      <c r="CB1041" s="5"/>
      <c r="CC1041" s="5"/>
      <c r="CD1041" s="5"/>
      <c r="CE1041" s="5"/>
      <c r="CF1041" s="5"/>
      <c r="CG1041" s="5"/>
      <c r="CH1041" s="5"/>
      <c r="CI1041" s="5"/>
      <c r="CJ1041" s="5"/>
      <c r="CK1041" s="5"/>
      <c r="CL1041" s="5"/>
      <c r="CM1041" s="5"/>
      <c r="CN1041" s="5"/>
      <c r="CO1041" s="5"/>
      <c r="CP1041" s="5"/>
      <c r="CQ1041" s="5"/>
      <c r="CR1041" s="5"/>
      <c r="CS1041" s="5"/>
      <c r="CT1041" s="5"/>
      <c r="CU1041" s="5"/>
      <c r="CV1041" s="5"/>
      <c r="CW1041" s="5"/>
      <c r="CX1041" s="5"/>
      <c r="CY1041" s="5"/>
      <c r="CZ1041" s="5"/>
      <c r="DA1041" s="5"/>
      <c r="DB1041" s="5"/>
      <c r="DC1041" s="5"/>
      <c r="DD1041" s="5"/>
      <c r="DE1041" s="5"/>
      <c r="DF1041" s="5"/>
      <c r="DG1041" s="5"/>
      <c r="DH1041" s="5"/>
      <c r="DI1041" s="5"/>
      <c r="DJ1041" s="5"/>
      <c r="DK1041" s="5"/>
      <c r="DL1041" s="5"/>
      <c r="DM1041" s="5"/>
      <c r="DN1041" s="5"/>
      <c r="DO1041" s="5"/>
      <c r="DP1041" s="5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</row>
    <row r="1042" s="504" customFormat="true" ht="12.75" hidden="true" customHeight="true" outlineLevel="0" collapsed="false">
      <c r="A1042" s="5"/>
      <c r="B1042" s="813" t="n">
        <f aca="false">B1041+1</f>
        <v>827</v>
      </c>
      <c r="C1042" s="814" t="n">
        <f aca="false">C1041+D1042</f>
        <v>119141.197211049</v>
      </c>
      <c r="D1042" s="815" t="n">
        <f aca="false">E1042*$E$205*M1042</f>
        <v>209.706020910888</v>
      </c>
      <c r="E1042" s="601" t="n">
        <f aca="false">E1041+$C$204</f>
        <v>13.2994686016545</v>
      </c>
      <c r="F1042" s="816" t="n">
        <f aca="false">F1041+1</f>
        <v>827</v>
      </c>
      <c r="G1042" s="775" t="n">
        <f aca="false">C1042</f>
        <v>119141.197211049</v>
      </c>
      <c r="H1042" s="817" t="n">
        <f aca="false">1000*(E1042-E1041)</f>
        <v>9.99999999999979</v>
      </c>
      <c r="I1042" s="5"/>
      <c r="J1042" s="818" t="n">
        <f aca="false">1000*(E1042-$E$215)/(B1042-$B$215)</f>
        <v>11.9031074106066</v>
      </c>
      <c r="K1042" s="732" t="n">
        <f aca="false">AVERAGE($E$216:E1042)</f>
        <v>9.16027875884928</v>
      </c>
      <c r="L1042" s="819" t="n">
        <f aca="false">L1041+1</f>
        <v>827</v>
      </c>
      <c r="M1042" s="820" t="n">
        <f aca="false">IF(B1042&lt;$E$104,$E$105,$E$106)</f>
        <v>3</v>
      </c>
      <c r="N1042" s="821" t="n">
        <f aca="false">IF(B1042&lt;$E$104,$E$105,$E$111)</f>
        <v>2.5</v>
      </c>
      <c r="O1042" s="822" t="n">
        <f aca="false">E1042*$E$205*N1042</f>
        <v>174.75501742574</v>
      </c>
      <c r="P1042" s="823" t="n">
        <f aca="false">P1041+O1042</f>
        <v>99336.0116095834</v>
      </c>
      <c r="Q1042" s="606" t="n">
        <f aca="false">Q1041+1</f>
        <v>827</v>
      </c>
      <c r="R1042" s="824" t="n">
        <f aca="false">R1041-1</f>
        <v>-827</v>
      </c>
      <c r="S1042" s="5"/>
      <c r="T1042" s="5"/>
      <c r="U1042" s="5"/>
      <c r="V1042" s="10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02"/>
      <c r="AU1042" s="502"/>
      <c r="AV1042" s="606"/>
      <c r="AW1042" s="502"/>
      <c r="AX1042" s="502"/>
      <c r="AY1042" s="502"/>
      <c r="AZ1042" s="502"/>
      <c r="BA1042" s="502"/>
      <c r="BB1042" s="502"/>
      <c r="BC1042" s="502"/>
      <c r="BD1042" s="502"/>
      <c r="BE1042" s="502"/>
      <c r="BF1042" s="502"/>
      <c r="BG1042" s="502"/>
      <c r="BH1042" s="502"/>
      <c r="BI1042" s="502"/>
      <c r="BJ1042" s="502"/>
      <c r="BK1042" s="502"/>
      <c r="BL1042" s="502"/>
      <c r="BM1042" s="502"/>
      <c r="BN1042" s="502"/>
      <c r="BO1042" s="502"/>
      <c r="BP1042" s="5"/>
      <c r="BQ1042" s="5"/>
      <c r="BR1042" s="5"/>
      <c r="BS1042" s="5"/>
      <c r="BT1042" s="5"/>
      <c r="BU1042" s="5"/>
      <c r="BV1042" s="5"/>
      <c r="BW1042" s="5"/>
      <c r="BX1042" s="5"/>
      <c r="BY1042" s="5"/>
      <c r="BZ1042" s="5"/>
      <c r="CA1042" s="5"/>
      <c r="CB1042" s="5"/>
      <c r="CC1042" s="5"/>
      <c r="CD1042" s="5"/>
      <c r="CE1042" s="5"/>
      <c r="CF1042" s="5"/>
      <c r="CG1042" s="5"/>
      <c r="CH1042" s="5"/>
      <c r="CI1042" s="5"/>
      <c r="CJ1042" s="5"/>
      <c r="CK1042" s="5"/>
      <c r="CL1042" s="5"/>
      <c r="CM1042" s="5"/>
      <c r="CN1042" s="5"/>
      <c r="CO1042" s="5"/>
      <c r="CP1042" s="5"/>
      <c r="CQ1042" s="5"/>
      <c r="CR1042" s="5"/>
      <c r="CS1042" s="5"/>
      <c r="CT1042" s="5"/>
      <c r="CU1042" s="5"/>
      <c r="CV1042" s="5"/>
      <c r="CW1042" s="5"/>
      <c r="CX1042" s="5"/>
      <c r="CY1042" s="5"/>
      <c r="CZ1042" s="5"/>
      <c r="DA1042" s="5"/>
      <c r="DB1042" s="5"/>
      <c r="DC1042" s="5"/>
      <c r="DD1042" s="5"/>
      <c r="DE1042" s="5"/>
      <c r="DF1042" s="5"/>
      <c r="DG1042" s="5"/>
      <c r="DH1042" s="5"/>
      <c r="DI1042" s="5"/>
      <c r="DJ1042" s="5"/>
      <c r="DK1042" s="5"/>
      <c r="DL1042" s="5"/>
      <c r="DM1042" s="5"/>
      <c r="DN1042" s="5"/>
      <c r="DO1042" s="5"/>
      <c r="DP1042" s="5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</row>
    <row r="1043" s="504" customFormat="true" ht="12.75" hidden="true" customHeight="true" outlineLevel="0" collapsed="false">
      <c r="A1043" s="5"/>
      <c r="B1043" s="813" t="n">
        <f aca="false">B1042+1</f>
        <v>828</v>
      </c>
      <c r="C1043" s="814" t="n">
        <f aca="false">C1042+D1043</f>
        <v>119351.06091196</v>
      </c>
      <c r="D1043" s="815" t="n">
        <f aca="false">E1043*$E$205*M1043</f>
        <v>209.863700910888</v>
      </c>
      <c r="E1043" s="601" t="n">
        <f aca="false">E1042+$C$204</f>
        <v>13.3094686016545</v>
      </c>
      <c r="F1043" s="816" t="n">
        <f aca="false">F1042+1</f>
        <v>828</v>
      </c>
      <c r="G1043" s="775" t="n">
        <f aca="false">C1043</f>
        <v>119351.06091196</v>
      </c>
      <c r="H1043" s="817" t="n">
        <f aca="false">1000*(E1043-E1042)</f>
        <v>9.99999999999979</v>
      </c>
      <c r="I1043" s="5"/>
      <c r="J1043" s="818" t="n">
        <f aca="false">1000*(E1043-$E$215)/(B1043-$B$215)</f>
        <v>11.9008089717049</v>
      </c>
      <c r="K1043" s="732" t="n">
        <f aca="false">AVERAGE($E$216:E1043)</f>
        <v>9.16528985769325</v>
      </c>
      <c r="L1043" s="819" t="n">
        <f aca="false">L1042+1</f>
        <v>828</v>
      </c>
      <c r="M1043" s="820" t="n">
        <f aca="false">IF(B1043&lt;$E$104,$E$105,$E$106)</f>
        <v>3</v>
      </c>
      <c r="N1043" s="821" t="n">
        <f aca="false">IF(B1043&lt;$E$104,$E$105,$E$111)</f>
        <v>2.5</v>
      </c>
      <c r="O1043" s="822" t="n">
        <f aca="false">E1043*$E$205*N1043</f>
        <v>174.88641742574</v>
      </c>
      <c r="P1043" s="823" t="n">
        <f aca="false">P1042+O1043</f>
        <v>99510.8980270092</v>
      </c>
      <c r="Q1043" s="606" t="n">
        <f aca="false">Q1042+1</f>
        <v>828</v>
      </c>
      <c r="R1043" s="824" t="n">
        <f aca="false">R1042-1</f>
        <v>-828</v>
      </c>
      <c r="S1043" s="5"/>
      <c r="T1043" s="5"/>
      <c r="U1043" s="5"/>
      <c r="V1043" s="10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02"/>
      <c r="AU1043" s="502"/>
      <c r="AV1043" s="606"/>
      <c r="AW1043" s="502"/>
      <c r="AX1043" s="502"/>
      <c r="AY1043" s="502"/>
      <c r="AZ1043" s="502"/>
      <c r="BA1043" s="502"/>
      <c r="BB1043" s="502"/>
      <c r="BC1043" s="502"/>
      <c r="BD1043" s="502"/>
      <c r="BE1043" s="502"/>
      <c r="BF1043" s="502"/>
      <c r="BG1043" s="502"/>
      <c r="BH1043" s="502"/>
      <c r="BI1043" s="502"/>
      <c r="BJ1043" s="502"/>
      <c r="BK1043" s="502"/>
      <c r="BL1043" s="502"/>
      <c r="BM1043" s="502"/>
      <c r="BN1043" s="502"/>
      <c r="BO1043" s="502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  <c r="BZ1043" s="5"/>
      <c r="CA1043" s="5"/>
      <c r="CB1043" s="5"/>
      <c r="CC1043" s="5"/>
      <c r="CD1043" s="5"/>
      <c r="CE1043" s="5"/>
      <c r="CF1043" s="5"/>
      <c r="CG1043" s="5"/>
      <c r="CH1043" s="5"/>
      <c r="CI1043" s="5"/>
      <c r="CJ1043" s="5"/>
      <c r="CK1043" s="5"/>
      <c r="CL1043" s="5"/>
      <c r="CM1043" s="5"/>
      <c r="CN1043" s="5"/>
      <c r="CO1043" s="5"/>
      <c r="CP1043" s="5"/>
      <c r="CQ1043" s="5"/>
      <c r="CR1043" s="5"/>
      <c r="CS1043" s="5"/>
      <c r="CT1043" s="5"/>
      <c r="CU1043" s="5"/>
      <c r="CV1043" s="5"/>
      <c r="CW1043" s="5"/>
      <c r="CX1043" s="5"/>
      <c r="CY1043" s="5"/>
      <c r="CZ1043" s="5"/>
      <c r="DA1043" s="5"/>
      <c r="DB1043" s="5"/>
      <c r="DC1043" s="5"/>
      <c r="DD1043" s="5"/>
      <c r="DE1043" s="5"/>
      <c r="DF1043" s="5"/>
      <c r="DG1043" s="5"/>
      <c r="DH1043" s="5"/>
      <c r="DI1043" s="5"/>
      <c r="DJ1043" s="5"/>
      <c r="DK1043" s="5"/>
      <c r="DL1043" s="5"/>
      <c r="DM1043" s="5"/>
      <c r="DN1043" s="5"/>
      <c r="DO1043" s="5"/>
      <c r="DP1043" s="5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</row>
    <row r="1044" s="504" customFormat="true" ht="12.75" hidden="true" customHeight="true" outlineLevel="0" collapsed="false">
      <c r="A1044" s="5"/>
      <c r="B1044" s="813" t="n">
        <f aca="false">B1043+1</f>
        <v>829</v>
      </c>
      <c r="C1044" s="814" t="n">
        <f aca="false">C1043+D1044</f>
        <v>119561.08229287</v>
      </c>
      <c r="D1044" s="815" t="n">
        <f aca="false">E1044*$E$205*M1044</f>
        <v>210.021380910888</v>
      </c>
      <c r="E1044" s="601" t="n">
        <f aca="false">E1043+$C$204</f>
        <v>13.3194686016545</v>
      </c>
      <c r="F1044" s="816" t="n">
        <f aca="false">F1043+1</f>
        <v>829</v>
      </c>
      <c r="G1044" s="775" t="n">
        <f aca="false">C1044</f>
        <v>119561.08229287</v>
      </c>
      <c r="H1044" s="817" t="n">
        <f aca="false">1000*(E1044-E1043)</f>
        <v>9.99999999999979</v>
      </c>
      <c r="I1044" s="5"/>
      <c r="J1044" s="818" t="n">
        <f aca="false">1000*(E1044-$E$215)/(B1044-$B$215)</f>
        <v>11.898516077891</v>
      </c>
      <c r="K1044" s="732" t="n">
        <f aca="false">AVERAGE($E$216:E1044)</f>
        <v>9.17030092976075</v>
      </c>
      <c r="L1044" s="819" t="n">
        <f aca="false">L1043+1</f>
        <v>829</v>
      </c>
      <c r="M1044" s="820" t="n">
        <f aca="false">IF(B1044&lt;$E$104,$E$105,$E$106)</f>
        <v>3</v>
      </c>
      <c r="N1044" s="821" t="n">
        <f aca="false">IF(B1044&lt;$E$104,$E$105,$E$111)</f>
        <v>2.5</v>
      </c>
      <c r="O1044" s="822" t="n">
        <f aca="false">E1044*$E$205*N1044</f>
        <v>175.01781742574</v>
      </c>
      <c r="P1044" s="823" t="n">
        <f aca="false">P1043+O1044</f>
        <v>99685.9158444349</v>
      </c>
      <c r="Q1044" s="606" t="n">
        <f aca="false">Q1043+1</f>
        <v>829</v>
      </c>
      <c r="R1044" s="824" t="n">
        <f aca="false">R1043-1</f>
        <v>-829</v>
      </c>
      <c r="S1044" s="5"/>
      <c r="T1044" s="5"/>
      <c r="U1044" s="5"/>
      <c r="V1044" s="10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02"/>
      <c r="AU1044" s="502"/>
      <c r="AV1044" s="606"/>
      <c r="AW1044" s="502"/>
      <c r="AX1044" s="502"/>
      <c r="AY1044" s="502"/>
      <c r="AZ1044" s="502"/>
      <c r="BA1044" s="502"/>
      <c r="BB1044" s="502"/>
      <c r="BC1044" s="502"/>
      <c r="BD1044" s="502"/>
      <c r="BE1044" s="502"/>
      <c r="BF1044" s="502"/>
      <c r="BG1044" s="502"/>
      <c r="BH1044" s="502"/>
      <c r="BI1044" s="502"/>
      <c r="BJ1044" s="502"/>
      <c r="BK1044" s="502"/>
      <c r="BL1044" s="502"/>
      <c r="BM1044" s="502"/>
      <c r="BN1044" s="502"/>
      <c r="BO1044" s="502"/>
      <c r="BP1044" s="5"/>
      <c r="BQ1044" s="5"/>
      <c r="BR1044" s="5"/>
      <c r="BS1044" s="5"/>
      <c r="BT1044" s="5"/>
      <c r="BU1044" s="5"/>
      <c r="BV1044" s="5"/>
      <c r="BW1044" s="5"/>
      <c r="BX1044" s="5"/>
      <c r="BY1044" s="5"/>
      <c r="BZ1044" s="5"/>
      <c r="CA1044" s="5"/>
      <c r="CB1044" s="5"/>
      <c r="CC1044" s="5"/>
      <c r="CD1044" s="5"/>
      <c r="CE1044" s="5"/>
      <c r="CF1044" s="5"/>
      <c r="CG1044" s="5"/>
      <c r="CH1044" s="5"/>
      <c r="CI1044" s="5"/>
      <c r="CJ1044" s="5"/>
      <c r="CK1044" s="5"/>
      <c r="CL1044" s="5"/>
      <c r="CM1044" s="5"/>
      <c r="CN1044" s="5"/>
      <c r="CO1044" s="5"/>
      <c r="CP1044" s="5"/>
      <c r="CQ1044" s="5"/>
      <c r="CR1044" s="5"/>
      <c r="CS1044" s="5"/>
      <c r="CT1044" s="5"/>
      <c r="CU1044" s="5"/>
      <c r="CV1044" s="5"/>
      <c r="CW1044" s="5"/>
      <c r="CX1044" s="5"/>
      <c r="CY1044" s="5"/>
      <c r="CZ1044" s="5"/>
      <c r="DA1044" s="5"/>
      <c r="DB1044" s="5"/>
      <c r="DC1044" s="5"/>
      <c r="DD1044" s="5"/>
      <c r="DE1044" s="5"/>
      <c r="DF1044" s="5"/>
      <c r="DG1044" s="5"/>
      <c r="DH1044" s="5"/>
      <c r="DI1044" s="5"/>
      <c r="DJ1044" s="5"/>
      <c r="DK1044" s="5"/>
      <c r="DL1044" s="5"/>
      <c r="DM1044" s="5"/>
      <c r="DN1044" s="5"/>
      <c r="DO1044" s="5"/>
      <c r="DP1044" s="5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</row>
    <row r="1045" s="504" customFormat="true" ht="12.75" hidden="true" customHeight="true" outlineLevel="0" collapsed="false">
      <c r="A1045" s="5"/>
      <c r="B1045" s="813" t="n">
        <f aca="false">B1044+1</f>
        <v>830</v>
      </c>
      <c r="C1045" s="814" t="n">
        <f aca="false">C1044+D1045</f>
        <v>119771.261353781</v>
      </c>
      <c r="D1045" s="815" t="n">
        <f aca="false">E1045*$E$205*M1045</f>
        <v>210.179060910888</v>
      </c>
      <c r="E1045" s="601" t="n">
        <f aca="false">E1044+$C$204</f>
        <v>13.3294686016545</v>
      </c>
      <c r="F1045" s="816" t="n">
        <f aca="false">F1044+1</f>
        <v>830</v>
      </c>
      <c r="G1045" s="775" t="n">
        <f aca="false">C1045</f>
        <v>119771.261353781</v>
      </c>
      <c r="H1045" s="817" t="n">
        <f aca="false">1000*(E1045-E1044)</f>
        <v>9.99999999999979</v>
      </c>
      <c r="I1045" s="5"/>
      <c r="J1045" s="818" t="n">
        <f aca="false">1000*(E1045-$E$215)/(B1045-$B$215)</f>
        <v>11.8962287091225</v>
      </c>
      <c r="K1045" s="732" t="n">
        <f aca="false">AVERAGE($E$216:E1045)</f>
        <v>9.17531197514858</v>
      </c>
      <c r="L1045" s="819" t="n">
        <f aca="false">L1044+1</f>
        <v>830</v>
      </c>
      <c r="M1045" s="820" t="n">
        <f aca="false">IF(B1045&lt;$E$104,$E$105,$E$106)</f>
        <v>3</v>
      </c>
      <c r="N1045" s="821" t="n">
        <f aca="false">IF(B1045&lt;$E$104,$E$105,$E$111)</f>
        <v>2.5</v>
      </c>
      <c r="O1045" s="822" t="n">
        <f aca="false">E1045*$E$205*N1045</f>
        <v>175.14921742574</v>
      </c>
      <c r="P1045" s="823" t="n">
        <f aca="false">P1044+O1045</f>
        <v>99861.0650618607</v>
      </c>
      <c r="Q1045" s="606" t="n">
        <f aca="false">Q1044+1</f>
        <v>830</v>
      </c>
      <c r="R1045" s="824" t="n">
        <f aca="false">R1044-1</f>
        <v>-830</v>
      </c>
      <c r="S1045" s="5"/>
      <c r="T1045" s="5"/>
      <c r="U1045" s="5"/>
      <c r="V1045" s="10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02"/>
      <c r="AU1045" s="502"/>
      <c r="AV1045" s="606"/>
      <c r="AW1045" s="502"/>
      <c r="AX1045" s="502"/>
      <c r="AY1045" s="502"/>
      <c r="AZ1045" s="502"/>
      <c r="BA1045" s="502"/>
      <c r="BB1045" s="502"/>
      <c r="BC1045" s="502"/>
      <c r="BD1045" s="502"/>
      <c r="BE1045" s="502"/>
      <c r="BF1045" s="502"/>
      <c r="BG1045" s="502"/>
      <c r="BH1045" s="502"/>
      <c r="BI1045" s="502"/>
      <c r="BJ1045" s="502"/>
      <c r="BK1045" s="502"/>
      <c r="BL1045" s="502"/>
      <c r="BM1045" s="502"/>
      <c r="BN1045" s="502"/>
      <c r="BO1045" s="502"/>
      <c r="BP1045" s="5"/>
      <c r="BQ1045" s="5"/>
      <c r="BR1045" s="5"/>
      <c r="BS1045" s="5"/>
      <c r="BT1045" s="5"/>
      <c r="BU1045" s="5"/>
      <c r="BV1045" s="5"/>
      <c r="BW1045" s="5"/>
      <c r="BX1045" s="5"/>
      <c r="BY1045" s="5"/>
      <c r="BZ1045" s="5"/>
      <c r="CA1045" s="5"/>
      <c r="CB1045" s="5"/>
      <c r="CC1045" s="5"/>
      <c r="CD1045" s="5"/>
      <c r="CE1045" s="5"/>
      <c r="CF1045" s="5"/>
      <c r="CG1045" s="5"/>
      <c r="CH1045" s="5"/>
      <c r="CI1045" s="5"/>
      <c r="CJ1045" s="5"/>
      <c r="CK1045" s="5"/>
      <c r="CL1045" s="5"/>
      <c r="CM1045" s="5"/>
      <c r="CN1045" s="5"/>
      <c r="CO1045" s="5"/>
      <c r="CP1045" s="5"/>
      <c r="CQ1045" s="5"/>
      <c r="CR1045" s="5"/>
      <c r="CS1045" s="5"/>
      <c r="CT1045" s="5"/>
      <c r="CU1045" s="5"/>
      <c r="CV1045" s="5"/>
      <c r="CW1045" s="5"/>
      <c r="CX1045" s="5"/>
      <c r="CY1045" s="5"/>
      <c r="CZ1045" s="5"/>
      <c r="DA1045" s="5"/>
      <c r="DB1045" s="5"/>
      <c r="DC1045" s="5"/>
      <c r="DD1045" s="5"/>
      <c r="DE1045" s="5"/>
      <c r="DF1045" s="5"/>
      <c r="DG1045" s="5"/>
      <c r="DH1045" s="5"/>
      <c r="DI1045" s="5"/>
      <c r="DJ1045" s="5"/>
      <c r="DK1045" s="5"/>
      <c r="DL1045" s="5"/>
      <c r="DM1045" s="5"/>
      <c r="DN1045" s="5"/>
      <c r="DO1045" s="5"/>
      <c r="DP1045" s="5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</row>
    <row r="1046" s="504" customFormat="true" ht="12.75" hidden="true" customHeight="true" outlineLevel="0" collapsed="false">
      <c r="A1046" s="5"/>
      <c r="B1046" s="813" t="n">
        <f aca="false">B1045+1</f>
        <v>831</v>
      </c>
      <c r="C1046" s="814" t="n">
        <f aca="false">C1045+D1046</f>
        <v>119981.598094692</v>
      </c>
      <c r="D1046" s="815" t="n">
        <f aca="false">E1046*$E$205*M1046</f>
        <v>210.336740910888</v>
      </c>
      <c r="E1046" s="601" t="n">
        <f aca="false">E1045+$C$204</f>
        <v>13.3394686016545</v>
      </c>
      <c r="F1046" s="816" t="n">
        <f aca="false">F1045+1</f>
        <v>831</v>
      </c>
      <c r="G1046" s="775" t="n">
        <f aca="false">C1046</f>
        <v>119981.598094692</v>
      </c>
      <c r="H1046" s="817" t="n">
        <f aca="false">1000*(E1046-E1045)</f>
        <v>9.99999999999979</v>
      </c>
      <c r="I1046" s="5"/>
      <c r="J1046" s="818" t="n">
        <f aca="false">1000*(E1046-$E$215)/(B1046-$B$215)</f>
        <v>11.8939468454533</v>
      </c>
      <c r="K1046" s="732" t="n">
        <f aca="false">AVERAGE($E$216:E1046)</f>
        <v>9.18032299395304</v>
      </c>
      <c r="L1046" s="819" t="n">
        <f aca="false">L1045+1</f>
        <v>831</v>
      </c>
      <c r="M1046" s="820" t="n">
        <f aca="false">IF(B1046&lt;$E$104,$E$105,$E$106)</f>
        <v>3</v>
      </c>
      <c r="N1046" s="821" t="n">
        <f aca="false">IF(B1046&lt;$E$104,$E$105,$E$111)</f>
        <v>2.5</v>
      </c>
      <c r="O1046" s="822" t="n">
        <f aca="false">E1046*$E$205*N1046</f>
        <v>175.28061742574</v>
      </c>
      <c r="P1046" s="823" t="n">
        <f aca="false">P1045+O1046</f>
        <v>100036.345679286</v>
      </c>
      <c r="Q1046" s="606" t="n">
        <f aca="false">Q1045+1</f>
        <v>831</v>
      </c>
      <c r="R1046" s="824" t="n">
        <f aca="false">R1045-1</f>
        <v>-831</v>
      </c>
      <c r="S1046" s="5"/>
      <c r="T1046" s="5"/>
      <c r="U1046" s="5"/>
      <c r="V1046" s="10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02"/>
      <c r="AU1046" s="502"/>
      <c r="AV1046" s="606"/>
      <c r="AW1046" s="502"/>
      <c r="AX1046" s="502"/>
      <c r="AY1046" s="502"/>
      <c r="AZ1046" s="502"/>
      <c r="BA1046" s="502"/>
      <c r="BB1046" s="502"/>
      <c r="BC1046" s="502"/>
      <c r="BD1046" s="502"/>
      <c r="BE1046" s="502"/>
      <c r="BF1046" s="502"/>
      <c r="BG1046" s="502"/>
      <c r="BH1046" s="502"/>
      <c r="BI1046" s="502"/>
      <c r="BJ1046" s="502"/>
      <c r="BK1046" s="502"/>
      <c r="BL1046" s="502"/>
      <c r="BM1046" s="502"/>
      <c r="BN1046" s="502"/>
      <c r="BO1046" s="502"/>
      <c r="BP1046" s="5"/>
      <c r="BQ1046" s="5"/>
      <c r="BR1046" s="5"/>
      <c r="BS1046" s="5"/>
      <c r="BT1046" s="5"/>
      <c r="BU1046" s="5"/>
      <c r="BV1046" s="5"/>
      <c r="BW1046" s="5"/>
      <c r="BX1046" s="5"/>
      <c r="BY1046" s="5"/>
      <c r="BZ1046" s="5"/>
      <c r="CA1046" s="5"/>
      <c r="CB1046" s="5"/>
      <c r="CC1046" s="5"/>
      <c r="CD1046" s="5"/>
      <c r="CE1046" s="5"/>
      <c r="CF1046" s="5"/>
      <c r="CG1046" s="5"/>
      <c r="CH1046" s="5"/>
      <c r="CI1046" s="5"/>
      <c r="CJ1046" s="5"/>
      <c r="CK1046" s="5"/>
      <c r="CL1046" s="5"/>
      <c r="CM1046" s="5"/>
      <c r="CN1046" s="5"/>
      <c r="CO1046" s="5"/>
      <c r="CP1046" s="5"/>
      <c r="CQ1046" s="5"/>
      <c r="CR1046" s="5"/>
      <c r="CS1046" s="5"/>
      <c r="CT1046" s="5"/>
      <c r="CU1046" s="5"/>
      <c r="CV1046" s="5"/>
      <c r="CW1046" s="5"/>
      <c r="CX1046" s="5"/>
      <c r="CY1046" s="5"/>
      <c r="CZ1046" s="5"/>
      <c r="DA1046" s="5"/>
      <c r="DB1046" s="5"/>
      <c r="DC1046" s="5"/>
      <c r="DD1046" s="5"/>
      <c r="DE1046" s="5"/>
      <c r="DF1046" s="5"/>
      <c r="DG1046" s="5"/>
      <c r="DH1046" s="5"/>
      <c r="DI1046" s="5"/>
      <c r="DJ1046" s="5"/>
      <c r="DK1046" s="5"/>
      <c r="DL1046" s="5"/>
      <c r="DM1046" s="5"/>
      <c r="DN1046" s="5"/>
      <c r="DO1046" s="5"/>
      <c r="DP1046" s="5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</row>
    <row r="1047" s="504" customFormat="true" ht="12.75" hidden="true" customHeight="true" outlineLevel="0" collapsed="false">
      <c r="A1047" s="5"/>
      <c r="B1047" s="813" t="n">
        <f aca="false">B1046+1</f>
        <v>832</v>
      </c>
      <c r="C1047" s="814" t="n">
        <f aca="false">C1046+D1047</f>
        <v>120192.092515603</v>
      </c>
      <c r="D1047" s="815" t="n">
        <f aca="false">E1047*$E$205*M1047</f>
        <v>210.494420910888</v>
      </c>
      <c r="E1047" s="601" t="n">
        <f aca="false">E1046+$C$204</f>
        <v>13.3494686016545</v>
      </c>
      <c r="F1047" s="816" t="n">
        <f aca="false">F1046+1</f>
        <v>832</v>
      </c>
      <c r="G1047" s="775" t="n">
        <f aca="false">C1047</f>
        <v>120192.092515603</v>
      </c>
      <c r="H1047" s="817" t="n">
        <f aca="false">1000*(E1047-E1046)</f>
        <v>9.99999999999979</v>
      </c>
      <c r="I1047" s="5"/>
      <c r="J1047" s="818" t="n">
        <f aca="false">1000*(E1047-$E$215)/(B1047-$B$215)</f>
        <v>11.8916704670333</v>
      </c>
      <c r="K1047" s="732" t="n">
        <f aca="false">AVERAGE($E$216:E1047)</f>
        <v>9.18533398626999</v>
      </c>
      <c r="L1047" s="819" t="n">
        <f aca="false">L1046+1</f>
        <v>832</v>
      </c>
      <c r="M1047" s="820" t="n">
        <f aca="false">IF(B1047&lt;$E$104,$E$105,$E$106)</f>
        <v>3</v>
      </c>
      <c r="N1047" s="821" t="n">
        <f aca="false">IF(B1047&lt;$E$104,$E$105,$E$111)</f>
        <v>2.5</v>
      </c>
      <c r="O1047" s="822" t="n">
        <f aca="false">E1047*$E$205*N1047</f>
        <v>175.41201742574</v>
      </c>
      <c r="P1047" s="823" t="n">
        <f aca="false">P1046+O1047</f>
        <v>100211.757696712</v>
      </c>
      <c r="Q1047" s="606" t="n">
        <f aca="false">Q1046+1</f>
        <v>832</v>
      </c>
      <c r="R1047" s="824" t="n">
        <f aca="false">R1046-1</f>
        <v>-832</v>
      </c>
      <c r="S1047" s="5"/>
      <c r="T1047" s="5"/>
      <c r="U1047" s="5"/>
      <c r="V1047" s="10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02"/>
      <c r="AU1047" s="502"/>
      <c r="AV1047" s="606"/>
      <c r="AW1047" s="502"/>
      <c r="AX1047" s="502"/>
      <c r="AY1047" s="502"/>
      <c r="AZ1047" s="502"/>
      <c r="BA1047" s="502"/>
      <c r="BB1047" s="502"/>
      <c r="BC1047" s="502"/>
      <c r="BD1047" s="502"/>
      <c r="BE1047" s="502"/>
      <c r="BF1047" s="502"/>
      <c r="BG1047" s="502"/>
      <c r="BH1047" s="502"/>
      <c r="BI1047" s="502"/>
      <c r="BJ1047" s="502"/>
      <c r="BK1047" s="502"/>
      <c r="BL1047" s="502"/>
      <c r="BM1047" s="502"/>
      <c r="BN1047" s="502"/>
      <c r="BO1047" s="502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  <c r="BZ1047" s="5"/>
      <c r="CA1047" s="5"/>
      <c r="CB1047" s="5"/>
      <c r="CC1047" s="5"/>
      <c r="CD1047" s="5"/>
      <c r="CE1047" s="5"/>
      <c r="CF1047" s="5"/>
      <c r="CG1047" s="5"/>
      <c r="CH1047" s="5"/>
      <c r="CI1047" s="5"/>
      <c r="CJ1047" s="5"/>
      <c r="CK1047" s="5"/>
      <c r="CL1047" s="5"/>
      <c r="CM1047" s="5"/>
      <c r="CN1047" s="5"/>
      <c r="CO1047" s="5"/>
      <c r="CP1047" s="5"/>
      <c r="CQ1047" s="5"/>
      <c r="CR1047" s="5"/>
      <c r="CS1047" s="5"/>
      <c r="CT1047" s="5"/>
      <c r="CU1047" s="5"/>
      <c r="CV1047" s="5"/>
      <c r="CW1047" s="5"/>
      <c r="CX1047" s="5"/>
      <c r="CY1047" s="5"/>
      <c r="CZ1047" s="5"/>
      <c r="DA1047" s="5"/>
      <c r="DB1047" s="5"/>
      <c r="DC1047" s="5"/>
      <c r="DD1047" s="5"/>
      <c r="DE1047" s="5"/>
      <c r="DF1047" s="5"/>
      <c r="DG1047" s="5"/>
      <c r="DH1047" s="5"/>
      <c r="DI1047" s="5"/>
      <c r="DJ1047" s="5"/>
      <c r="DK1047" s="5"/>
      <c r="DL1047" s="5"/>
      <c r="DM1047" s="5"/>
      <c r="DN1047" s="5"/>
      <c r="DO1047" s="5"/>
      <c r="DP1047" s="5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</row>
    <row r="1048" s="504" customFormat="true" ht="12.75" hidden="true" customHeight="true" outlineLevel="0" collapsed="false">
      <c r="A1048" s="5"/>
      <c r="B1048" s="813" t="n">
        <f aca="false">B1047+1</f>
        <v>833</v>
      </c>
      <c r="C1048" s="814" t="n">
        <f aca="false">C1047+D1048</f>
        <v>120402.744616514</v>
      </c>
      <c r="D1048" s="815" t="n">
        <f aca="false">E1048*$E$205*M1048</f>
        <v>210.652100910888</v>
      </c>
      <c r="E1048" s="601" t="n">
        <f aca="false">E1047+$C$204</f>
        <v>13.3594686016545</v>
      </c>
      <c r="F1048" s="816" t="n">
        <f aca="false">F1047+1</f>
        <v>833</v>
      </c>
      <c r="G1048" s="775" t="n">
        <f aca="false">C1048</f>
        <v>120402.744616514</v>
      </c>
      <c r="H1048" s="817" t="n">
        <f aca="false">1000*(E1048-E1047)</f>
        <v>9.99999999999979</v>
      </c>
      <c r="I1048" s="5"/>
      <c r="J1048" s="818" t="n">
        <f aca="false">1000*(E1048-$E$215)/(B1048-$B$215)</f>
        <v>11.8893995541076</v>
      </c>
      <c r="K1048" s="732" t="n">
        <f aca="false">AVERAGE($E$216:E1048)</f>
        <v>9.19034495219482</v>
      </c>
      <c r="L1048" s="819" t="n">
        <f aca="false">L1047+1</f>
        <v>833</v>
      </c>
      <c r="M1048" s="820" t="n">
        <f aca="false">IF(B1048&lt;$E$104,$E$105,$E$106)</f>
        <v>3</v>
      </c>
      <c r="N1048" s="821" t="n">
        <f aca="false">IF(B1048&lt;$E$104,$E$105,$E$111)</f>
        <v>2.5</v>
      </c>
      <c r="O1048" s="822" t="n">
        <f aca="false">E1048*$E$205*N1048</f>
        <v>175.54341742574</v>
      </c>
      <c r="P1048" s="823" t="n">
        <f aca="false">P1047+O1048</f>
        <v>100387.301114138</v>
      </c>
      <c r="Q1048" s="606" t="n">
        <f aca="false">Q1047+1</f>
        <v>833</v>
      </c>
      <c r="R1048" s="824" t="n">
        <f aca="false">R1047-1</f>
        <v>-833</v>
      </c>
      <c r="S1048" s="5"/>
      <c r="T1048" s="5"/>
      <c r="U1048" s="5"/>
      <c r="V1048" s="10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02"/>
      <c r="AU1048" s="502"/>
      <c r="AV1048" s="606"/>
      <c r="AW1048" s="502"/>
      <c r="AX1048" s="502"/>
      <c r="AY1048" s="502"/>
      <c r="AZ1048" s="502"/>
      <c r="BA1048" s="502"/>
      <c r="BB1048" s="502"/>
      <c r="BC1048" s="502"/>
      <c r="BD1048" s="502"/>
      <c r="BE1048" s="502"/>
      <c r="BF1048" s="502"/>
      <c r="BG1048" s="502"/>
      <c r="BH1048" s="502"/>
      <c r="BI1048" s="502"/>
      <c r="BJ1048" s="502"/>
      <c r="BK1048" s="502"/>
      <c r="BL1048" s="502"/>
      <c r="BM1048" s="502"/>
      <c r="BN1048" s="502"/>
      <c r="BO1048" s="502"/>
      <c r="BP1048" s="5"/>
      <c r="BQ1048" s="5"/>
      <c r="BR1048" s="5"/>
      <c r="BS1048" s="5"/>
      <c r="BT1048" s="5"/>
      <c r="BU1048" s="5"/>
      <c r="BV1048" s="5"/>
      <c r="BW1048" s="5"/>
      <c r="BX1048" s="5"/>
      <c r="BY1048" s="5"/>
      <c r="BZ1048" s="5"/>
      <c r="CA1048" s="5"/>
      <c r="CB1048" s="5"/>
      <c r="CC1048" s="5"/>
      <c r="CD1048" s="5"/>
      <c r="CE1048" s="5"/>
      <c r="CF1048" s="5"/>
      <c r="CG1048" s="5"/>
      <c r="CH1048" s="5"/>
      <c r="CI1048" s="5"/>
      <c r="CJ1048" s="5"/>
      <c r="CK1048" s="5"/>
      <c r="CL1048" s="5"/>
      <c r="CM1048" s="5"/>
      <c r="CN1048" s="5"/>
      <c r="CO1048" s="5"/>
      <c r="CP1048" s="5"/>
      <c r="CQ1048" s="5"/>
      <c r="CR1048" s="5"/>
      <c r="CS1048" s="5"/>
      <c r="CT1048" s="5"/>
      <c r="CU1048" s="5"/>
      <c r="CV1048" s="5"/>
      <c r="CW1048" s="5"/>
      <c r="CX1048" s="5"/>
      <c r="CY1048" s="5"/>
      <c r="CZ1048" s="5"/>
      <c r="DA1048" s="5"/>
      <c r="DB1048" s="5"/>
      <c r="DC1048" s="5"/>
      <c r="DD1048" s="5"/>
      <c r="DE1048" s="5"/>
      <c r="DF1048" s="5"/>
      <c r="DG1048" s="5"/>
      <c r="DH1048" s="5"/>
      <c r="DI1048" s="5"/>
      <c r="DJ1048" s="5"/>
      <c r="DK1048" s="5"/>
      <c r="DL1048" s="5"/>
      <c r="DM1048" s="5"/>
      <c r="DN1048" s="5"/>
      <c r="DO1048" s="5"/>
      <c r="DP1048" s="5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</row>
    <row r="1049" s="504" customFormat="true" ht="12.75" hidden="true" customHeight="true" outlineLevel="0" collapsed="false">
      <c r="A1049" s="5"/>
      <c r="B1049" s="813" t="n">
        <f aca="false">B1048+1</f>
        <v>834</v>
      </c>
      <c r="C1049" s="814" t="n">
        <f aca="false">C1048+D1049</f>
        <v>120613.554397425</v>
      </c>
      <c r="D1049" s="815" t="n">
        <f aca="false">E1049*$E$205*M1049</f>
        <v>210.809780910888</v>
      </c>
      <c r="E1049" s="601" t="n">
        <f aca="false">E1048+$C$204</f>
        <v>13.3694686016545</v>
      </c>
      <c r="F1049" s="816" t="n">
        <f aca="false">F1048+1</f>
        <v>834</v>
      </c>
      <c r="G1049" s="775" t="n">
        <f aca="false">C1049</f>
        <v>120613.554397425</v>
      </c>
      <c r="H1049" s="817" t="n">
        <f aca="false">1000*(E1049-E1048)</f>
        <v>9.99999999999979</v>
      </c>
      <c r="I1049" s="5"/>
      <c r="J1049" s="818" t="n">
        <f aca="false">1000*(E1049-$E$215)/(B1049-$B$215)</f>
        <v>11.8871340870164</v>
      </c>
      <c r="K1049" s="732" t="n">
        <f aca="false">AVERAGE($E$216:E1049)</f>
        <v>9.19535589182247</v>
      </c>
      <c r="L1049" s="819" t="n">
        <f aca="false">L1048+1</f>
        <v>834</v>
      </c>
      <c r="M1049" s="820" t="n">
        <f aca="false">IF(B1049&lt;$E$104,$E$105,$E$106)</f>
        <v>3</v>
      </c>
      <c r="N1049" s="821" t="n">
        <f aca="false">IF(B1049&lt;$E$104,$E$105,$E$111)</f>
        <v>2.5</v>
      </c>
      <c r="O1049" s="822" t="n">
        <f aca="false">E1049*$E$205*N1049</f>
        <v>175.67481742574</v>
      </c>
      <c r="P1049" s="823" t="n">
        <f aca="false">P1048+O1049</f>
        <v>100562.975931564</v>
      </c>
      <c r="Q1049" s="606" t="n">
        <f aca="false">Q1048+1</f>
        <v>834</v>
      </c>
      <c r="R1049" s="824" t="n">
        <f aca="false">R1048-1</f>
        <v>-834</v>
      </c>
      <c r="S1049" s="5"/>
      <c r="T1049" s="5"/>
      <c r="U1049" s="5"/>
      <c r="V1049" s="10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02"/>
      <c r="AU1049" s="502"/>
      <c r="AV1049" s="606"/>
      <c r="AW1049" s="502"/>
      <c r="AX1049" s="502"/>
      <c r="AY1049" s="502"/>
      <c r="AZ1049" s="502"/>
      <c r="BA1049" s="502"/>
      <c r="BB1049" s="502"/>
      <c r="BC1049" s="502"/>
      <c r="BD1049" s="502"/>
      <c r="BE1049" s="502"/>
      <c r="BF1049" s="502"/>
      <c r="BG1049" s="502"/>
      <c r="BH1049" s="502"/>
      <c r="BI1049" s="502"/>
      <c r="BJ1049" s="502"/>
      <c r="BK1049" s="502"/>
      <c r="BL1049" s="502"/>
      <c r="BM1049" s="502"/>
      <c r="BN1049" s="502"/>
      <c r="BO1049" s="502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  <c r="BZ1049" s="5"/>
      <c r="CA1049" s="5"/>
      <c r="CB1049" s="5"/>
      <c r="CC1049" s="5"/>
      <c r="CD1049" s="5"/>
      <c r="CE1049" s="5"/>
      <c r="CF1049" s="5"/>
      <c r="CG1049" s="5"/>
      <c r="CH1049" s="5"/>
      <c r="CI1049" s="5"/>
      <c r="CJ1049" s="5"/>
      <c r="CK1049" s="5"/>
      <c r="CL1049" s="5"/>
      <c r="CM1049" s="5"/>
      <c r="CN1049" s="5"/>
      <c r="CO1049" s="5"/>
      <c r="CP1049" s="5"/>
      <c r="CQ1049" s="5"/>
      <c r="CR1049" s="5"/>
      <c r="CS1049" s="5"/>
      <c r="CT1049" s="5"/>
      <c r="CU1049" s="5"/>
      <c r="CV1049" s="5"/>
      <c r="CW1049" s="5"/>
      <c r="CX1049" s="5"/>
      <c r="CY1049" s="5"/>
      <c r="CZ1049" s="5"/>
      <c r="DA1049" s="5"/>
      <c r="DB1049" s="5"/>
      <c r="DC1049" s="5"/>
      <c r="DD1049" s="5"/>
      <c r="DE1049" s="5"/>
      <c r="DF1049" s="5"/>
      <c r="DG1049" s="5"/>
      <c r="DH1049" s="5"/>
      <c r="DI1049" s="5"/>
      <c r="DJ1049" s="5"/>
      <c r="DK1049" s="5"/>
      <c r="DL1049" s="5"/>
      <c r="DM1049" s="5"/>
      <c r="DN1049" s="5"/>
      <c r="DO1049" s="5"/>
      <c r="DP1049" s="5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</row>
    <row r="1050" s="504" customFormat="true" ht="12.75" hidden="true" customHeight="true" outlineLevel="0" collapsed="false">
      <c r="A1050" s="5"/>
      <c r="B1050" s="813" t="n">
        <f aca="false">B1049+1</f>
        <v>835</v>
      </c>
      <c r="C1050" s="814" t="n">
        <f aca="false">C1049+D1050</f>
        <v>120824.521858336</v>
      </c>
      <c r="D1050" s="815" t="n">
        <f aca="false">E1050*$E$205*M1050</f>
        <v>210.967460910888</v>
      </c>
      <c r="E1050" s="601" t="n">
        <f aca="false">E1049+$C$204</f>
        <v>13.3794686016545</v>
      </c>
      <c r="F1050" s="816" t="n">
        <f aca="false">F1049+1</f>
        <v>835</v>
      </c>
      <c r="G1050" s="775" t="n">
        <f aca="false">C1050</f>
        <v>120824.521858336</v>
      </c>
      <c r="H1050" s="817" t="n">
        <f aca="false">1000*(E1050-E1049)</f>
        <v>9.99999999999979</v>
      </c>
      <c r="I1050" s="5"/>
      <c r="J1050" s="818" t="n">
        <f aca="false">1000*(E1050-$E$215)/(B1050-$B$215)</f>
        <v>11.8848740461936</v>
      </c>
      <c r="K1050" s="732" t="n">
        <f aca="false">AVERAGE($E$216:E1050)</f>
        <v>9.20036680524741</v>
      </c>
      <c r="L1050" s="819" t="n">
        <f aca="false">L1049+1</f>
        <v>835</v>
      </c>
      <c r="M1050" s="820" t="n">
        <f aca="false">IF(B1050&lt;$E$104,$E$105,$E$106)</f>
        <v>3</v>
      </c>
      <c r="N1050" s="821" t="n">
        <f aca="false">IF(B1050&lt;$E$104,$E$105,$E$111)</f>
        <v>2.5</v>
      </c>
      <c r="O1050" s="822" t="n">
        <f aca="false">E1050*$E$205*N1050</f>
        <v>175.80621742574</v>
      </c>
      <c r="P1050" s="823" t="n">
        <f aca="false">P1049+O1050</f>
        <v>100738.782148989</v>
      </c>
      <c r="Q1050" s="606" t="n">
        <f aca="false">Q1049+1</f>
        <v>835</v>
      </c>
      <c r="R1050" s="824" t="n">
        <f aca="false">R1049-1</f>
        <v>-835</v>
      </c>
      <c r="S1050" s="5"/>
      <c r="T1050" s="5"/>
      <c r="U1050" s="5"/>
      <c r="V1050" s="10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02"/>
      <c r="AU1050" s="502"/>
      <c r="AV1050" s="606"/>
      <c r="AW1050" s="502"/>
      <c r="AX1050" s="502"/>
      <c r="AY1050" s="502"/>
      <c r="AZ1050" s="502"/>
      <c r="BA1050" s="502"/>
      <c r="BB1050" s="502"/>
      <c r="BC1050" s="502"/>
      <c r="BD1050" s="502"/>
      <c r="BE1050" s="502"/>
      <c r="BF1050" s="502"/>
      <c r="BG1050" s="502"/>
      <c r="BH1050" s="502"/>
      <c r="BI1050" s="502"/>
      <c r="BJ1050" s="502"/>
      <c r="BK1050" s="502"/>
      <c r="BL1050" s="502"/>
      <c r="BM1050" s="502"/>
      <c r="BN1050" s="502"/>
      <c r="BO1050" s="502"/>
      <c r="BP1050" s="5"/>
      <c r="BQ1050" s="5"/>
      <c r="BR1050" s="5"/>
      <c r="BS1050" s="5"/>
      <c r="BT1050" s="5"/>
      <c r="BU1050" s="5"/>
      <c r="BV1050" s="5"/>
      <c r="BW1050" s="5"/>
      <c r="BX1050" s="5"/>
      <c r="BY1050" s="5"/>
      <c r="BZ1050" s="5"/>
      <c r="CA1050" s="5"/>
      <c r="CB1050" s="5"/>
      <c r="CC1050" s="5"/>
      <c r="CD1050" s="5"/>
      <c r="CE1050" s="5"/>
      <c r="CF1050" s="5"/>
      <c r="CG1050" s="5"/>
      <c r="CH1050" s="5"/>
      <c r="CI1050" s="5"/>
      <c r="CJ1050" s="5"/>
      <c r="CK1050" s="5"/>
      <c r="CL1050" s="5"/>
      <c r="CM1050" s="5"/>
      <c r="CN1050" s="5"/>
      <c r="CO1050" s="5"/>
      <c r="CP1050" s="5"/>
      <c r="CQ1050" s="5"/>
      <c r="CR1050" s="5"/>
      <c r="CS1050" s="5"/>
      <c r="CT1050" s="5"/>
      <c r="CU1050" s="5"/>
      <c r="CV1050" s="5"/>
      <c r="CW1050" s="5"/>
      <c r="CX1050" s="5"/>
      <c r="CY1050" s="5"/>
      <c r="CZ1050" s="5"/>
      <c r="DA1050" s="5"/>
      <c r="DB1050" s="5"/>
      <c r="DC1050" s="5"/>
      <c r="DD1050" s="5"/>
      <c r="DE1050" s="5"/>
      <c r="DF1050" s="5"/>
      <c r="DG1050" s="5"/>
      <c r="DH1050" s="5"/>
      <c r="DI1050" s="5"/>
      <c r="DJ1050" s="5"/>
      <c r="DK1050" s="5"/>
      <c r="DL1050" s="5"/>
      <c r="DM1050" s="5"/>
      <c r="DN1050" s="5"/>
      <c r="DO1050" s="5"/>
      <c r="DP1050" s="5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</row>
    <row r="1051" s="504" customFormat="true" ht="12.75" hidden="true" customHeight="true" outlineLevel="0" collapsed="false">
      <c r="A1051" s="5"/>
      <c r="B1051" s="813" t="n">
        <f aca="false">B1050+1</f>
        <v>836</v>
      </c>
      <c r="C1051" s="814" t="n">
        <f aca="false">C1050+D1051</f>
        <v>121035.646999247</v>
      </c>
      <c r="D1051" s="815" t="n">
        <f aca="false">E1051*$E$205*M1051</f>
        <v>211.125140910888</v>
      </c>
      <c r="E1051" s="601" t="n">
        <f aca="false">E1050+$C$204</f>
        <v>13.3894686016545</v>
      </c>
      <c r="F1051" s="816" t="n">
        <f aca="false">F1050+1</f>
        <v>836</v>
      </c>
      <c r="G1051" s="775" t="n">
        <f aca="false">C1051</f>
        <v>121035.646999247</v>
      </c>
      <c r="H1051" s="817" t="n">
        <f aca="false">1000*(E1051-E1050)</f>
        <v>9.99999999999979</v>
      </c>
      <c r="I1051" s="5"/>
      <c r="J1051" s="818" t="n">
        <f aca="false">1000*(E1051-$E$215)/(B1051-$B$215)</f>
        <v>11.8826194121671</v>
      </c>
      <c r="K1051" s="732" t="n">
        <f aca="false">AVERAGE($E$216:E1051)</f>
        <v>9.20537769256369</v>
      </c>
      <c r="L1051" s="819" t="n">
        <f aca="false">L1050+1</f>
        <v>836</v>
      </c>
      <c r="M1051" s="820" t="n">
        <f aca="false">IF(B1051&lt;$E$104,$E$105,$E$106)</f>
        <v>3</v>
      </c>
      <c r="N1051" s="821" t="n">
        <f aca="false">IF(B1051&lt;$E$104,$E$105,$E$111)</f>
        <v>2.5</v>
      </c>
      <c r="O1051" s="822" t="n">
        <f aca="false">E1051*$E$205*N1051</f>
        <v>175.93761742574</v>
      </c>
      <c r="P1051" s="823" t="n">
        <f aca="false">P1050+O1051</f>
        <v>100914.719766415</v>
      </c>
      <c r="Q1051" s="606" t="n">
        <f aca="false">Q1050+1</f>
        <v>836</v>
      </c>
      <c r="R1051" s="824" t="n">
        <f aca="false">R1050-1</f>
        <v>-836</v>
      </c>
      <c r="S1051" s="5"/>
      <c r="T1051" s="5"/>
      <c r="U1051" s="5"/>
      <c r="V1051" s="10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02"/>
      <c r="AU1051" s="502"/>
      <c r="AV1051" s="606"/>
      <c r="AW1051" s="502"/>
      <c r="AX1051" s="502"/>
      <c r="AY1051" s="502"/>
      <c r="AZ1051" s="502"/>
      <c r="BA1051" s="502"/>
      <c r="BB1051" s="502"/>
      <c r="BC1051" s="502"/>
      <c r="BD1051" s="502"/>
      <c r="BE1051" s="502"/>
      <c r="BF1051" s="502"/>
      <c r="BG1051" s="502"/>
      <c r="BH1051" s="502"/>
      <c r="BI1051" s="502"/>
      <c r="BJ1051" s="502"/>
      <c r="BK1051" s="502"/>
      <c r="BL1051" s="502"/>
      <c r="BM1051" s="502"/>
      <c r="BN1051" s="502"/>
      <c r="BO1051" s="502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  <c r="BZ1051" s="5"/>
      <c r="CA1051" s="5"/>
      <c r="CB1051" s="5"/>
      <c r="CC1051" s="5"/>
      <c r="CD1051" s="5"/>
      <c r="CE1051" s="5"/>
      <c r="CF1051" s="5"/>
      <c r="CG1051" s="5"/>
      <c r="CH1051" s="5"/>
      <c r="CI1051" s="5"/>
      <c r="CJ1051" s="5"/>
      <c r="CK1051" s="5"/>
      <c r="CL1051" s="5"/>
      <c r="CM1051" s="5"/>
      <c r="CN1051" s="5"/>
      <c r="CO1051" s="5"/>
      <c r="CP1051" s="5"/>
      <c r="CQ1051" s="5"/>
      <c r="CR1051" s="5"/>
      <c r="CS1051" s="5"/>
      <c r="CT1051" s="5"/>
      <c r="CU1051" s="5"/>
      <c r="CV1051" s="5"/>
      <c r="CW1051" s="5"/>
      <c r="CX1051" s="5"/>
      <c r="CY1051" s="5"/>
      <c r="CZ1051" s="5"/>
      <c r="DA1051" s="5"/>
      <c r="DB1051" s="5"/>
      <c r="DC1051" s="5"/>
      <c r="DD1051" s="5"/>
      <c r="DE1051" s="5"/>
      <c r="DF1051" s="5"/>
      <c r="DG1051" s="5"/>
      <c r="DH1051" s="5"/>
      <c r="DI1051" s="5"/>
      <c r="DJ1051" s="5"/>
      <c r="DK1051" s="5"/>
      <c r="DL1051" s="5"/>
      <c r="DM1051" s="5"/>
      <c r="DN1051" s="5"/>
      <c r="DO1051" s="5"/>
      <c r="DP1051" s="5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</row>
    <row r="1052" s="504" customFormat="true" ht="12.75" hidden="true" customHeight="true" outlineLevel="0" collapsed="false">
      <c r="A1052" s="5"/>
      <c r="B1052" s="813" t="n">
        <f aca="false">B1051+1</f>
        <v>837</v>
      </c>
      <c r="C1052" s="814" t="n">
        <f aca="false">C1051+D1052</f>
        <v>121246.929820158</v>
      </c>
      <c r="D1052" s="815" t="n">
        <f aca="false">E1052*$E$205*M1052</f>
        <v>211.282820910888</v>
      </c>
      <c r="E1052" s="601" t="n">
        <f aca="false">E1051+$C$204</f>
        <v>13.3994686016545</v>
      </c>
      <c r="F1052" s="816" t="n">
        <f aca="false">F1051+1</f>
        <v>837</v>
      </c>
      <c r="G1052" s="775" t="n">
        <f aca="false">C1052</f>
        <v>121246.929820158</v>
      </c>
      <c r="H1052" s="817" t="n">
        <f aca="false">1000*(E1052-E1051)</f>
        <v>9.99999999999979</v>
      </c>
      <c r="I1052" s="5"/>
      <c r="J1052" s="818" t="n">
        <f aca="false">1000*(E1052-$E$215)/(B1052-$B$215)</f>
        <v>11.8803701655575</v>
      </c>
      <c r="K1052" s="732" t="n">
        <f aca="false">AVERAGE($E$216:E1052)</f>
        <v>9.21038855386488</v>
      </c>
      <c r="L1052" s="819" t="n">
        <f aca="false">L1051+1</f>
        <v>837</v>
      </c>
      <c r="M1052" s="820" t="n">
        <f aca="false">IF(B1052&lt;$E$104,$E$105,$E$106)</f>
        <v>3</v>
      </c>
      <c r="N1052" s="821" t="n">
        <f aca="false">IF(B1052&lt;$E$104,$E$105,$E$111)</f>
        <v>2.5</v>
      </c>
      <c r="O1052" s="822" t="n">
        <f aca="false">E1052*$E$205*N1052</f>
        <v>176.06901742574</v>
      </c>
      <c r="P1052" s="823" t="n">
        <f aca="false">P1051+O1052</f>
        <v>101090.788783841</v>
      </c>
      <c r="Q1052" s="606" t="n">
        <f aca="false">Q1051+1</f>
        <v>837</v>
      </c>
      <c r="R1052" s="824" t="n">
        <f aca="false">R1051-1</f>
        <v>-837</v>
      </c>
      <c r="S1052" s="5"/>
      <c r="T1052" s="5"/>
      <c r="U1052" s="5"/>
      <c r="V1052" s="10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02"/>
      <c r="AU1052" s="502"/>
      <c r="AV1052" s="606"/>
      <c r="AW1052" s="502"/>
      <c r="AX1052" s="502"/>
      <c r="AY1052" s="502"/>
      <c r="AZ1052" s="502"/>
      <c r="BA1052" s="502"/>
      <c r="BB1052" s="502"/>
      <c r="BC1052" s="502"/>
      <c r="BD1052" s="502"/>
      <c r="BE1052" s="502"/>
      <c r="BF1052" s="502"/>
      <c r="BG1052" s="502"/>
      <c r="BH1052" s="502"/>
      <c r="BI1052" s="502"/>
      <c r="BJ1052" s="502"/>
      <c r="BK1052" s="502"/>
      <c r="BL1052" s="502"/>
      <c r="BM1052" s="502"/>
      <c r="BN1052" s="502"/>
      <c r="BO1052" s="502"/>
      <c r="BP1052" s="5"/>
      <c r="BQ1052" s="5"/>
      <c r="BR1052" s="5"/>
      <c r="BS1052" s="5"/>
      <c r="BT1052" s="5"/>
      <c r="BU1052" s="5"/>
      <c r="BV1052" s="5"/>
      <c r="BW1052" s="5"/>
      <c r="BX1052" s="5"/>
      <c r="BY1052" s="5"/>
      <c r="BZ1052" s="5"/>
      <c r="CA1052" s="5"/>
      <c r="CB1052" s="5"/>
      <c r="CC1052" s="5"/>
      <c r="CD1052" s="5"/>
      <c r="CE1052" s="5"/>
      <c r="CF1052" s="5"/>
      <c r="CG1052" s="5"/>
      <c r="CH1052" s="5"/>
      <c r="CI1052" s="5"/>
      <c r="CJ1052" s="5"/>
      <c r="CK1052" s="5"/>
      <c r="CL1052" s="5"/>
      <c r="CM1052" s="5"/>
      <c r="CN1052" s="5"/>
      <c r="CO1052" s="5"/>
      <c r="CP1052" s="5"/>
      <c r="CQ1052" s="5"/>
      <c r="CR1052" s="5"/>
      <c r="CS1052" s="5"/>
      <c r="CT1052" s="5"/>
      <c r="CU1052" s="5"/>
      <c r="CV1052" s="5"/>
      <c r="CW1052" s="5"/>
      <c r="CX1052" s="5"/>
      <c r="CY1052" s="5"/>
      <c r="CZ1052" s="5"/>
      <c r="DA1052" s="5"/>
      <c r="DB1052" s="5"/>
      <c r="DC1052" s="5"/>
      <c r="DD1052" s="5"/>
      <c r="DE1052" s="5"/>
      <c r="DF1052" s="5"/>
      <c r="DG1052" s="5"/>
      <c r="DH1052" s="5"/>
      <c r="DI1052" s="5"/>
      <c r="DJ1052" s="5"/>
      <c r="DK1052" s="5"/>
      <c r="DL1052" s="5"/>
      <c r="DM1052" s="5"/>
      <c r="DN1052" s="5"/>
      <c r="DO1052" s="5"/>
      <c r="DP1052" s="5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</row>
    <row r="1053" s="504" customFormat="true" ht="12.75" hidden="true" customHeight="true" outlineLevel="0" collapsed="false">
      <c r="A1053" s="5"/>
      <c r="B1053" s="813" t="n">
        <f aca="false">B1052+1</f>
        <v>838</v>
      </c>
      <c r="C1053" s="814" t="n">
        <f aca="false">C1052+D1053</f>
        <v>121458.370321068</v>
      </c>
      <c r="D1053" s="815" t="n">
        <f aca="false">E1053*$E$205*M1053</f>
        <v>211.440500910888</v>
      </c>
      <c r="E1053" s="601" t="n">
        <f aca="false">E1052+$C$204</f>
        <v>13.4094686016545</v>
      </c>
      <c r="F1053" s="816" t="n">
        <f aca="false">F1052+1</f>
        <v>838</v>
      </c>
      <c r="G1053" s="775" t="n">
        <f aca="false">C1053</f>
        <v>121458.370321068</v>
      </c>
      <c r="H1053" s="817" t="n">
        <f aca="false">1000*(E1053-E1052)</f>
        <v>9.99999999999979</v>
      </c>
      <c r="I1053" s="5"/>
      <c r="J1053" s="818" t="n">
        <f aca="false">1000*(E1053-$E$215)/(B1053-$B$215)</f>
        <v>11.8781262870784</v>
      </c>
      <c r="K1053" s="732" t="n">
        <f aca="false">AVERAGE($E$216:E1053)</f>
        <v>9.2153993892441</v>
      </c>
      <c r="L1053" s="819" t="n">
        <f aca="false">L1052+1</f>
        <v>838</v>
      </c>
      <c r="M1053" s="820" t="n">
        <f aca="false">IF(B1053&lt;$E$104,$E$105,$E$106)</f>
        <v>3</v>
      </c>
      <c r="N1053" s="821" t="n">
        <f aca="false">IF(B1053&lt;$E$104,$E$105,$E$111)</f>
        <v>2.5</v>
      </c>
      <c r="O1053" s="822" t="n">
        <f aca="false">E1053*$E$205*N1053</f>
        <v>176.20041742574</v>
      </c>
      <c r="P1053" s="823" t="n">
        <f aca="false">P1052+O1053</f>
        <v>101266.989201267</v>
      </c>
      <c r="Q1053" s="606" t="n">
        <f aca="false">Q1052+1</f>
        <v>838</v>
      </c>
      <c r="R1053" s="824" t="n">
        <f aca="false">R1052-1</f>
        <v>-838</v>
      </c>
      <c r="S1053" s="5"/>
      <c r="T1053" s="5"/>
      <c r="U1053" s="5"/>
      <c r="V1053" s="10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02"/>
      <c r="AU1053" s="502"/>
      <c r="AV1053" s="606"/>
      <c r="AW1053" s="502"/>
      <c r="AX1053" s="502"/>
      <c r="AY1053" s="502"/>
      <c r="AZ1053" s="502"/>
      <c r="BA1053" s="502"/>
      <c r="BB1053" s="502"/>
      <c r="BC1053" s="502"/>
      <c r="BD1053" s="502"/>
      <c r="BE1053" s="502"/>
      <c r="BF1053" s="502"/>
      <c r="BG1053" s="502"/>
      <c r="BH1053" s="502"/>
      <c r="BI1053" s="502"/>
      <c r="BJ1053" s="502"/>
      <c r="BK1053" s="502"/>
      <c r="BL1053" s="502"/>
      <c r="BM1053" s="502"/>
      <c r="BN1053" s="502"/>
      <c r="BO1053" s="502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  <c r="BZ1053" s="5"/>
      <c r="CA1053" s="5"/>
      <c r="CB1053" s="5"/>
      <c r="CC1053" s="5"/>
      <c r="CD1053" s="5"/>
      <c r="CE1053" s="5"/>
      <c r="CF1053" s="5"/>
      <c r="CG1053" s="5"/>
      <c r="CH1053" s="5"/>
      <c r="CI1053" s="5"/>
      <c r="CJ1053" s="5"/>
      <c r="CK1053" s="5"/>
      <c r="CL1053" s="5"/>
      <c r="CM1053" s="5"/>
      <c r="CN1053" s="5"/>
      <c r="CO1053" s="5"/>
      <c r="CP1053" s="5"/>
      <c r="CQ1053" s="5"/>
      <c r="CR1053" s="5"/>
      <c r="CS1053" s="5"/>
      <c r="CT1053" s="5"/>
      <c r="CU1053" s="5"/>
      <c r="CV1053" s="5"/>
      <c r="CW1053" s="5"/>
      <c r="CX1053" s="5"/>
      <c r="CY1053" s="5"/>
      <c r="CZ1053" s="5"/>
      <c r="DA1053" s="5"/>
      <c r="DB1053" s="5"/>
      <c r="DC1053" s="5"/>
      <c r="DD1053" s="5"/>
      <c r="DE1053" s="5"/>
      <c r="DF1053" s="5"/>
      <c r="DG1053" s="5"/>
      <c r="DH1053" s="5"/>
      <c r="DI1053" s="5"/>
      <c r="DJ1053" s="5"/>
      <c r="DK1053" s="5"/>
      <c r="DL1053" s="5"/>
      <c r="DM1053" s="5"/>
      <c r="DN1053" s="5"/>
      <c r="DO1053" s="5"/>
      <c r="DP1053" s="5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</row>
    <row r="1054" s="504" customFormat="true" ht="12.75" hidden="true" customHeight="true" outlineLevel="0" collapsed="false">
      <c r="A1054" s="5"/>
      <c r="B1054" s="813" t="n">
        <f aca="false">B1053+1</f>
        <v>839</v>
      </c>
      <c r="C1054" s="814" t="n">
        <f aca="false">C1053+D1054</f>
        <v>121669.968501979</v>
      </c>
      <c r="D1054" s="815" t="n">
        <f aca="false">E1054*$E$205*M1054</f>
        <v>211.598180910888</v>
      </c>
      <c r="E1054" s="601" t="n">
        <f aca="false">E1053+$C$204</f>
        <v>13.4194686016545</v>
      </c>
      <c r="F1054" s="816" t="n">
        <f aca="false">F1053+1</f>
        <v>839</v>
      </c>
      <c r="G1054" s="775" t="n">
        <f aca="false">C1054</f>
        <v>121669.968501979</v>
      </c>
      <c r="H1054" s="817" t="n">
        <f aca="false">1000*(E1054-E1053)</f>
        <v>9.99999999999979</v>
      </c>
      <c r="I1054" s="5"/>
      <c r="J1054" s="818" t="n">
        <f aca="false">1000*(E1054-$E$215)/(B1054-$B$215)</f>
        <v>11.8758877575348</v>
      </c>
      <c r="K1054" s="732" t="n">
        <f aca="false">AVERAGE($E$216:E1054)</f>
        <v>9.22041019879405</v>
      </c>
      <c r="L1054" s="819" t="n">
        <f aca="false">L1053+1</f>
        <v>839</v>
      </c>
      <c r="M1054" s="820" t="n">
        <f aca="false">IF(B1054&lt;$E$104,$E$105,$E$106)</f>
        <v>3</v>
      </c>
      <c r="N1054" s="821" t="n">
        <f aca="false">IF(B1054&lt;$E$104,$E$105,$E$111)</f>
        <v>2.5</v>
      </c>
      <c r="O1054" s="822" t="n">
        <f aca="false">E1054*$E$205*N1054</f>
        <v>176.33181742574</v>
      </c>
      <c r="P1054" s="823" t="n">
        <f aca="false">P1053+O1054</f>
        <v>101443.321018692</v>
      </c>
      <c r="Q1054" s="606" t="n">
        <f aca="false">Q1053+1</f>
        <v>839</v>
      </c>
      <c r="R1054" s="824" t="n">
        <f aca="false">R1053-1</f>
        <v>-839</v>
      </c>
      <c r="S1054" s="5"/>
      <c r="T1054" s="5"/>
      <c r="U1054" s="5"/>
      <c r="V1054" s="10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02"/>
      <c r="AU1054" s="502"/>
      <c r="AV1054" s="606"/>
      <c r="AW1054" s="502"/>
      <c r="AX1054" s="502"/>
      <c r="AY1054" s="502"/>
      <c r="AZ1054" s="502"/>
      <c r="BA1054" s="502"/>
      <c r="BB1054" s="502"/>
      <c r="BC1054" s="502"/>
      <c r="BD1054" s="502"/>
      <c r="BE1054" s="502"/>
      <c r="BF1054" s="502"/>
      <c r="BG1054" s="502"/>
      <c r="BH1054" s="502"/>
      <c r="BI1054" s="502"/>
      <c r="BJ1054" s="502"/>
      <c r="BK1054" s="502"/>
      <c r="BL1054" s="502"/>
      <c r="BM1054" s="502"/>
      <c r="BN1054" s="502"/>
      <c r="BO1054" s="502"/>
      <c r="BP1054" s="5"/>
      <c r="BQ1054" s="5"/>
      <c r="BR1054" s="5"/>
      <c r="BS1054" s="5"/>
      <c r="BT1054" s="5"/>
      <c r="BU1054" s="5"/>
      <c r="BV1054" s="5"/>
      <c r="BW1054" s="5"/>
      <c r="BX1054" s="5"/>
      <c r="BY1054" s="5"/>
      <c r="BZ1054" s="5"/>
      <c r="CA1054" s="5"/>
      <c r="CB1054" s="5"/>
      <c r="CC1054" s="5"/>
      <c r="CD1054" s="5"/>
      <c r="CE1054" s="5"/>
      <c r="CF1054" s="5"/>
      <c r="CG1054" s="5"/>
      <c r="CH1054" s="5"/>
      <c r="CI1054" s="5"/>
      <c r="CJ1054" s="5"/>
      <c r="CK1054" s="5"/>
      <c r="CL1054" s="5"/>
      <c r="CM1054" s="5"/>
      <c r="CN1054" s="5"/>
      <c r="CO1054" s="5"/>
      <c r="CP1054" s="5"/>
      <c r="CQ1054" s="5"/>
      <c r="CR1054" s="5"/>
      <c r="CS1054" s="5"/>
      <c r="CT1054" s="5"/>
      <c r="CU1054" s="5"/>
      <c r="CV1054" s="5"/>
      <c r="CW1054" s="5"/>
      <c r="CX1054" s="5"/>
      <c r="CY1054" s="5"/>
      <c r="CZ1054" s="5"/>
      <c r="DA1054" s="5"/>
      <c r="DB1054" s="5"/>
      <c r="DC1054" s="5"/>
      <c r="DD1054" s="5"/>
      <c r="DE1054" s="5"/>
      <c r="DF1054" s="5"/>
      <c r="DG1054" s="5"/>
      <c r="DH1054" s="5"/>
      <c r="DI1054" s="5"/>
      <c r="DJ1054" s="5"/>
      <c r="DK1054" s="5"/>
      <c r="DL1054" s="5"/>
      <c r="DM1054" s="5"/>
      <c r="DN1054" s="5"/>
      <c r="DO1054" s="5"/>
      <c r="DP1054" s="5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</row>
    <row r="1055" s="504" customFormat="true" ht="12.75" hidden="true" customHeight="true" outlineLevel="0" collapsed="false">
      <c r="A1055" s="5"/>
      <c r="B1055" s="813" t="n">
        <f aca="false">B1054+1</f>
        <v>840</v>
      </c>
      <c r="C1055" s="814" t="n">
        <f aca="false">C1054+D1055</f>
        <v>121881.72436289</v>
      </c>
      <c r="D1055" s="815" t="n">
        <f aca="false">E1055*$E$205*M1055</f>
        <v>211.755860910888</v>
      </c>
      <c r="E1055" s="601" t="n">
        <f aca="false">E1054+$C$204</f>
        <v>13.4294686016545</v>
      </c>
      <c r="F1055" s="816" t="n">
        <f aca="false">F1054+1</f>
        <v>840</v>
      </c>
      <c r="G1055" s="775" t="n">
        <f aca="false">C1055</f>
        <v>121881.72436289</v>
      </c>
      <c r="H1055" s="817" t="n">
        <f aca="false">1000*(E1055-E1054)</f>
        <v>9.99999999999979</v>
      </c>
      <c r="I1055" s="5"/>
      <c r="J1055" s="818" t="n">
        <f aca="false">1000*(E1055-$E$215)/(B1055-$B$215)</f>
        <v>11.8736545578234</v>
      </c>
      <c r="K1055" s="732" t="n">
        <f aca="false">AVERAGE($E$216:E1055)</f>
        <v>9.22542098260698</v>
      </c>
      <c r="L1055" s="819" t="n">
        <f aca="false">L1054+1</f>
        <v>840</v>
      </c>
      <c r="M1055" s="820" t="n">
        <f aca="false">IF(B1055&lt;$E$104,$E$105,$E$106)</f>
        <v>3</v>
      </c>
      <c r="N1055" s="821" t="n">
        <f aca="false">IF(B1055&lt;$E$104,$E$105,$E$111)</f>
        <v>2.5</v>
      </c>
      <c r="O1055" s="822" t="n">
        <f aca="false">E1055*$E$205*N1055</f>
        <v>176.46321742574</v>
      </c>
      <c r="P1055" s="823" t="n">
        <f aca="false">P1054+O1055</f>
        <v>101619.784236118</v>
      </c>
      <c r="Q1055" s="606" t="n">
        <f aca="false">Q1054+1</f>
        <v>840</v>
      </c>
      <c r="R1055" s="824" t="n">
        <f aca="false">R1054-1</f>
        <v>-840</v>
      </c>
      <c r="S1055" s="5"/>
      <c r="T1055" s="5"/>
      <c r="U1055" s="5"/>
      <c r="V1055" s="10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02"/>
      <c r="AU1055" s="502"/>
      <c r="AV1055" s="606"/>
      <c r="AW1055" s="502"/>
      <c r="AX1055" s="502"/>
      <c r="AY1055" s="502"/>
      <c r="AZ1055" s="502"/>
      <c r="BA1055" s="502"/>
      <c r="BB1055" s="502"/>
      <c r="BC1055" s="502"/>
      <c r="BD1055" s="502"/>
      <c r="BE1055" s="502"/>
      <c r="BF1055" s="502"/>
      <c r="BG1055" s="502"/>
      <c r="BH1055" s="502"/>
      <c r="BI1055" s="502"/>
      <c r="BJ1055" s="502"/>
      <c r="BK1055" s="502"/>
      <c r="BL1055" s="502"/>
      <c r="BM1055" s="502"/>
      <c r="BN1055" s="502"/>
      <c r="BO1055" s="502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/>
      <c r="BZ1055" s="5"/>
      <c r="CA1055" s="5"/>
      <c r="CB1055" s="5"/>
      <c r="CC1055" s="5"/>
      <c r="CD1055" s="5"/>
      <c r="CE1055" s="5"/>
      <c r="CF1055" s="5"/>
      <c r="CG1055" s="5"/>
      <c r="CH1055" s="5"/>
      <c r="CI1055" s="5"/>
      <c r="CJ1055" s="5"/>
      <c r="CK1055" s="5"/>
      <c r="CL1055" s="5"/>
      <c r="CM1055" s="5"/>
      <c r="CN1055" s="5"/>
      <c r="CO1055" s="5"/>
      <c r="CP1055" s="5"/>
      <c r="CQ1055" s="5"/>
      <c r="CR1055" s="5"/>
      <c r="CS1055" s="5"/>
      <c r="CT1055" s="5"/>
      <c r="CU1055" s="5"/>
      <c r="CV1055" s="5"/>
      <c r="CW1055" s="5"/>
      <c r="CX1055" s="5"/>
      <c r="CY1055" s="5"/>
      <c r="CZ1055" s="5"/>
      <c r="DA1055" s="5"/>
      <c r="DB1055" s="5"/>
      <c r="DC1055" s="5"/>
      <c r="DD1055" s="5"/>
      <c r="DE1055" s="5"/>
      <c r="DF1055" s="5"/>
      <c r="DG1055" s="5"/>
      <c r="DH1055" s="5"/>
      <c r="DI1055" s="5"/>
      <c r="DJ1055" s="5"/>
      <c r="DK1055" s="5"/>
      <c r="DL1055" s="5"/>
      <c r="DM1055" s="5"/>
      <c r="DN1055" s="5"/>
      <c r="DO1055" s="5"/>
      <c r="DP1055" s="5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</row>
    <row r="1056" s="504" customFormat="true" ht="12.75" hidden="true" customHeight="true" outlineLevel="0" collapsed="false">
      <c r="A1056" s="5"/>
      <c r="B1056" s="813" t="n">
        <f aca="false">B1055+1</f>
        <v>841</v>
      </c>
      <c r="C1056" s="814" t="n">
        <f aca="false">C1055+D1056</f>
        <v>122093.637903801</v>
      </c>
      <c r="D1056" s="815" t="n">
        <f aca="false">E1056*$E$205*M1056</f>
        <v>211.913540910888</v>
      </c>
      <c r="E1056" s="601" t="n">
        <f aca="false">E1055+$C$204</f>
        <v>13.4394686016545</v>
      </c>
      <c r="F1056" s="816" t="n">
        <f aca="false">F1055+1</f>
        <v>841</v>
      </c>
      <c r="G1056" s="775" t="n">
        <f aca="false">C1056</f>
        <v>122093.637903801</v>
      </c>
      <c r="H1056" s="817" t="n">
        <f aca="false">1000*(E1056-E1055)</f>
        <v>9.99999999999979</v>
      </c>
      <c r="I1056" s="5"/>
      <c r="J1056" s="818" t="n">
        <f aca="false">1000*(E1056-$E$215)/(B1056-$B$215)</f>
        <v>11.8714266689318</v>
      </c>
      <c r="K1056" s="732" t="n">
        <f aca="false">AVERAGE($E$216:E1056)</f>
        <v>9.2304317407747</v>
      </c>
      <c r="L1056" s="819" t="n">
        <f aca="false">L1055+1</f>
        <v>841</v>
      </c>
      <c r="M1056" s="820" t="n">
        <f aca="false">IF(B1056&lt;$E$104,$E$105,$E$106)</f>
        <v>3</v>
      </c>
      <c r="N1056" s="821" t="n">
        <f aca="false">IF(B1056&lt;$E$104,$E$105,$E$111)</f>
        <v>2.5</v>
      </c>
      <c r="O1056" s="822" t="n">
        <f aca="false">E1056*$E$205*N1056</f>
        <v>176.59461742574</v>
      </c>
      <c r="P1056" s="823" t="n">
        <f aca="false">P1055+O1056</f>
        <v>101796.378853544</v>
      </c>
      <c r="Q1056" s="606" t="n">
        <f aca="false">Q1055+1</f>
        <v>841</v>
      </c>
      <c r="R1056" s="824" t="n">
        <f aca="false">R1055-1</f>
        <v>-841</v>
      </c>
      <c r="S1056" s="5"/>
      <c r="T1056" s="5"/>
      <c r="U1056" s="5"/>
      <c r="V1056" s="10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02"/>
      <c r="AU1056" s="502"/>
      <c r="AV1056" s="606"/>
      <c r="AW1056" s="502"/>
      <c r="AX1056" s="502"/>
      <c r="AY1056" s="502"/>
      <c r="AZ1056" s="502"/>
      <c r="BA1056" s="502"/>
      <c r="BB1056" s="502"/>
      <c r="BC1056" s="502"/>
      <c r="BD1056" s="502"/>
      <c r="BE1056" s="502"/>
      <c r="BF1056" s="502"/>
      <c r="BG1056" s="502"/>
      <c r="BH1056" s="502"/>
      <c r="BI1056" s="502"/>
      <c r="BJ1056" s="502"/>
      <c r="BK1056" s="502"/>
      <c r="BL1056" s="502"/>
      <c r="BM1056" s="502"/>
      <c r="BN1056" s="502"/>
      <c r="BO1056" s="502"/>
      <c r="BP1056" s="5"/>
      <c r="BQ1056" s="5"/>
      <c r="BR1056" s="5"/>
      <c r="BS1056" s="5"/>
      <c r="BT1056" s="5"/>
      <c r="BU1056" s="5"/>
      <c r="BV1056" s="5"/>
      <c r="BW1056" s="5"/>
      <c r="BX1056" s="5"/>
      <c r="BY1056" s="5"/>
      <c r="BZ1056" s="5"/>
      <c r="CA1056" s="5"/>
      <c r="CB1056" s="5"/>
      <c r="CC1056" s="5"/>
      <c r="CD1056" s="5"/>
      <c r="CE1056" s="5"/>
      <c r="CF1056" s="5"/>
      <c r="CG1056" s="5"/>
      <c r="CH1056" s="5"/>
      <c r="CI1056" s="5"/>
      <c r="CJ1056" s="5"/>
      <c r="CK1056" s="5"/>
      <c r="CL1056" s="5"/>
      <c r="CM1056" s="5"/>
      <c r="CN1056" s="5"/>
      <c r="CO1056" s="5"/>
      <c r="CP1056" s="5"/>
      <c r="CQ1056" s="5"/>
      <c r="CR1056" s="5"/>
      <c r="CS1056" s="5"/>
      <c r="CT1056" s="5"/>
      <c r="CU1056" s="5"/>
      <c r="CV1056" s="5"/>
      <c r="CW1056" s="5"/>
      <c r="CX1056" s="5"/>
      <c r="CY1056" s="5"/>
      <c r="CZ1056" s="5"/>
      <c r="DA1056" s="5"/>
      <c r="DB1056" s="5"/>
      <c r="DC1056" s="5"/>
      <c r="DD1056" s="5"/>
      <c r="DE1056" s="5"/>
      <c r="DF1056" s="5"/>
      <c r="DG1056" s="5"/>
      <c r="DH1056" s="5"/>
      <c r="DI1056" s="5"/>
      <c r="DJ1056" s="5"/>
      <c r="DK1056" s="5"/>
      <c r="DL1056" s="5"/>
      <c r="DM1056" s="5"/>
      <c r="DN1056" s="5"/>
      <c r="DO1056" s="5"/>
      <c r="DP1056" s="5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</row>
    <row r="1057" s="504" customFormat="true" ht="12.75" hidden="true" customHeight="true" outlineLevel="0" collapsed="false">
      <c r="A1057" s="5"/>
      <c r="B1057" s="813" t="n">
        <f aca="false">B1056+1</f>
        <v>842</v>
      </c>
      <c r="C1057" s="814" t="n">
        <f aca="false">C1056+D1057</f>
        <v>122305.709124712</v>
      </c>
      <c r="D1057" s="815" t="n">
        <f aca="false">E1057*$E$205*M1057</f>
        <v>212.071220910888</v>
      </c>
      <c r="E1057" s="601" t="n">
        <f aca="false">E1056+$C$204</f>
        <v>13.4494686016545</v>
      </c>
      <c r="F1057" s="816" t="n">
        <f aca="false">F1056+1</f>
        <v>842</v>
      </c>
      <c r="G1057" s="775" t="n">
        <f aca="false">C1057</f>
        <v>122305.709124712</v>
      </c>
      <c r="H1057" s="817" t="n">
        <f aca="false">1000*(E1057-E1056)</f>
        <v>9.99999999999979</v>
      </c>
      <c r="I1057" s="5"/>
      <c r="J1057" s="818" t="n">
        <f aca="false">1000*(E1057-$E$215)/(B1057-$B$215)</f>
        <v>11.8692040719378</v>
      </c>
      <c r="K1057" s="732" t="n">
        <f aca="false">AVERAGE($E$216:E1057)</f>
        <v>9.23544247338857</v>
      </c>
      <c r="L1057" s="819" t="n">
        <f aca="false">L1056+1</f>
        <v>842</v>
      </c>
      <c r="M1057" s="820" t="n">
        <f aca="false">IF(B1057&lt;$E$104,$E$105,$E$106)</f>
        <v>3</v>
      </c>
      <c r="N1057" s="821" t="n">
        <f aca="false">IF(B1057&lt;$E$104,$E$105,$E$111)</f>
        <v>2.5</v>
      </c>
      <c r="O1057" s="822" t="n">
        <f aca="false">E1057*$E$205*N1057</f>
        <v>176.72601742574</v>
      </c>
      <c r="P1057" s="823" t="n">
        <f aca="false">P1056+O1057</f>
        <v>101973.10487097</v>
      </c>
      <c r="Q1057" s="606" t="n">
        <f aca="false">Q1056+1</f>
        <v>842</v>
      </c>
      <c r="R1057" s="824" t="n">
        <f aca="false">R1056-1</f>
        <v>-842</v>
      </c>
      <c r="S1057" s="5"/>
      <c r="T1057" s="5"/>
      <c r="U1057" s="5"/>
      <c r="V1057" s="10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02"/>
      <c r="AU1057" s="502"/>
      <c r="AV1057" s="606"/>
      <c r="AW1057" s="502"/>
      <c r="AX1057" s="502"/>
      <c r="AY1057" s="502"/>
      <c r="AZ1057" s="502"/>
      <c r="BA1057" s="502"/>
      <c r="BB1057" s="502"/>
      <c r="BC1057" s="502"/>
      <c r="BD1057" s="502"/>
      <c r="BE1057" s="502"/>
      <c r="BF1057" s="502"/>
      <c r="BG1057" s="502"/>
      <c r="BH1057" s="502"/>
      <c r="BI1057" s="502"/>
      <c r="BJ1057" s="502"/>
      <c r="BK1057" s="502"/>
      <c r="BL1057" s="502"/>
      <c r="BM1057" s="502"/>
      <c r="BN1057" s="502"/>
      <c r="BO1057" s="502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/>
      <c r="BZ1057" s="5"/>
      <c r="CA1057" s="5"/>
      <c r="CB1057" s="5"/>
      <c r="CC1057" s="5"/>
      <c r="CD1057" s="5"/>
      <c r="CE1057" s="5"/>
      <c r="CF1057" s="5"/>
      <c r="CG1057" s="5"/>
      <c r="CH1057" s="5"/>
      <c r="CI1057" s="5"/>
      <c r="CJ1057" s="5"/>
      <c r="CK1057" s="5"/>
      <c r="CL1057" s="5"/>
      <c r="CM1057" s="5"/>
      <c r="CN1057" s="5"/>
      <c r="CO1057" s="5"/>
      <c r="CP1057" s="5"/>
      <c r="CQ1057" s="5"/>
      <c r="CR1057" s="5"/>
      <c r="CS1057" s="5"/>
      <c r="CT1057" s="5"/>
      <c r="CU1057" s="5"/>
      <c r="CV1057" s="5"/>
      <c r="CW1057" s="5"/>
      <c r="CX1057" s="5"/>
      <c r="CY1057" s="5"/>
      <c r="CZ1057" s="5"/>
      <c r="DA1057" s="5"/>
      <c r="DB1057" s="5"/>
      <c r="DC1057" s="5"/>
      <c r="DD1057" s="5"/>
      <c r="DE1057" s="5"/>
      <c r="DF1057" s="5"/>
      <c r="DG1057" s="5"/>
      <c r="DH1057" s="5"/>
      <c r="DI1057" s="5"/>
      <c r="DJ1057" s="5"/>
      <c r="DK1057" s="5"/>
      <c r="DL1057" s="5"/>
      <c r="DM1057" s="5"/>
      <c r="DN1057" s="5"/>
      <c r="DO1057" s="5"/>
      <c r="DP1057" s="5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</row>
    <row r="1058" s="504" customFormat="true" ht="12.75" hidden="true" customHeight="true" outlineLevel="0" collapsed="false">
      <c r="A1058" s="5"/>
      <c r="B1058" s="813" t="n">
        <f aca="false">B1057+1</f>
        <v>843</v>
      </c>
      <c r="C1058" s="814" t="n">
        <f aca="false">C1057+D1058</f>
        <v>122517.938025623</v>
      </c>
      <c r="D1058" s="815" t="n">
        <f aca="false">E1058*$E$205*M1058</f>
        <v>212.228900910888</v>
      </c>
      <c r="E1058" s="601" t="n">
        <f aca="false">E1057+$C$204</f>
        <v>13.4594686016545</v>
      </c>
      <c r="F1058" s="816" t="n">
        <f aca="false">F1057+1</f>
        <v>843</v>
      </c>
      <c r="G1058" s="775" t="n">
        <f aca="false">C1058</f>
        <v>122517.938025623</v>
      </c>
      <c r="H1058" s="817" t="n">
        <f aca="false">1000*(E1058-E1057)</f>
        <v>9.99999999999979</v>
      </c>
      <c r="I1058" s="5"/>
      <c r="J1058" s="818" t="n">
        <f aca="false">1000*(E1058-$E$215)/(B1058-$B$215)</f>
        <v>11.8669867480091</v>
      </c>
      <c r="K1058" s="732" t="n">
        <f aca="false">AVERAGE($E$216:E1058)</f>
        <v>9.24045318053954</v>
      </c>
      <c r="L1058" s="819" t="n">
        <f aca="false">L1057+1</f>
        <v>843</v>
      </c>
      <c r="M1058" s="820" t="n">
        <f aca="false">IF(B1058&lt;$E$104,$E$105,$E$106)</f>
        <v>3</v>
      </c>
      <c r="N1058" s="821" t="n">
        <f aca="false">IF(B1058&lt;$E$104,$E$105,$E$111)</f>
        <v>2.5</v>
      </c>
      <c r="O1058" s="822" t="n">
        <f aca="false">E1058*$E$205*N1058</f>
        <v>176.85741742574</v>
      </c>
      <c r="P1058" s="823" t="n">
        <f aca="false">P1057+O1058</f>
        <v>102149.962288395</v>
      </c>
      <c r="Q1058" s="606" t="n">
        <f aca="false">Q1057+1</f>
        <v>843</v>
      </c>
      <c r="R1058" s="824" t="n">
        <f aca="false">R1057-1</f>
        <v>-843</v>
      </c>
      <c r="S1058" s="5"/>
      <c r="T1058" s="5"/>
      <c r="U1058" s="5"/>
      <c r="V1058" s="10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02"/>
      <c r="AU1058" s="502"/>
      <c r="AV1058" s="606"/>
      <c r="AW1058" s="502"/>
      <c r="AX1058" s="502"/>
      <c r="AY1058" s="502"/>
      <c r="AZ1058" s="502"/>
      <c r="BA1058" s="502"/>
      <c r="BB1058" s="502"/>
      <c r="BC1058" s="502"/>
      <c r="BD1058" s="502"/>
      <c r="BE1058" s="502"/>
      <c r="BF1058" s="502"/>
      <c r="BG1058" s="502"/>
      <c r="BH1058" s="502"/>
      <c r="BI1058" s="502"/>
      <c r="BJ1058" s="502"/>
      <c r="BK1058" s="502"/>
      <c r="BL1058" s="502"/>
      <c r="BM1058" s="502"/>
      <c r="BN1058" s="502"/>
      <c r="BO1058" s="502"/>
      <c r="BP1058" s="5"/>
      <c r="BQ1058" s="5"/>
      <c r="BR1058" s="5"/>
      <c r="BS1058" s="5"/>
      <c r="BT1058" s="5"/>
      <c r="BU1058" s="5"/>
      <c r="BV1058" s="5"/>
      <c r="BW1058" s="5"/>
      <c r="BX1058" s="5"/>
      <c r="BY1058" s="5"/>
      <c r="BZ1058" s="5"/>
      <c r="CA1058" s="5"/>
      <c r="CB1058" s="5"/>
      <c r="CC1058" s="5"/>
      <c r="CD1058" s="5"/>
      <c r="CE1058" s="5"/>
      <c r="CF1058" s="5"/>
      <c r="CG1058" s="5"/>
      <c r="CH1058" s="5"/>
      <c r="CI1058" s="5"/>
      <c r="CJ1058" s="5"/>
      <c r="CK1058" s="5"/>
      <c r="CL1058" s="5"/>
      <c r="CM1058" s="5"/>
      <c r="CN1058" s="5"/>
      <c r="CO1058" s="5"/>
      <c r="CP1058" s="5"/>
      <c r="CQ1058" s="5"/>
      <c r="CR1058" s="5"/>
      <c r="CS1058" s="5"/>
      <c r="CT1058" s="5"/>
      <c r="CU1058" s="5"/>
      <c r="CV1058" s="5"/>
      <c r="CW1058" s="5"/>
      <c r="CX1058" s="5"/>
      <c r="CY1058" s="5"/>
      <c r="CZ1058" s="5"/>
      <c r="DA1058" s="5"/>
      <c r="DB1058" s="5"/>
      <c r="DC1058" s="5"/>
      <c r="DD1058" s="5"/>
      <c r="DE1058" s="5"/>
      <c r="DF1058" s="5"/>
      <c r="DG1058" s="5"/>
      <c r="DH1058" s="5"/>
      <c r="DI1058" s="5"/>
      <c r="DJ1058" s="5"/>
      <c r="DK1058" s="5"/>
      <c r="DL1058" s="5"/>
      <c r="DM1058" s="5"/>
      <c r="DN1058" s="5"/>
      <c r="DO1058" s="5"/>
      <c r="DP1058" s="5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</row>
    <row r="1059" s="504" customFormat="true" ht="12.75" hidden="true" customHeight="true" outlineLevel="0" collapsed="false">
      <c r="A1059" s="5"/>
      <c r="B1059" s="813" t="n">
        <f aca="false">B1058+1</f>
        <v>844</v>
      </c>
      <c r="C1059" s="814" t="n">
        <f aca="false">C1058+D1059</f>
        <v>122730.324606534</v>
      </c>
      <c r="D1059" s="815" t="n">
        <f aca="false">E1059*$E$205*M1059</f>
        <v>212.386580910888</v>
      </c>
      <c r="E1059" s="601" t="n">
        <f aca="false">E1058+$C$204</f>
        <v>13.4694686016545</v>
      </c>
      <c r="F1059" s="816" t="n">
        <f aca="false">F1058+1</f>
        <v>844</v>
      </c>
      <c r="G1059" s="775" t="n">
        <f aca="false">C1059</f>
        <v>122730.324606534</v>
      </c>
      <c r="H1059" s="817" t="n">
        <f aca="false">1000*(E1059-E1058)</f>
        <v>9.99999999999979</v>
      </c>
      <c r="I1059" s="5"/>
      <c r="J1059" s="818" t="n">
        <f aca="false">1000*(E1059-$E$215)/(B1059-$B$215)</f>
        <v>11.8647746784024</v>
      </c>
      <c r="K1059" s="732" t="n">
        <f aca="false">AVERAGE($E$216:E1059)</f>
        <v>9.24546386231811</v>
      </c>
      <c r="L1059" s="819" t="n">
        <f aca="false">L1058+1</f>
        <v>844</v>
      </c>
      <c r="M1059" s="820" t="n">
        <f aca="false">IF(B1059&lt;$E$104,$E$105,$E$106)</f>
        <v>3</v>
      </c>
      <c r="N1059" s="821" t="n">
        <f aca="false">IF(B1059&lt;$E$104,$E$105,$E$111)</f>
        <v>2.5</v>
      </c>
      <c r="O1059" s="822" t="n">
        <f aca="false">E1059*$E$205*N1059</f>
        <v>176.98881742574</v>
      </c>
      <c r="P1059" s="823" t="n">
        <f aca="false">P1058+O1059</f>
        <v>102326.951105821</v>
      </c>
      <c r="Q1059" s="606" t="n">
        <f aca="false">Q1058+1</f>
        <v>844</v>
      </c>
      <c r="R1059" s="824" t="n">
        <f aca="false">R1058-1</f>
        <v>-844</v>
      </c>
      <c r="S1059" s="5"/>
      <c r="T1059" s="5"/>
      <c r="U1059" s="5"/>
      <c r="V1059" s="10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02"/>
      <c r="AU1059" s="502"/>
      <c r="AV1059" s="606"/>
      <c r="AW1059" s="502"/>
      <c r="AX1059" s="502"/>
      <c r="AY1059" s="502"/>
      <c r="AZ1059" s="502"/>
      <c r="BA1059" s="502"/>
      <c r="BB1059" s="502"/>
      <c r="BC1059" s="502"/>
      <c r="BD1059" s="502"/>
      <c r="BE1059" s="502"/>
      <c r="BF1059" s="502"/>
      <c r="BG1059" s="502"/>
      <c r="BH1059" s="502"/>
      <c r="BI1059" s="502"/>
      <c r="BJ1059" s="502"/>
      <c r="BK1059" s="502"/>
      <c r="BL1059" s="502"/>
      <c r="BM1059" s="502"/>
      <c r="BN1059" s="502"/>
      <c r="BO1059" s="502"/>
      <c r="BP1059" s="5"/>
      <c r="BQ1059" s="5"/>
      <c r="BR1059" s="5"/>
      <c r="BS1059" s="5"/>
      <c r="BT1059" s="5"/>
      <c r="BU1059" s="5"/>
      <c r="BV1059" s="5"/>
      <c r="BW1059" s="5"/>
      <c r="BX1059" s="5"/>
      <c r="BY1059" s="5"/>
      <c r="BZ1059" s="5"/>
      <c r="CA1059" s="5"/>
      <c r="CB1059" s="5"/>
      <c r="CC1059" s="5"/>
      <c r="CD1059" s="5"/>
      <c r="CE1059" s="5"/>
      <c r="CF1059" s="5"/>
      <c r="CG1059" s="5"/>
      <c r="CH1059" s="5"/>
      <c r="CI1059" s="5"/>
      <c r="CJ1059" s="5"/>
      <c r="CK1059" s="5"/>
      <c r="CL1059" s="5"/>
      <c r="CM1059" s="5"/>
      <c r="CN1059" s="5"/>
      <c r="CO1059" s="5"/>
      <c r="CP1059" s="5"/>
      <c r="CQ1059" s="5"/>
      <c r="CR1059" s="5"/>
      <c r="CS1059" s="5"/>
      <c r="CT1059" s="5"/>
      <c r="CU1059" s="5"/>
      <c r="CV1059" s="5"/>
      <c r="CW1059" s="5"/>
      <c r="CX1059" s="5"/>
      <c r="CY1059" s="5"/>
      <c r="CZ1059" s="5"/>
      <c r="DA1059" s="5"/>
      <c r="DB1059" s="5"/>
      <c r="DC1059" s="5"/>
      <c r="DD1059" s="5"/>
      <c r="DE1059" s="5"/>
      <c r="DF1059" s="5"/>
      <c r="DG1059" s="5"/>
      <c r="DH1059" s="5"/>
      <c r="DI1059" s="5"/>
      <c r="DJ1059" s="5"/>
      <c r="DK1059" s="5"/>
      <c r="DL1059" s="5"/>
      <c r="DM1059" s="5"/>
      <c r="DN1059" s="5"/>
      <c r="DO1059" s="5"/>
      <c r="DP1059" s="5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</row>
    <row r="1060" s="504" customFormat="true" ht="12.75" hidden="true" customHeight="true" outlineLevel="0" collapsed="false">
      <c r="A1060" s="5"/>
      <c r="B1060" s="813" t="n">
        <f aca="false">B1059+1</f>
        <v>845</v>
      </c>
      <c r="C1060" s="814" t="n">
        <f aca="false">C1059+D1060</f>
        <v>122942.868867445</v>
      </c>
      <c r="D1060" s="815" t="n">
        <f aca="false">E1060*$E$205*M1060</f>
        <v>212.544260910888</v>
      </c>
      <c r="E1060" s="601" t="n">
        <f aca="false">E1059+$C$204</f>
        <v>13.4794686016545</v>
      </c>
      <c r="F1060" s="816" t="n">
        <f aca="false">F1059+1</f>
        <v>845</v>
      </c>
      <c r="G1060" s="775" t="n">
        <f aca="false">C1060</f>
        <v>122942.868867445</v>
      </c>
      <c r="H1060" s="817" t="n">
        <f aca="false">1000*(E1060-E1059)</f>
        <v>9.99999999999979</v>
      </c>
      <c r="I1060" s="5"/>
      <c r="J1060" s="818" t="n">
        <f aca="false">1000*(E1060-$E$215)/(B1060-$B$215)</f>
        <v>11.8625678444635</v>
      </c>
      <c r="K1060" s="732" t="n">
        <f aca="false">AVERAGE($E$216:E1060)</f>
        <v>9.25047451881436</v>
      </c>
      <c r="L1060" s="819" t="n">
        <f aca="false">L1059+1</f>
        <v>845</v>
      </c>
      <c r="M1060" s="820" t="n">
        <f aca="false">IF(B1060&lt;$E$104,$E$105,$E$106)</f>
        <v>3</v>
      </c>
      <c r="N1060" s="821" t="n">
        <f aca="false">IF(B1060&lt;$E$104,$E$105,$E$111)</f>
        <v>2.5</v>
      </c>
      <c r="O1060" s="822" t="n">
        <f aca="false">E1060*$E$205*N1060</f>
        <v>177.12021742574</v>
      </c>
      <c r="P1060" s="823" t="n">
        <f aca="false">P1059+O1060</f>
        <v>102504.071323247</v>
      </c>
      <c r="Q1060" s="606" t="n">
        <f aca="false">Q1059+1</f>
        <v>845</v>
      </c>
      <c r="R1060" s="824" t="n">
        <f aca="false">R1059-1</f>
        <v>-845</v>
      </c>
      <c r="S1060" s="5"/>
      <c r="T1060" s="5"/>
      <c r="U1060" s="5"/>
      <c r="V1060" s="10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02"/>
      <c r="AU1060" s="502"/>
      <c r="AV1060" s="606"/>
      <c r="AW1060" s="502"/>
      <c r="AX1060" s="502"/>
      <c r="AY1060" s="502"/>
      <c r="AZ1060" s="502"/>
      <c r="BA1060" s="502"/>
      <c r="BB1060" s="502"/>
      <c r="BC1060" s="502"/>
      <c r="BD1060" s="502"/>
      <c r="BE1060" s="502"/>
      <c r="BF1060" s="502"/>
      <c r="BG1060" s="502"/>
      <c r="BH1060" s="502"/>
      <c r="BI1060" s="502"/>
      <c r="BJ1060" s="502"/>
      <c r="BK1060" s="502"/>
      <c r="BL1060" s="502"/>
      <c r="BM1060" s="502"/>
      <c r="BN1060" s="502"/>
      <c r="BO1060" s="502"/>
      <c r="BP1060" s="5"/>
      <c r="BQ1060" s="5"/>
      <c r="BR1060" s="5"/>
      <c r="BS1060" s="5"/>
      <c r="BT1060" s="5"/>
      <c r="BU1060" s="5"/>
      <c r="BV1060" s="5"/>
      <c r="BW1060" s="5"/>
      <c r="BX1060" s="5"/>
      <c r="BY1060" s="5"/>
      <c r="BZ1060" s="5"/>
      <c r="CA1060" s="5"/>
      <c r="CB1060" s="5"/>
      <c r="CC1060" s="5"/>
      <c r="CD1060" s="5"/>
      <c r="CE1060" s="5"/>
      <c r="CF1060" s="5"/>
      <c r="CG1060" s="5"/>
      <c r="CH1060" s="5"/>
      <c r="CI1060" s="5"/>
      <c r="CJ1060" s="5"/>
      <c r="CK1060" s="5"/>
      <c r="CL1060" s="5"/>
      <c r="CM1060" s="5"/>
      <c r="CN1060" s="5"/>
      <c r="CO1060" s="5"/>
      <c r="CP1060" s="5"/>
      <c r="CQ1060" s="5"/>
      <c r="CR1060" s="5"/>
      <c r="CS1060" s="5"/>
      <c r="CT1060" s="5"/>
      <c r="CU1060" s="5"/>
      <c r="CV1060" s="5"/>
      <c r="CW1060" s="5"/>
      <c r="CX1060" s="5"/>
      <c r="CY1060" s="5"/>
      <c r="CZ1060" s="5"/>
      <c r="DA1060" s="5"/>
      <c r="DB1060" s="5"/>
      <c r="DC1060" s="5"/>
      <c r="DD1060" s="5"/>
      <c r="DE1060" s="5"/>
      <c r="DF1060" s="5"/>
      <c r="DG1060" s="5"/>
      <c r="DH1060" s="5"/>
      <c r="DI1060" s="5"/>
      <c r="DJ1060" s="5"/>
      <c r="DK1060" s="5"/>
      <c r="DL1060" s="5"/>
      <c r="DM1060" s="5"/>
      <c r="DN1060" s="5"/>
      <c r="DO1060" s="5"/>
      <c r="DP1060" s="5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</row>
    <row r="1061" s="504" customFormat="true" ht="12.75" hidden="true" customHeight="true" outlineLevel="0" collapsed="false">
      <c r="A1061" s="5"/>
      <c r="B1061" s="813" t="n">
        <f aca="false">B1060+1</f>
        <v>846</v>
      </c>
      <c r="C1061" s="814" t="n">
        <f aca="false">C1060+D1061</f>
        <v>123155.570808356</v>
      </c>
      <c r="D1061" s="815" t="n">
        <f aca="false">E1061*$E$205*M1061</f>
        <v>212.701940910888</v>
      </c>
      <c r="E1061" s="601" t="n">
        <f aca="false">E1060+$C$204</f>
        <v>13.4894686016545</v>
      </c>
      <c r="F1061" s="816" t="n">
        <f aca="false">F1060+1</f>
        <v>846</v>
      </c>
      <c r="G1061" s="775" t="n">
        <f aca="false">C1061</f>
        <v>123155.570808356</v>
      </c>
      <c r="H1061" s="817" t="n">
        <f aca="false">1000*(E1061-E1060)</f>
        <v>9.99999999999979</v>
      </c>
      <c r="I1061" s="5"/>
      <c r="J1061" s="818" t="n">
        <f aca="false">1000*(E1061-$E$215)/(B1061-$B$215)</f>
        <v>11.8603662276261</v>
      </c>
      <c r="K1061" s="732" t="n">
        <f aca="false">AVERAGE($E$216:E1061)</f>
        <v>9.25548515011796</v>
      </c>
      <c r="L1061" s="819" t="n">
        <f aca="false">L1060+1</f>
        <v>846</v>
      </c>
      <c r="M1061" s="820" t="n">
        <f aca="false">IF(B1061&lt;$E$104,$E$105,$E$106)</f>
        <v>3</v>
      </c>
      <c r="N1061" s="821" t="n">
        <f aca="false">IF(B1061&lt;$E$104,$E$105,$E$111)</f>
        <v>2.5</v>
      </c>
      <c r="O1061" s="822" t="n">
        <f aca="false">E1061*$E$205*N1061</f>
        <v>177.25161742574</v>
      </c>
      <c r="P1061" s="823" t="n">
        <f aca="false">P1060+O1061</f>
        <v>102681.322940673</v>
      </c>
      <c r="Q1061" s="606" t="n">
        <f aca="false">Q1060+1</f>
        <v>846</v>
      </c>
      <c r="R1061" s="824" t="n">
        <f aca="false">R1060-1</f>
        <v>-846</v>
      </c>
      <c r="S1061" s="5"/>
      <c r="T1061" s="5"/>
      <c r="U1061" s="5"/>
      <c r="V1061" s="10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02"/>
      <c r="AU1061" s="502"/>
      <c r="AV1061" s="606"/>
      <c r="AW1061" s="502"/>
      <c r="AX1061" s="502"/>
      <c r="AY1061" s="502"/>
      <c r="AZ1061" s="502"/>
      <c r="BA1061" s="502"/>
      <c r="BB1061" s="502"/>
      <c r="BC1061" s="502"/>
      <c r="BD1061" s="502"/>
      <c r="BE1061" s="502"/>
      <c r="BF1061" s="502"/>
      <c r="BG1061" s="502"/>
      <c r="BH1061" s="502"/>
      <c r="BI1061" s="502"/>
      <c r="BJ1061" s="502"/>
      <c r="BK1061" s="502"/>
      <c r="BL1061" s="502"/>
      <c r="BM1061" s="502"/>
      <c r="BN1061" s="502"/>
      <c r="BO1061" s="502"/>
      <c r="BP1061" s="5"/>
      <c r="BQ1061" s="5"/>
      <c r="BR1061" s="5"/>
      <c r="BS1061" s="5"/>
      <c r="BT1061" s="5"/>
      <c r="BU1061" s="5"/>
      <c r="BV1061" s="5"/>
      <c r="BW1061" s="5"/>
      <c r="BX1061" s="5"/>
      <c r="BY1061" s="5"/>
      <c r="BZ1061" s="5"/>
      <c r="CA1061" s="5"/>
      <c r="CB1061" s="5"/>
      <c r="CC1061" s="5"/>
      <c r="CD1061" s="5"/>
      <c r="CE1061" s="5"/>
      <c r="CF1061" s="5"/>
      <c r="CG1061" s="5"/>
      <c r="CH1061" s="5"/>
      <c r="CI1061" s="5"/>
      <c r="CJ1061" s="5"/>
      <c r="CK1061" s="5"/>
      <c r="CL1061" s="5"/>
      <c r="CM1061" s="5"/>
      <c r="CN1061" s="5"/>
      <c r="CO1061" s="5"/>
      <c r="CP1061" s="5"/>
      <c r="CQ1061" s="5"/>
      <c r="CR1061" s="5"/>
      <c r="CS1061" s="5"/>
      <c r="CT1061" s="5"/>
      <c r="CU1061" s="5"/>
      <c r="CV1061" s="5"/>
      <c r="CW1061" s="5"/>
      <c r="CX1061" s="5"/>
      <c r="CY1061" s="5"/>
      <c r="CZ1061" s="5"/>
      <c r="DA1061" s="5"/>
      <c r="DB1061" s="5"/>
      <c r="DC1061" s="5"/>
      <c r="DD1061" s="5"/>
      <c r="DE1061" s="5"/>
      <c r="DF1061" s="5"/>
      <c r="DG1061" s="5"/>
      <c r="DH1061" s="5"/>
      <c r="DI1061" s="5"/>
      <c r="DJ1061" s="5"/>
      <c r="DK1061" s="5"/>
      <c r="DL1061" s="5"/>
      <c r="DM1061" s="5"/>
      <c r="DN1061" s="5"/>
      <c r="DO1061" s="5"/>
      <c r="DP1061" s="5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</row>
    <row r="1062" s="504" customFormat="true" ht="12.75" hidden="true" customHeight="true" outlineLevel="0" collapsed="false">
      <c r="A1062" s="5"/>
      <c r="B1062" s="813" t="n">
        <f aca="false">B1061+1</f>
        <v>847</v>
      </c>
      <c r="C1062" s="814" t="n">
        <f aca="false">C1061+D1062</f>
        <v>123368.430429266</v>
      </c>
      <c r="D1062" s="815" t="n">
        <f aca="false">E1062*$E$205*M1062</f>
        <v>212.859620910888</v>
      </c>
      <c r="E1062" s="601" t="n">
        <f aca="false">E1061+$C$204</f>
        <v>13.4994686016545</v>
      </c>
      <c r="F1062" s="816" t="n">
        <f aca="false">F1061+1</f>
        <v>847</v>
      </c>
      <c r="G1062" s="775" t="n">
        <f aca="false">C1062</f>
        <v>123368.430429266</v>
      </c>
      <c r="H1062" s="817" t="n">
        <f aca="false">1000*(E1062-E1061)</f>
        <v>9.99999999999979</v>
      </c>
      <c r="I1062" s="5"/>
      <c r="J1062" s="818" t="n">
        <f aca="false">1000*(E1062-$E$215)/(B1062-$B$215)</f>
        <v>11.8581698094116</v>
      </c>
      <c r="K1062" s="732" t="n">
        <f aca="false">AVERAGE($E$216:E1062)</f>
        <v>9.26049575631812</v>
      </c>
      <c r="L1062" s="819" t="n">
        <f aca="false">L1061+1</f>
        <v>847</v>
      </c>
      <c r="M1062" s="820" t="n">
        <f aca="false">IF(B1062&lt;$E$104,$E$105,$E$106)</f>
        <v>3</v>
      </c>
      <c r="N1062" s="821" t="n">
        <f aca="false">IF(B1062&lt;$E$104,$E$105,$E$111)</f>
        <v>2.5</v>
      </c>
      <c r="O1062" s="822" t="n">
        <f aca="false">E1062*$E$205*N1062</f>
        <v>177.38301742574</v>
      </c>
      <c r="P1062" s="823" t="n">
        <f aca="false">P1061+O1062</f>
        <v>102858.705958098</v>
      </c>
      <c r="Q1062" s="606" t="n">
        <f aca="false">Q1061+1</f>
        <v>847</v>
      </c>
      <c r="R1062" s="824" t="n">
        <f aca="false">R1061-1</f>
        <v>-847</v>
      </c>
      <c r="S1062" s="5"/>
      <c r="T1062" s="5"/>
      <c r="U1062" s="5"/>
      <c r="V1062" s="10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02"/>
      <c r="AU1062" s="502"/>
      <c r="AV1062" s="606"/>
      <c r="AW1062" s="502"/>
      <c r="AX1062" s="502"/>
      <c r="AY1062" s="502"/>
      <c r="AZ1062" s="502"/>
      <c r="BA1062" s="502"/>
      <c r="BB1062" s="502"/>
      <c r="BC1062" s="502"/>
      <c r="BD1062" s="502"/>
      <c r="BE1062" s="502"/>
      <c r="BF1062" s="502"/>
      <c r="BG1062" s="502"/>
      <c r="BH1062" s="502"/>
      <c r="BI1062" s="502"/>
      <c r="BJ1062" s="502"/>
      <c r="BK1062" s="502"/>
      <c r="BL1062" s="502"/>
      <c r="BM1062" s="502"/>
      <c r="BN1062" s="502"/>
      <c r="BO1062" s="502"/>
      <c r="BP1062" s="5"/>
      <c r="BQ1062" s="5"/>
      <c r="BR1062" s="5"/>
      <c r="BS1062" s="5"/>
      <c r="BT1062" s="5"/>
      <c r="BU1062" s="5"/>
      <c r="BV1062" s="5"/>
      <c r="BW1062" s="5"/>
      <c r="BX1062" s="5"/>
      <c r="BY1062" s="5"/>
      <c r="BZ1062" s="5"/>
      <c r="CA1062" s="5"/>
      <c r="CB1062" s="5"/>
      <c r="CC1062" s="5"/>
      <c r="CD1062" s="5"/>
      <c r="CE1062" s="5"/>
      <c r="CF1062" s="5"/>
      <c r="CG1062" s="5"/>
      <c r="CH1062" s="5"/>
      <c r="CI1062" s="5"/>
      <c r="CJ1062" s="5"/>
      <c r="CK1062" s="5"/>
      <c r="CL1062" s="5"/>
      <c r="CM1062" s="5"/>
      <c r="CN1062" s="5"/>
      <c r="CO1062" s="5"/>
      <c r="CP1062" s="5"/>
      <c r="CQ1062" s="5"/>
      <c r="CR1062" s="5"/>
      <c r="CS1062" s="5"/>
      <c r="CT1062" s="5"/>
      <c r="CU1062" s="5"/>
      <c r="CV1062" s="5"/>
      <c r="CW1062" s="5"/>
      <c r="CX1062" s="5"/>
      <c r="CY1062" s="5"/>
      <c r="CZ1062" s="5"/>
      <c r="DA1062" s="5"/>
      <c r="DB1062" s="5"/>
      <c r="DC1062" s="5"/>
      <c r="DD1062" s="5"/>
      <c r="DE1062" s="5"/>
      <c r="DF1062" s="5"/>
      <c r="DG1062" s="5"/>
      <c r="DH1062" s="5"/>
      <c r="DI1062" s="5"/>
      <c r="DJ1062" s="5"/>
      <c r="DK1062" s="5"/>
      <c r="DL1062" s="5"/>
      <c r="DM1062" s="5"/>
      <c r="DN1062" s="5"/>
      <c r="DO1062" s="5"/>
      <c r="DP1062" s="5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</row>
    <row r="1063" s="504" customFormat="true" ht="12.75" hidden="true" customHeight="true" outlineLevel="0" collapsed="false">
      <c r="A1063" s="5"/>
      <c r="B1063" s="813" t="n">
        <f aca="false">B1062+1</f>
        <v>848</v>
      </c>
      <c r="C1063" s="814" t="n">
        <f aca="false">C1062+D1063</f>
        <v>123581.447730177</v>
      </c>
      <c r="D1063" s="815" t="n">
        <f aca="false">E1063*$E$205*M1063</f>
        <v>213.017300910888</v>
      </c>
      <c r="E1063" s="601" t="n">
        <f aca="false">E1062+$C$204</f>
        <v>13.5094686016545</v>
      </c>
      <c r="F1063" s="816" t="n">
        <f aca="false">F1062+1</f>
        <v>848</v>
      </c>
      <c r="G1063" s="775" t="n">
        <f aca="false">C1063</f>
        <v>123581.447730177</v>
      </c>
      <c r="H1063" s="817" t="n">
        <f aca="false">1000*(E1063-E1062)</f>
        <v>9.99999999999979</v>
      </c>
      <c r="I1063" s="5"/>
      <c r="J1063" s="818" t="n">
        <f aca="false">1000*(E1063-$E$215)/(B1063-$B$215)</f>
        <v>11.8559785714289</v>
      </c>
      <c r="K1063" s="732" t="n">
        <f aca="false">AVERAGE($E$216:E1063)</f>
        <v>9.26550633750366</v>
      </c>
      <c r="L1063" s="819" t="n">
        <f aca="false">L1062+1</f>
        <v>848</v>
      </c>
      <c r="M1063" s="820" t="n">
        <f aca="false">IF(B1063&lt;$E$104,$E$105,$E$106)</f>
        <v>3</v>
      </c>
      <c r="N1063" s="821" t="n">
        <f aca="false">IF(B1063&lt;$E$104,$E$105,$E$111)</f>
        <v>2.5</v>
      </c>
      <c r="O1063" s="822" t="n">
        <f aca="false">E1063*$E$205*N1063</f>
        <v>177.51441742574</v>
      </c>
      <c r="P1063" s="823" t="n">
        <f aca="false">P1062+O1063</f>
        <v>103036.220375524</v>
      </c>
      <c r="Q1063" s="606" t="n">
        <f aca="false">Q1062+1</f>
        <v>848</v>
      </c>
      <c r="R1063" s="824" t="n">
        <f aca="false">R1062-1</f>
        <v>-848</v>
      </c>
      <c r="S1063" s="5"/>
      <c r="T1063" s="5"/>
      <c r="U1063" s="5"/>
      <c r="V1063" s="10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02"/>
      <c r="AU1063" s="502"/>
      <c r="AV1063" s="606"/>
      <c r="AW1063" s="502"/>
      <c r="AX1063" s="502"/>
      <c r="AY1063" s="502"/>
      <c r="AZ1063" s="502"/>
      <c r="BA1063" s="502"/>
      <c r="BB1063" s="502"/>
      <c r="BC1063" s="502"/>
      <c r="BD1063" s="502"/>
      <c r="BE1063" s="502"/>
      <c r="BF1063" s="502"/>
      <c r="BG1063" s="502"/>
      <c r="BH1063" s="502"/>
      <c r="BI1063" s="502"/>
      <c r="BJ1063" s="502"/>
      <c r="BK1063" s="502"/>
      <c r="BL1063" s="502"/>
      <c r="BM1063" s="502"/>
      <c r="BN1063" s="502"/>
      <c r="BO1063" s="502"/>
      <c r="BP1063" s="5"/>
      <c r="BQ1063" s="5"/>
      <c r="BR1063" s="5"/>
      <c r="BS1063" s="5"/>
      <c r="BT1063" s="5"/>
      <c r="BU1063" s="5"/>
      <c r="BV1063" s="5"/>
      <c r="BW1063" s="5"/>
      <c r="BX1063" s="5"/>
      <c r="BY1063" s="5"/>
      <c r="BZ1063" s="5"/>
      <c r="CA1063" s="5"/>
      <c r="CB1063" s="5"/>
      <c r="CC1063" s="5"/>
      <c r="CD1063" s="5"/>
      <c r="CE1063" s="5"/>
      <c r="CF1063" s="5"/>
      <c r="CG1063" s="5"/>
      <c r="CH1063" s="5"/>
      <c r="CI1063" s="5"/>
      <c r="CJ1063" s="5"/>
      <c r="CK1063" s="5"/>
      <c r="CL1063" s="5"/>
      <c r="CM1063" s="5"/>
      <c r="CN1063" s="5"/>
      <c r="CO1063" s="5"/>
      <c r="CP1063" s="5"/>
      <c r="CQ1063" s="5"/>
      <c r="CR1063" s="5"/>
      <c r="CS1063" s="5"/>
      <c r="CT1063" s="5"/>
      <c r="CU1063" s="5"/>
      <c r="CV1063" s="5"/>
      <c r="CW1063" s="5"/>
      <c r="CX1063" s="5"/>
      <c r="CY1063" s="5"/>
      <c r="CZ1063" s="5"/>
      <c r="DA1063" s="5"/>
      <c r="DB1063" s="5"/>
      <c r="DC1063" s="5"/>
      <c r="DD1063" s="5"/>
      <c r="DE1063" s="5"/>
      <c r="DF1063" s="5"/>
      <c r="DG1063" s="5"/>
      <c r="DH1063" s="5"/>
      <c r="DI1063" s="5"/>
      <c r="DJ1063" s="5"/>
      <c r="DK1063" s="5"/>
      <c r="DL1063" s="5"/>
      <c r="DM1063" s="5"/>
      <c r="DN1063" s="5"/>
      <c r="DO1063" s="5"/>
      <c r="DP1063" s="5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</row>
    <row r="1064" s="504" customFormat="true" ht="12.75" hidden="true" customHeight="true" outlineLevel="0" collapsed="false">
      <c r="A1064" s="5"/>
      <c r="B1064" s="813" t="n">
        <f aca="false">B1063+1</f>
        <v>849</v>
      </c>
      <c r="C1064" s="814" t="n">
        <f aca="false">C1063+D1064</f>
        <v>123794.622711088</v>
      </c>
      <c r="D1064" s="815" t="n">
        <f aca="false">E1064*$E$205*M1064</f>
        <v>213.174980910888</v>
      </c>
      <c r="E1064" s="601" t="n">
        <f aca="false">E1063+$C$204</f>
        <v>13.5194686016545</v>
      </c>
      <c r="F1064" s="816" t="n">
        <f aca="false">F1063+1</f>
        <v>849</v>
      </c>
      <c r="G1064" s="775" t="n">
        <f aca="false">C1064</f>
        <v>123794.622711088</v>
      </c>
      <c r="H1064" s="817" t="n">
        <f aca="false">1000*(E1064-E1063)</f>
        <v>9.99999999999979</v>
      </c>
      <c r="I1064" s="5"/>
      <c r="J1064" s="818" t="n">
        <f aca="false">1000*(E1064-$E$215)/(B1064-$B$215)</f>
        <v>11.853792495373</v>
      </c>
      <c r="K1064" s="732" t="n">
        <f aca="false">AVERAGE($E$216:E1064)</f>
        <v>9.27051689376296</v>
      </c>
      <c r="L1064" s="819" t="n">
        <f aca="false">L1063+1</f>
        <v>849</v>
      </c>
      <c r="M1064" s="820" t="n">
        <f aca="false">IF(B1064&lt;$E$104,$E$105,$E$106)</f>
        <v>3</v>
      </c>
      <c r="N1064" s="821" t="n">
        <f aca="false">IF(B1064&lt;$E$104,$E$105,$E$111)</f>
        <v>2.5</v>
      </c>
      <c r="O1064" s="822" t="n">
        <f aca="false">E1064*$E$205*N1064</f>
        <v>177.64581742574</v>
      </c>
      <c r="P1064" s="823" t="n">
        <f aca="false">P1063+O1064</f>
        <v>103213.86619295</v>
      </c>
      <c r="Q1064" s="606" t="n">
        <f aca="false">Q1063+1</f>
        <v>849</v>
      </c>
      <c r="R1064" s="824" t="n">
        <f aca="false">R1063-1</f>
        <v>-849</v>
      </c>
      <c r="S1064" s="5"/>
      <c r="T1064" s="5"/>
      <c r="U1064" s="5"/>
      <c r="V1064" s="10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02"/>
      <c r="AU1064" s="502"/>
      <c r="AV1064" s="606"/>
      <c r="AW1064" s="502"/>
      <c r="AX1064" s="502"/>
      <c r="AY1064" s="502"/>
      <c r="AZ1064" s="502"/>
      <c r="BA1064" s="502"/>
      <c r="BB1064" s="502"/>
      <c r="BC1064" s="502"/>
      <c r="BD1064" s="502"/>
      <c r="BE1064" s="502"/>
      <c r="BF1064" s="502"/>
      <c r="BG1064" s="502"/>
      <c r="BH1064" s="502"/>
      <c r="BI1064" s="502"/>
      <c r="BJ1064" s="502"/>
      <c r="BK1064" s="502"/>
      <c r="BL1064" s="502"/>
      <c r="BM1064" s="502"/>
      <c r="BN1064" s="502"/>
      <c r="BO1064" s="502"/>
      <c r="BP1064" s="5"/>
      <c r="BQ1064" s="5"/>
      <c r="BR1064" s="5"/>
      <c r="BS1064" s="5"/>
      <c r="BT1064" s="5"/>
      <c r="BU1064" s="5"/>
      <c r="BV1064" s="5"/>
      <c r="BW1064" s="5"/>
      <c r="BX1064" s="5"/>
      <c r="BY1064" s="5"/>
      <c r="BZ1064" s="5"/>
      <c r="CA1064" s="5"/>
      <c r="CB1064" s="5"/>
      <c r="CC1064" s="5"/>
      <c r="CD1064" s="5"/>
      <c r="CE1064" s="5"/>
      <c r="CF1064" s="5"/>
      <c r="CG1064" s="5"/>
      <c r="CH1064" s="5"/>
      <c r="CI1064" s="5"/>
      <c r="CJ1064" s="5"/>
      <c r="CK1064" s="5"/>
      <c r="CL1064" s="5"/>
      <c r="CM1064" s="5"/>
      <c r="CN1064" s="5"/>
      <c r="CO1064" s="5"/>
      <c r="CP1064" s="5"/>
      <c r="CQ1064" s="5"/>
      <c r="CR1064" s="5"/>
      <c r="CS1064" s="5"/>
      <c r="CT1064" s="5"/>
      <c r="CU1064" s="5"/>
      <c r="CV1064" s="5"/>
      <c r="CW1064" s="5"/>
      <c r="CX1064" s="5"/>
      <c r="CY1064" s="5"/>
      <c r="CZ1064" s="5"/>
      <c r="DA1064" s="5"/>
      <c r="DB1064" s="5"/>
      <c r="DC1064" s="5"/>
      <c r="DD1064" s="5"/>
      <c r="DE1064" s="5"/>
      <c r="DF1064" s="5"/>
      <c r="DG1064" s="5"/>
      <c r="DH1064" s="5"/>
      <c r="DI1064" s="5"/>
      <c r="DJ1064" s="5"/>
      <c r="DK1064" s="5"/>
      <c r="DL1064" s="5"/>
      <c r="DM1064" s="5"/>
      <c r="DN1064" s="5"/>
      <c r="DO1064" s="5"/>
      <c r="DP1064" s="5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</row>
    <row r="1065" s="504" customFormat="true" ht="12.75" hidden="true" customHeight="true" outlineLevel="0" collapsed="false">
      <c r="A1065" s="5"/>
      <c r="B1065" s="813" t="n">
        <f aca="false">B1064+1</f>
        <v>850</v>
      </c>
      <c r="C1065" s="814" t="n">
        <f aca="false">C1064+D1065</f>
        <v>124007.955371999</v>
      </c>
      <c r="D1065" s="815" t="n">
        <f aca="false">E1065*$E$205*M1065</f>
        <v>213.332660910888</v>
      </c>
      <c r="E1065" s="601" t="n">
        <f aca="false">E1064+$C$204</f>
        <v>13.5294686016545</v>
      </c>
      <c r="F1065" s="816" t="n">
        <f aca="false">F1064+1</f>
        <v>850</v>
      </c>
      <c r="G1065" s="775" t="n">
        <f aca="false">C1065</f>
        <v>124007.955371999</v>
      </c>
      <c r="H1065" s="817" t="n">
        <f aca="false">1000*(E1065-E1064)</f>
        <v>9.99999999999979</v>
      </c>
      <c r="I1065" s="5"/>
      <c r="J1065" s="818" t="n">
        <f aca="false">1000*(E1065-$E$215)/(B1065-$B$215)</f>
        <v>11.8516115630255</v>
      </c>
      <c r="K1065" s="732" t="n">
        <f aca="false">AVERAGE($E$216:E1065)</f>
        <v>9.27552742518401</v>
      </c>
      <c r="L1065" s="819" t="n">
        <f aca="false">L1064+1</f>
        <v>850</v>
      </c>
      <c r="M1065" s="820" t="n">
        <f aca="false">IF(B1065&lt;$E$104,$E$105,$E$106)</f>
        <v>3</v>
      </c>
      <c r="N1065" s="821" t="n">
        <f aca="false">IF(B1065&lt;$E$104,$E$105,$E$111)</f>
        <v>2.5</v>
      </c>
      <c r="O1065" s="822" t="n">
        <f aca="false">E1065*$E$205*N1065</f>
        <v>177.77721742574</v>
      </c>
      <c r="P1065" s="823" t="n">
        <f aca="false">P1064+O1065</f>
        <v>103391.643410375</v>
      </c>
      <c r="Q1065" s="606" t="n">
        <f aca="false">Q1064+1</f>
        <v>850</v>
      </c>
      <c r="R1065" s="824" t="n">
        <f aca="false">R1064-1</f>
        <v>-850</v>
      </c>
      <c r="S1065" s="5"/>
      <c r="T1065" s="5"/>
      <c r="U1065" s="5"/>
      <c r="V1065" s="10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02"/>
      <c r="AU1065" s="502"/>
      <c r="AV1065" s="606"/>
      <c r="AW1065" s="502"/>
      <c r="AX1065" s="502"/>
      <c r="AY1065" s="502"/>
      <c r="AZ1065" s="502"/>
      <c r="BA1065" s="502"/>
      <c r="BB1065" s="502"/>
      <c r="BC1065" s="502"/>
      <c r="BD1065" s="502"/>
      <c r="BE1065" s="502"/>
      <c r="BF1065" s="502"/>
      <c r="BG1065" s="502"/>
      <c r="BH1065" s="502"/>
      <c r="BI1065" s="502"/>
      <c r="BJ1065" s="502"/>
      <c r="BK1065" s="502"/>
      <c r="BL1065" s="502"/>
      <c r="BM1065" s="502"/>
      <c r="BN1065" s="502"/>
      <c r="BO1065" s="502"/>
      <c r="BP1065" s="5"/>
      <c r="BQ1065" s="5"/>
      <c r="BR1065" s="5"/>
      <c r="BS1065" s="5"/>
      <c r="BT1065" s="5"/>
      <c r="BU1065" s="5"/>
      <c r="BV1065" s="5"/>
      <c r="BW1065" s="5"/>
      <c r="BX1065" s="5"/>
      <c r="BY1065" s="5"/>
      <c r="BZ1065" s="5"/>
      <c r="CA1065" s="5"/>
      <c r="CB1065" s="5"/>
      <c r="CC1065" s="5"/>
      <c r="CD1065" s="5"/>
      <c r="CE1065" s="5"/>
      <c r="CF1065" s="5"/>
      <c r="CG1065" s="5"/>
      <c r="CH1065" s="5"/>
      <c r="CI1065" s="5"/>
      <c r="CJ1065" s="5"/>
      <c r="CK1065" s="5"/>
      <c r="CL1065" s="5"/>
      <c r="CM1065" s="5"/>
      <c r="CN1065" s="5"/>
      <c r="CO1065" s="5"/>
      <c r="CP1065" s="5"/>
      <c r="CQ1065" s="5"/>
      <c r="CR1065" s="5"/>
      <c r="CS1065" s="5"/>
      <c r="CT1065" s="5"/>
      <c r="CU1065" s="5"/>
      <c r="CV1065" s="5"/>
      <c r="CW1065" s="5"/>
      <c r="CX1065" s="5"/>
      <c r="CY1065" s="5"/>
      <c r="CZ1065" s="5"/>
      <c r="DA1065" s="5"/>
      <c r="DB1065" s="5"/>
      <c r="DC1065" s="5"/>
      <c r="DD1065" s="5"/>
      <c r="DE1065" s="5"/>
      <c r="DF1065" s="5"/>
      <c r="DG1065" s="5"/>
      <c r="DH1065" s="5"/>
      <c r="DI1065" s="5"/>
      <c r="DJ1065" s="5"/>
      <c r="DK1065" s="5"/>
      <c r="DL1065" s="5"/>
      <c r="DM1065" s="5"/>
      <c r="DN1065" s="5"/>
      <c r="DO1065" s="5"/>
      <c r="DP1065" s="5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</row>
    <row r="1066" s="504" customFormat="true" ht="12.75" hidden="true" customHeight="true" outlineLevel="0" collapsed="false">
      <c r="A1066" s="5"/>
      <c r="B1066" s="813" t="n">
        <f aca="false">B1065+1</f>
        <v>851</v>
      </c>
      <c r="C1066" s="814" t="n">
        <f aca="false">C1065+D1066</f>
        <v>124221.44571291</v>
      </c>
      <c r="D1066" s="815" t="n">
        <f aca="false">E1066*$E$205*M1066</f>
        <v>213.490340910888</v>
      </c>
      <c r="E1066" s="601" t="n">
        <f aca="false">E1065+$C$204</f>
        <v>13.5394686016545</v>
      </c>
      <c r="F1066" s="816" t="n">
        <f aca="false">F1065+1</f>
        <v>851</v>
      </c>
      <c r="G1066" s="775" t="n">
        <f aca="false">C1066</f>
        <v>124221.44571291</v>
      </c>
      <c r="H1066" s="817" t="n">
        <f aca="false">1000*(E1066-E1065)</f>
        <v>9.99999999999979</v>
      </c>
      <c r="I1066" s="5"/>
      <c r="J1066" s="818" t="n">
        <f aca="false">1000*(E1066-$E$215)/(B1066-$B$215)</f>
        <v>11.8494357562534</v>
      </c>
      <c r="K1066" s="732" t="n">
        <f aca="false">AVERAGE($E$216:E1066)</f>
        <v>9.28053793185437</v>
      </c>
      <c r="L1066" s="819" t="n">
        <f aca="false">L1065+1</f>
        <v>851</v>
      </c>
      <c r="M1066" s="820" t="n">
        <f aca="false">IF(B1066&lt;$E$104,$E$105,$E$106)</f>
        <v>3</v>
      </c>
      <c r="N1066" s="821" t="n">
        <f aca="false">IF(B1066&lt;$E$104,$E$105,$E$111)</f>
        <v>2.5</v>
      </c>
      <c r="O1066" s="822" t="n">
        <f aca="false">E1066*$E$205*N1066</f>
        <v>177.90861742574</v>
      </c>
      <c r="P1066" s="823" t="n">
        <f aca="false">P1065+O1066</f>
        <v>103569.552027801</v>
      </c>
      <c r="Q1066" s="606" t="n">
        <f aca="false">Q1065+1</f>
        <v>851</v>
      </c>
      <c r="R1066" s="824" t="n">
        <f aca="false">R1065-1</f>
        <v>-851</v>
      </c>
      <c r="S1066" s="5"/>
      <c r="T1066" s="5"/>
      <c r="U1066" s="5"/>
      <c r="V1066" s="10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02"/>
      <c r="AU1066" s="502"/>
      <c r="AV1066" s="606"/>
      <c r="AW1066" s="502"/>
      <c r="AX1066" s="502"/>
      <c r="AY1066" s="502"/>
      <c r="AZ1066" s="502"/>
      <c r="BA1066" s="502"/>
      <c r="BB1066" s="502"/>
      <c r="BC1066" s="502"/>
      <c r="BD1066" s="502"/>
      <c r="BE1066" s="502"/>
      <c r="BF1066" s="502"/>
      <c r="BG1066" s="502"/>
      <c r="BH1066" s="502"/>
      <c r="BI1066" s="502"/>
      <c r="BJ1066" s="502"/>
      <c r="BK1066" s="502"/>
      <c r="BL1066" s="502"/>
      <c r="BM1066" s="502"/>
      <c r="BN1066" s="502"/>
      <c r="BO1066" s="502"/>
      <c r="BP1066" s="5"/>
      <c r="BQ1066" s="5"/>
      <c r="BR1066" s="5"/>
      <c r="BS1066" s="5"/>
      <c r="BT1066" s="5"/>
      <c r="BU1066" s="5"/>
      <c r="BV1066" s="5"/>
      <c r="BW1066" s="5"/>
      <c r="BX1066" s="5"/>
      <c r="BY1066" s="5"/>
      <c r="BZ1066" s="5"/>
      <c r="CA1066" s="5"/>
      <c r="CB1066" s="5"/>
      <c r="CC1066" s="5"/>
      <c r="CD1066" s="5"/>
      <c r="CE1066" s="5"/>
      <c r="CF1066" s="5"/>
      <c r="CG1066" s="5"/>
      <c r="CH1066" s="5"/>
      <c r="CI1066" s="5"/>
      <c r="CJ1066" s="5"/>
      <c r="CK1066" s="5"/>
      <c r="CL1066" s="5"/>
      <c r="CM1066" s="5"/>
      <c r="CN1066" s="5"/>
      <c r="CO1066" s="5"/>
      <c r="CP1066" s="5"/>
      <c r="CQ1066" s="5"/>
      <c r="CR1066" s="5"/>
      <c r="CS1066" s="5"/>
      <c r="CT1066" s="5"/>
      <c r="CU1066" s="5"/>
      <c r="CV1066" s="5"/>
      <c r="CW1066" s="5"/>
      <c r="CX1066" s="5"/>
      <c r="CY1066" s="5"/>
      <c r="CZ1066" s="5"/>
      <c r="DA1066" s="5"/>
      <c r="DB1066" s="5"/>
      <c r="DC1066" s="5"/>
      <c r="DD1066" s="5"/>
      <c r="DE1066" s="5"/>
      <c r="DF1066" s="5"/>
      <c r="DG1066" s="5"/>
      <c r="DH1066" s="5"/>
      <c r="DI1066" s="5"/>
      <c r="DJ1066" s="5"/>
      <c r="DK1066" s="5"/>
      <c r="DL1066" s="5"/>
      <c r="DM1066" s="5"/>
      <c r="DN1066" s="5"/>
      <c r="DO1066" s="5"/>
      <c r="DP1066" s="5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</row>
    <row r="1067" s="504" customFormat="true" ht="12.75" hidden="true" customHeight="true" outlineLevel="0" collapsed="false">
      <c r="A1067" s="5"/>
      <c r="B1067" s="813" t="n">
        <f aca="false">B1066+1</f>
        <v>852</v>
      </c>
      <c r="C1067" s="814" t="n">
        <f aca="false">C1066+D1067</f>
        <v>124435.093733821</v>
      </c>
      <c r="D1067" s="815" t="n">
        <f aca="false">E1067*$E$205*M1067</f>
        <v>213.648020910888</v>
      </c>
      <c r="E1067" s="601" t="n">
        <f aca="false">E1066+$C$204</f>
        <v>13.5494686016545</v>
      </c>
      <c r="F1067" s="816" t="n">
        <f aca="false">F1066+1</f>
        <v>852</v>
      </c>
      <c r="G1067" s="775" t="n">
        <f aca="false">C1067</f>
        <v>124435.093733821</v>
      </c>
      <c r="H1067" s="817" t="n">
        <f aca="false">1000*(E1067-E1066)</f>
        <v>9.99999999999979</v>
      </c>
      <c r="I1067" s="5"/>
      <c r="J1067" s="818" t="n">
        <f aca="false">1000*(E1067-$E$215)/(B1067-$B$215)</f>
        <v>11.847265057009</v>
      </c>
      <c r="K1067" s="732" t="n">
        <f aca="false">AVERAGE($E$216:E1067)</f>
        <v>9.28554841386117</v>
      </c>
      <c r="L1067" s="819" t="n">
        <f aca="false">L1066+1</f>
        <v>852</v>
      </c>
      <c r="M1067" s="820" t="n">
        <f aca="false">IF(B1067&lt;$E$104,$E$105,$E$106)</f>
        <v>3</v>
      </c>
      <c r="N1067" s="821" t="n">
        <f aca="false">IF(B1067&lt;$E$104,$E$105,$E$111)</f>
        <v>2.5</v>
      </c>
      <c r="O1067" s="822" t="n">
        <f aca="false">E1067*$E$205*N1067</f>
        <v>178.04001742574</v>
      </c>
      <c r="P1067" s="823" t="n">
        <f aca="false">P1066+O1067</f>
        <v>103747.592045227</v>
      </c>
      <c r="Q1067" s="606" t="n">
        <f aca="false">Q1066+1</f>
        <v>852</v>
      </c>
      <c r="R1067" s="824" t="n">
        <f aca="false">R1066-1</f>
        <v>-852</v>
      </c>
      <c r="S1067" s="5"/>
      <c r="T1067" s="5"/>
      <c r="U1067" s="5"/>
      <c r="V1067" s="10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02"/>
      <c r="AU1067" s="502"/>
      <c r="AV1067" s="606"/>
      <c r="AW1067" s="502"/>
      <c r="AX1067" s="502"/>
      <c r="AY1067" s="502"/>
      <c r="AZ1067" s="502"/>
      <c r="BA1067" s="502"/>
      <c r="BB1067" s="502"/>
      <c r="BC1067" s="502"/>
      <c r="BD1067" s="502"/>
      <c r="BE1067" s="502"/>
      <c r="BF1067" s="502"/>
      <c r="BG1067" s="502"/>
      <c r="BH1067" s="502"/>
      <c r="BI1067" s="502"/>
      <c r="BJ1067" s="502"/>
      <c r="BK1067" s="502"/>
      <c r="BL1067" s="502"/>
      <c r="BM1067" s="502"/>
      <c r="BN1067" s="502"/>
      <c r="BO1067" s="502"/>
      <c r="BP1067" s="5"/>
      <c r="BQ1067" s="5"/>
      <c r="BR1067" s="5"/>
      <c r="BS1067" s="5"/>
      <c r="BT1067" s="5"/>
      <c r="BU1067" s="5"/>
      <c r="BV1067" s="5"/>
      <c r="BW1067" s="5"/>
      <c r="BX1067" s="5"/>
      <c r="BY1067" s="5"/>
      <c r="BZ1067" s="5"/>
      <c r="CA1067" s="5"/>
      <c r="CB1067" s="5"/>
      <c r="CC1067" s="5"/>
      <c r="CD1067" s="5"/>
      <c r="CE1067" s="5"/>
      <c r="CF1067" s="5"/>
      <c r="CG1067" s="5"/>
      <c r="CH1067" s="5"/>
      <c r="CI1067" s="5"/>
      <c r="CJ1067" s="5"/>
      <c r="CK1067" s="5"/>
      <c r="CL1067" s="5"/>
      <c r="CM1067" s="5"/>
      <c r="CN1067" s="5"/>
      <c r="CO1067" s="5"/>
      <c r="CP1067" s="5"/>
      <c r="CQ1067" s="5"/>
      <c r="CR1067" s="5"/>
      <c r="CS1067" s="5"/>
      <c r="CT1067" s="5"/>
      <c r="CU1067" s="5"/>
      <c r="CV1067" s="5"/>
      <c r="CW1067" s="5"/>
      <c r="CX1067" s="5"/>
      <c r="CY1067" s="5"/>
      <c r="CZ1067" s="5"/>
      <c r="DA1067" s="5"/>
      <c r="DB1067" s="5"/>
      <c r="DC1067" s="5"/>
      <c r="DD1067" s="5"/>
      <c r="DE1067" s="5"/>
      <c r="DF1067" s="5"/>
      <c r="DG1067" s="5"/>
      <c r="DH1067" s="5"/>
      <c r="DI1067" s="5"/>
      <c r="DJ1067" s="5"/>
      <c r="DK1067" s="5"/>
      <c r="DL1067" s="5"/>
      <c r="DM1067" s="5"/>
      <c r="DN1067" s="5"/>
      <c r="DO1067" s="5"/>
      <c r="DP1067" s="5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</row>
    <row r="1068" s="504" customFormat="true" ht="12.75" hidden="true" customHeight="true" outlineLevel="0" collapsed="false">
      <c r="A1068" s="5"/>
      <c r="B1068" s="813" t="n">
        <f aca="false">B1067+1</f>
        <v>853</v>
      </c>
      <c r="C1068" s="814" t="n">
        <f aca="false">C1067+D1068</f>
        <v>124648.899434732</v>
      </c>
      <c r="D1068" s="815" t="n">
        <f aca="false">E1068*$E$205*M1068</f>
        <v>213.805700910888</v>
      </c>
      <c r="E1068" s="601" t="n">
        <f aca="false">E1067+$C$204</f>
        <v>13.5594686016545</v>
      </c>
      <c r="F1068" s="816" t="n">
        <f aca="false">F1067+1</f>
        <v>853</v>
      </c>
      <c r="G1068" s="775" t="n">
        <f aca="false">C1068</f>
        <v>124648.899434732</v>
      </c>
      <c r="H1068" s="817" t="n">
        <f aca="false">1000*(E1068-E1067)</f>
        <v>9.99999999999979</v>
      </c>
      <c r="I1068" s="5"/>
      <c r="J1068" s="818" t="n">
        <f aca="false">1000*(E1068-$E$215)/(B1068-$B$215)</f>
        <v>11.845099447329</v>
      </c>
      <c r="K1068" s="732" t="n">
        <f aca="false">AVERAGE($E$216:E1068)</f>
        <v>9.29055887129118</v>
      </c>
      <c r="L1068" s="819" t="n">
        <f aca="false">L1067+1</f>
        <v>853</v>
      </c>
      <c r="M1068" s="820" t="n">
        <f aca="false">IF(B1068&lt;$E$104,$E$105,$E$106)</f>
        <v>3</v>
      </c>
      <c r="N1068" s="821" t="n">
        <f aca="false">IF(B1068&lt;$E$104,$E$105,$E$111)</f>
        <v>2.5</v>
      </c>
      <c r="O1068" s="822" t="n">
        <f aca="false">E1068*$E$205*N1068</f>
        <v>178.17141742574</v>
      </c>
      <c r="P1068" s="823" t="n">
        <f aca="false">P1067+O1068</f>
        <v>103925.763462653</v>
      </c>
      <c r="Q1068" s="606" t="n">
        <f aca="false">Q1067+1</f>
        <v>853</v>
      </c>
      <c r="R1068" s="824" t="n">
        <f aca="false">R1067-1</f>
        <v>-853</v>
      </c>
      <c r="S1068" s="5"/>
      <c r="T1068" s="5"/>
      <c r="U1068" s="5"/>
      <c r="V1068" s="10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02"/>
      <c r="AU1068" s="502"/>
      <c r="AV1068" s="606"/>
      <c r="AW1068" s="502"/>
      <c r="AX1068" s="502"/>
      <c r="AY1068" s="502"/>
      <c r="AZ1068" s="502"/>
      <c r="BA1068" s="502"/>
      <c r="BB1068" s="502"/>
      <c r="BC1068" s="502"/>
      <c r="BD1068" s="502"/>
      <c r="BE1068" s="502"/>
      <c r="BF1068" s="502"/>
      <c r="BG1068" s="502"/>
      <c r="BH1068" s="502"/>
      <c r="BI1068" s="502"/>
      <c r="BJ1068" s="502"/>
      <c r="BK1068" s="502"/>
      <c r="BL1068" s="502"/>
      <c r="BM1068" s="502"/>
      <c r="BN1068" s="502"/>
      <c r="BO1068" s="502"/>
      <c r="BP1068" s="5"/>
      <c r="BQ1068" s="5"/>
      <c r="BR1068" s="5"/>
      <c r="BS1068" s="5"/>
      <c r="BT1068" s="5"/>
      <c r="BU1068" s="5"/>
      <c r="BV1068" s="5"/>
      <c r="BW1068" s="5"/>
      <c r="BX1068" s="5"/>
      <c r="BY1068" s="5"/>
      <c r="BZ1068" s="5"/>
      <c r="CA1068" s="5"/>
      <c r="CB1068" s="5"/>
      <c r="CC1068" s="5"/>
      <c r="CD1068" s="5"/>
      <c r="CE1068" s="5"/>
      <c r="CF1068" s="5"/>
      <c r="CG1068" s="5"/>
      <c r="CH1068" s="5"/>
      <c r="CI1068" s="5"/>
      <c r="CJ1068" s="5"/>
      <c r="CK1068" s="5"/>
      <c r="CL1068" s="5"/>
      <c r="CM1068" s="5"/>
      <c r="CN1068" s="5"/>
      <c r="CO1068" s="5"/>
      <c r="CP1068" s="5"/>
      <c r="CQ1068" s="5"/>
      <c r="CR1068" s="5"/>
      <c r="CS1068" s="5"/>
      <c r="CT1068" s="5"/>
      <c r="CU1068" s="5"/>
      <c r="CV1068" s="5"/>
      <c r="CW1068" s="5"/>
      <c r="CX1068" s="5"/>
      <c r="CY1068" s="5"/>
      <c r="CZ1068" s="5"/>
      <c r="DA1068" s="5"/>
      <c r="DB1068" s="5"/>
      <c r="DC1068" s="5"/>
      <c r="DD1068" s="5"/>
      <c r="DE1068" s="5"/>
      <c r="DF1068" s="5"/>
      <c r="DG1068" s="5"/>
      <c r="DH1068" s="5"/>
      <c r="DI1068" s="5"/>
      <c r="DJ1068" s="5"/>
      <c r="DK1068" s="5"/>
      <c r="DL1068" s="5"/>
      <c r="DM1068" s="5"/>
      <c r="DN1068" s="5"/>
      <c r="DO1068" s="5"/>
      <c r="DP1068" s="5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</row>
    <row r="1069" s="504" customFormat="true" ht="12.75" hidden="true" customHeight="true" outlineLevel="0" collapsed="false">
      <c r="A1069" s="5"/>
      <c r="B1069" s="813" t="n">
        <f aca="false">B1068+1</f>
        <v>854</v>
      </c>
      <c r="C1069" s="814" t="n">
        <f aca="false">C1068+D1069</f>
        <v>124862.862815643</v>
      </c>
      <c r="D1069" s="815" t="n">
        <f aca="false">E1069*$E$205*M1069</f>
        <v>213.963380910888</v>
      </c>
      <c r="E1069" s="601" t="n">
        <f aca="false">E1068+$C$204</f>
        <v>13.5694686016545</v>
      </c>
      <c r="F1069" s="816" t="n">
        <f aca="false">F1068+1</f>
        <v>854</v>
      </c>
      <c r="G1069" s="775" t="n">
        <f aca="false">C1069</f>
        <v>124862.862815643</v>
      </c>
      <c r="H1069" s="817" t="n">
        <f aca="false">1000*(E1069-E1068)</f>
        <v>9.99999999999979</v>
      </c>
      <c r="I1069" s="5"/>
      <c r="J1069" s="818" t="n">
        <f aca="false">1000*(E1069-$E$215)/(B1069-$B$215)</f>
        <v>11.8429389093345</v>
      </c>
      <c r="K1069" s="732" t="n">
        <f aca="false">AVERAGE($E$216:E1069)</f>
        <v>9.29556930423071</v>
      </c>
      <c r="L1069" s="819" t="n">
        <f aca="false">L1068+1</f>
        <v>854</v>
      </c>
      <c r="M1069" s="820" t="n">
        <f aca="false">IF(B1069&lt;$E$104,$E$105,$E$106)</f>
        <v>3</v>
      </c>
      <c r="N1069" s="821" t="n">
        <f aca="false">IF(B1069&lt;$E$104,$E$105,$E$111)</f>
        <v>2.5</v>
      </c>
      <c r="O1069" s="822" t="n">
        <f aca="false">E1069*$E$205*N1069</f>
        <v>178.30281742574</v>
      </c>
      <c r="P1069" s="823" t="n">
        <f aca="false">P1068+O1069</f>
        <v>104104.066280078</v>
      </c>
      <c r="Q1069" s="606" t="n">
        <f aca="false">Q1068+1</f>
        <v>854</v>
      </c>
      <c r="R1069" s="824" t="n">
        <f aca="false">R1068-1</f>
        <v>-854</v>
      </c>
      <c r="S1069" s="5"/>
      <c r="T1069" s="5"/>
      <c r="U1069" s="5"/>
      <c r="V1069" s="10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02"/>
      <c r="AU1069" s="502"/>
      <c r="AV1069" s="606"/>
      <c r="AW1069" s="502"/>
      <c r="AX1069" s="502"/>
      <c r="AY1069" s="502"/>
      <c r="AZ1069" s="502"/>
      <c r="BA1069" s="502"/>
      <c r="BB1069" s="502"/>
      <c r="BC1069" s="502"/>
      <c r="BD1069" s="502"/>
      <c r="BE1069" s="502"/>
      <c r="BF1069" s="502"/>
      <c r="BG1069" s="502"/>
      <c r="BH1069" s="502"/>
      <c r="BI1069" s="502"/>
      <c r="BJ1069" s="502"/>
      <c r="BK1069" s="502"/>
      <c r="BL1069" s="502"/>
      <c r="BM1069" s="502"/>
      <c r="BN1069" s="502"/>
      <c r="BO1069" s="502"/>
      <c r="BP1069" s="5"/>
      <c r="BQ1069" s="5"/>
      <c r="BR1069" s="5"/>
      <c r="BS1069" s="5"/>
      <c r="BT1069" s="5"/>
      <c r="BU1069" s="5"/>
      <c r="BV1069" s="5"/>
      <c r="BW1069" s="5"/>
      <c r="BX1069" s="5"/>
      <c r="BY1069" s="5"/>
      <c r="BZ1069" s="5"/>
      <c r="CA1069" s="5"/>
      <c r="CB1069" s="5"/>
      <c r="CC1069" s="5"/>
      <c r="CD1069" s="5"/>
      <c r="CE1069" s="5"/>
      <c r="CF1069" s="5"/>
      <c r="CG1069" s="5"/>
      <c r="CH1069" s="5"/>
      <c r="CI1069" s="5"/>
      <c r="CJ1069" s="5"/>
      <c r="CK1069" s="5"/>
      <c r="CL1069" s="5"/>
      <c r="CM1069" s="5"/>
      <c r="CN1069" s="5"/>
      <c r="CO1069" s="5"/>
      <c r="CP1069" s="5"/>
      <c r="CQ1069" s="5"/>
      <c r="CR1069" s="5"/>
      <c r="CS1069" s="5"/>
      <c r="CT1069" s="5"/>
      <c r="CU1069" s="5"/>
      <c r="CV1069" s="5"/>
      <c r="CW1069" s="5"/>
      <c r="CX1069" s="5"/>
      <c r="CY1069" s="5"/>
      <c r="CZ1069" s="5"/>
      <c r="DA1069" s="5"/>
      <c r="DB1069" s="5"/>
      <c r="DC1069" s="5"/>
      <c r="DD1069" s="5"/>
      <c r="DE1069" s="5"/>
      <c r="DF1069" s="5"/>
      <c r="DG1069" s="5"/>
      <c r="DH1069" s="5"/>
      <c r="DI1069" s="5"/>
      <c r="DJ1069" s="5"/>
      <c r="DK1069" s="5"/>
      <c r="DL1069" s="5"/>
      <c r="DM1069" s="5"/>
      <c r="DN1069" s="5"/>
      <c r="DO1069" s="5"/>
      <c r="DP1069" s="5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</row>
    <row r="1070" s="504" customFormat="true" ht="12.75" hidden="true" customHeight="true" outlineLevel="0" collapsed="false">
      <c r="A1070" s="5"/>
      <c r="B1070" s="813" t="n">
        <f aca="false">B1069+1</f>
        <v>855</v>
      </c>
      <c r="C1070" s="814" t="n">
        <f aca="false">C1069+D1070</f>
        <v>125076.983876554</v>
      </c>
      <c r="D1070" s="815" t="n">
        <f aca="false">E1070*$E$205*M1070</f>
        <v>214.121060910888</v>
      </c>
      <c r="E1070" s="601" t="n">
        <f aca="false">E1069+$C$204</f>
        <v>13.5794686016545</v>
      </c>
      <c r="F1070" s="816" t="n">
        <f aca="false">F1069+1</f>
        <v>855</v>
      </c>
      <c r="G1070" s="775" t="n">
        <f aca="false">C1070</f>
        <v>125076.983876554</v>
      </c>
      <c r="H1070" s="817" t="n">
        <f aca="false">1000*(E1070-E1069)</f>
        <v>9.99999999999979</v>
      </c>
      <c r="I1070" s="5"/>
      <c r="J1070" s="818" t="n">
        <f aca="false">1000*(E1070-$E$215)/(B1070-$B$215)</f>
        <v>11.84078342523</v>
      </c>
      <c r="K1070" s="732" t="n">
        <f aca="false">AVERAGE($E$216:E1070)</f>
        <v>9.30057971276571</v>
      </c>
      <c r="L1070" s="819" t="n">
        <f aca="false">L1069+1</f>
        <v>855</v>
      </c>
      <c r="M1070" s="820" t="n">
        <f aca="false">IF(B1070&lt;$E$104,$E$105,$E$106)</f>
        <v>3</v>
      </c>
      <c r="N1070" s="821" t="n">
        <f aca="false">IF(B1070&lt;$E$104,$E$105,$E$111)</f>
        <v>2.5</v>
      </c>
      <c r="O1070" s="822" t="n">
        <f aca="false">E1070*$E$205*N1070</f>
        <v>178.43421742574</v>
      </c>
      <c r="P1070" s="823" t="n">
        <f aca="false">P1069+O1070</f>
        <v>104282.500497504</v>
      </c>
      <c r="Q1070" s="606" t="n">
        <f aca="false">Q1069+1</f>
        <v>855</v>
      </c>
      <c r="R1070" s="824" t="n">
        <f aca="false">R1069-1</f>
        <v>-855</v>
      </c>
      <c r="S1070" s="5"/>
      <c r="T1070" s="5"/>
      <c r="U1070" s="5"/>
      <c r="V1070" s="10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02"/>
      <c r="AU1070" s="502"/>
      <c r="AV1070" s="606"/>
      <c r="AW1070" s="502"/>
      <c r="AX1070" s="502"/>
      <c r="AY1070" s="502"/>
      <c r="AZ1070" s="502"/>
      <c r="BA1070" s="502"/>
      <c r="BB1070" s="502"/>
      <c r="BC1070" s="502"/>
      <c r="BD1070" s="502"/>
      <c r="BE1070" s="502"/>
      <c r="BF1070" s="502"/>
      <c r="BG1070" s="502"/>
      <c r="BH1070" s="502"/>
      <c r="BI1070" s="502"/>
      <c r="BJ1070" s="502"/>
      <c r="BK1070" s="502"/>
      <c r="BL1070" s="502"/>
      <c r="BM1070" s="502"/>
      <c r="BN1070" s="502"/>
      <c r="BO1070" s="502"/>
      <c r="BP1070" s="5"/>
      <c r="BQ1070" s="5"/>
      <c r="BR1070" s="5"/>
      <c r="BS1070" s="5"/>
      <c r="BT1070" s="5"/>
      <c r="BU1070" s="5"/>
      <c r="BV1070" s="5"/>
      <c r="BW1070" s="5"/>
      <c r="BX1070" s="5"/>
      <c r="BY1070" s="5"/>
      <c r="BZ1070" s="5"/>
      <c r="CA1070" s="5"/>
      <c r="CB1070" s="5"/>
      <c r="CC1070" s="5"/>
      <c r="CD1070" s="5"/>
      <c r="CE1070" s="5"/>
      <c r="CF1070" s="5"/>
      <c r="CG1070" s="5"/>
      <c r="CH1070" s="5"/>
      <c r="CI1070" s="5"/>
      <c r="CJ1070" s="5"/>
      <c r="CK1070" s="5"/>
      <c r="CL1070" s="5"/>
      <c r="CM1070" s="5"/>
      <c r="CN1070" s="5"/>
      <c r="CO1070" s="5"/>
      <c r="CP1070" s="5"/>
      <c r="CQ1070" s="5"/>
      <c r="CR1070" s="5"/>
      <c r="CS1070" s="5"/>
      <c r="CT1070" s="5"/>
      <c r="CU1070" s="5"/>
      <c r="CV1070" s="5"/>
      <c r="CW1070" s="5"/>
      <c r="CX1070" s="5"/>
      <c r="CY1070" s="5"/>
      <c r="CZ1070" s="5"/>
      <c r="DA1070" s="5"/>
      <c r="DB1070" s="5"/>
      <c r="DC1070" s="5"/>
      <c r="DD1070" s="5"/>
      <c r="DE1070" s="5"/>
      <c r="DF1070" s="5"/>
      <c r="DG1070" s="5"/>
      <c r="DH1070" s="5"/>
      <c r="DI1070" s="5"/>
      <c r="DJ1070" s="5"/>
      <c r="DK1070" s="5"/>
      <c r="DL1070" s="5"/>
      <c r="DM1070" s="5"/>
      <c r="DN1070" s="5"/>
      <c r="DO1070" s="5"/>
      <c r="DP1070" s="5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</row>
    <row r="1071" s="504" customFormat="true" ht="12.75" hidden="true" customHeight="true" outlineLevel="0" collapsed="false">
      <c r="A1071" s="5"/>
      <c r="B1071" s="813" t="n">
        <f aca="false">B1070+1</f>
        <v>856</v>
      </c>
      <c r="C1071" s="814" t="n">
        <f aca="false">C1070+D1071</f>
        <v>125291.262617464</v>
      </c>
      <c r="D1071" s="815" t="n">
        <f aca="false">E1071*$E$205*M1071</f>
        <v>214.278740910888</v>
      </c>
      <c r="E1071" s="601" t="n">
        <f aca="false">E1070+$C$204</f>
        <v>13.5894686016545</v>
      </c>
      <c r="F1071" s="816" t="n">
        <f aca="false">F1070+1</f>
        <v>856</v>
      </c>
      <c r="G1071" s="775" t="n">
        <f aca="false">C1071</f>
        <v>125291.262617464</v>
      </c>
      <c r="H1071" s="817" t="n">
        <f aca="false">1000*(E1071-E1070)</f>
        <v>9.99999999999979</v>
      </c>
      <c r="I1071" s="5"/>
      <c r="J1071" s="818" t="n">
        <f aca="false">1000*(E1071-$E$215)/(B1071-$B$215)</f>
        <v>11.8386329773033</v>
      </c>
      <c r="K1071" s="732" t="n">
        <f aca="false">AVERAGE($E$216:E1071)</f>
        <v>9.3055900969817</v>
      </c>
      <c r="L1071" s="819" t="n">
        <f aca="false">L1070+1</f>
        <v>856</v>
      </c>
      <c r="M1071" s="820" t="n">
        <f aca="false">IF(B1071&lt;$E$104,$E$105,$E$106)</f>
        <v>3</v>
      </c>
      <c r="N1071" s="821" t="n">
        <f aca="false">IF(B1071&lt;$E$104,$E$105,$E$111)</f>
        <v>2.5</v>
      </c>
      <c r="O1071" s="822" t="n">
        <f aca="false">E1071*$E$205*N1071</f>
        <v>178.56561742574</v>
      </c>
      <c r="P1071" s="823" t="n">
        <f aca="false">P1070+O1071</f>
        <v>104461.06611493</v>
      </c>
      <c r="Q1071" s="606" t="n">
        <f aca="false">Q1070+1</f>
        <v>856</v>
      </c>
      <c r="R1071" s="824" t="n">
        <f aca="false">R1070-1</f>
        <v>-856</v>
      </c>
      <c r="S1071" s="5"/>
      <c r="T1071" s="5"/>
      <c r="U1071" s="5"/>
      <c r="V1071" s="10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02"/>
      <c r="AU1071" s="502"/>
      <c r="AV1071" s="606"/>
      <c r="AW1071" s="502"/>
      <c r="AX1071" s="502"/>
      <c r="AY1071" s="502"/>
      <c r="AZ1071" s="502"/>
      <c r="BA1071" s="502"/>
      <c r="BB1071" s="502"/>
      <c r="BC1071" s="502"/>
      <c r="BD1071" s="502"/>
      <c r="BE1071" s="502"/>
      <c r="BF1071" s="502"/>
      <c r="BG1071" s="502"/>
      <c r="BH1071" s="502"/>
      <c r="BI1071" s="502"/>
      <c r="BJ1071" s="502"/>
      <c r="BK1071" s="502"/>
      <c r="BL1071" s="502"/>
      <c r="BM1071" s="502"/>
      <c r="BN1071" s="502"/>
      <c r="BO1071" s="502"/>
      <c r="BP1071" s="5"/>
      <c r="BQ1071" s="5"/>
      <c r="BR1071" s="5"/>
      <c r="BS1071" s="5"/>
      <c r="BT1071" s="5"/>
      <c r="BU1071" s="5"/>
      <c r="BV1071" s="5"/>
      <c r="BW1071" s="5"/>
      <c r="BX1071" s="5"/>
      <c r="BY1071" s="5"/>
      <c r="BZ1071" s="5"/>
      <c r="CA1071" s="5"/>
      <c r="CB1071" s="5"/>
      <c r="CC1071" s="5"/>
      <c r="CD1071" s="5"/>
      <c r="CE1071" s="5"/>
      <c r="CF1071" s="5"/>
      <c r="CG1071" s="5"/>
      <c r="CH1071" s="5"/>
      <c r="CI1071" s="5"/>
      <c r="CJ1071" s="5"/>
      <c r="CK1071" s="5"/>
      <c r="CL1071" s="5"/>
      <c r="CM1071" s="5"/>
      <c r="CN1071" s="5"/>
      <c r="CO1071" s="5"/>
      <c r="CP1071" s="5"/>
      <c r="CQ1071" s="5"/>
      <c r="CR1071" s="5"/>
      <c r="CS1071" s="5"/>
      <c r="CT1071" s="5"/>
      <c r="CU1071" s="5"/>
      <c r="CV1071" s="5"/>
      <c r="CW1071" s="5"/>
      <c r="CX1071" s="5"/>
      <c r="CY1071" s="5"/>
      <c r="CZ1071" s="5"/>
      <c r="DA1071" s="5"/>
      <c r="DB1071" s="5"/>
      <c r="DC1071" s="5"/>
      <c r="DD1071" s="5"/>
      <c r="DE1071" s="5"/>
      <c r="DF1071" s="5"/>
      <c r="DG1071" s="5"/>
      <c r="DH1071" s="5"/>
      <c r="DI1071" s="5"/>
      <c r="DJ1071" s="5"/>
      <c r="DK1071" s="5"/>
      <c r="DL1071" s="5"/>
      <c r="DM1071" s="5"/>
      <c r="DN1071" s="5"/>
      <c r="DO1071" s="5"/>
      <c r="DP1071" s="5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</row>
    <row r="1072" s="504" customFormat="true" ht="12.75" hidden="true" customHeight="true" outlineLevel="0" collapsed="false">
      <c r="A1072" s="5"/>
      <c r="B1072" s="813" t="n">
        <f aca="false">B1071+1</f>
        <v>857</v>
      </c>
      <c r="C1072" s="814" t="n">
        <f aca="false">C1071+D1072</f>
        <v>125505.699038375</v>
      </c>
      <c r="D1072" s="815" t="n">
        <f aca="false">E1072*$E$205*M1072</f>
        <v>214.436420910888</v>
      </c>
      <c r="E1072" s="601" t="n">
        <f aca="false">E1071+$C$204</f>
        <v>13.5994686016545</v>
      </c>
      <c r="F1072" s="816" t="n">
        <f aca="false">F1071+1</f>
        <v>857</v>
      </c>
      <c r="G1072" s="775" t="n">
        <f aca="false">C1072</f>
        <v>125505.699038375</v>
      </c>
      <c r="H1072" s="817" t="n">
        <f aca="false">1000*(E1072-E1071)</f>
        <v>9.99999999999979</v>
      </c>
      <c r="I1072" s="5"/>
      <c r="J1072" s="818" t="n">
        <f aca="false">1000*(E1072-$E$215)/(B1072-$B$215)</f>
        <v>11.8364875479249</v>
      </c>
      <c r="K1072" s="732" t="n">
        <f aca="false">AVERAGE($E$216:E1072)</f>
        <v>9.31060045696382</v>
      </c>
      <c r="L1072" s="819" t="n">
        <f aca="false">L1071+1</f>
        <v>857</v>
      </c>
      <c r="M1072" s="820" t="n">
        <f aca="false">IF(B1072&lt;$E$104,$E$105,$E$106)</f>
        <v>3</v>
      </c>
      <c r="N1072" s="821" t="n">
        <f aca="false">IF(B1072&lt;$E$104,$E$105,$E$111)</f>
        <v>2.5</v>
      </c>
      <c r="O1072" s="822" t="n">
        <f aca="false">E1072*$E$205*N1072</f>
        <v>178.69701742574</v>
      </c>
      <c r="P1072" s="823" t="n">
        <f aca="false">P1071+O1072</f>
        <v>104639.763132356</v>
      </c>
      <c r="Q1072" s="606" t="n">
        <f aca="false">Q1071+1</f>
        <v>857</v>
      </c>
      <c r="R1072" s="824" t="n">
        <f aca="false">R1071-1</f>
        <v>-857</v>
      </c>
      <c r="S1072" s="5"/>
      <c r="T1072" s="5"/>
      <c r="U1072" s="5"/>
      <c r="V1072" s="10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02"/>
      <c r="AU1072" s="502"/>
      <c r="AV1072" s="606"/>
      <c r="AW1072" s="502"/>
      <c r="AX1072" s="502"/>
      <c r="AY1072" s="502"/>
      <c r="AZ1072" s="502"/>
      <c r="BA1072" s="502"/>
      <c r="BB1072" s="502"/>
      <c r="BC1072" s="502"/>
      <c r="BD1072" s="502"/>
      <c r="BE1072" s="502"/>
      <c r="BF1072" s="502"/>
      <c r="BG1072" s="502"/>
      <c r="BH1072" s="502"/>
      <c r="BI1072" s="502"/>
      <c r="BJ1072" s="502"/>
      <c r="BK1072" s="502"/>
      <c r="BL1072" s="502"/>
      <c r="BM1072" s="502"/>
      <c r="BN1072" s="502"/>
      <c r="BO1072" s="502"/>
      <c r="BP1072" s="5"/>
      <c r="BQ1072" s="5"/>
      <c r="BR1072" s="5"/>
      <c r="BS1072" s="5"/>
      <c r="BT1072" s="5"/>
      <c r="BU1072" s="5"/>
      <c r="BV1072" s="5"/>
      <c r="BW1072" s="5"/>
      <c r="BX1072" s="5"/>
      <c r="BY1072" s="5"/>
      <c r="BZ1072" s="5"/>
      <c r="CA1072" s="5"/>
      <c r="CB1072" s="5"/>
      <c r="CC1072" s="5"/>
      <c r="CD1072" s="5"/>
      <c r="CE1072" s="5"/>
      <c r="CF1072" s="5"/>
      <c r="CG1072" s="5"/>
      <c r="CH1072" s="5"/>
      <c r="CI1072" s="5"/>
      <c r="CJ1072" s="5"/>
      <c r="CK1072" s="5"/>
      <c r="CL1072" s="5"/>
      <c r="CM1072" s="5"/>
      <c r="CN1072" s="5"/>
      <c r="CO1072" s="5"/>
      <c r="CP1072" s="5"/>
      <c r="CQ1072" s="5"/>
      <c r="CR1072" s="5"/>
      <c r="CS1072" s="5"/>
      <c r="CT1072" s="5"/>
      <c r="CU1072" s="5"/>
      <c r="CV1072" s="5"/>
      <c r="CW1072" s="5"/>
      <c r="CX1072" s="5"/>
      <c r="CY1072" s="5"/>
      <c r="CZ1072" s="5"/>
      <c r="DA1072" s="5"/>
      <c r="DB1072" s="5"/>
      <c r="DC1072" s="5"/>
      <c r="DD1072" s="5"/>
      <c r="DE1072" s="5"/>
      <c r="DF1072" s="5"/>
      <c r="DG1072" s="5"/>
      <c r="DH1072" s="5"/>
      <c r="DI1072" s="5"/>
      <c r="DJ1072" s="5"/>
      <c r="DK1072" s="5"/>
      <c r="DL1072" s="5"/>
      <c r="DM1072" s="5"/>
      <c r="DN1072" s="5"/>
      <c r="DO1072" s="5"/>
      <c r="DP1072" s="5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</row>
    <row r="1073" s="504" customFormat="true" ht="12.75" hidden="true" customHeight="true" outlineLevel="0" collapsed="false">
      <c r="A1073" s="5"/>
      <c r="B1073" s="813" t="n">
        <f aca="false">B1072+1</f>
        <v>858</v>
      </c>
      <c r="C1073" s="814" t="n">
        <f aca="false">C1072+D1073</f>
        <v>125720.293139286</v>
      </c>
      <c r="D1073" s="815" t="n">
        <f aca="false">E1073*$E$205*M1073</f>
        <v>214.594100910888</v>
      </c>
      <c r="E1073" s="601" t="n">
        <f aca="false">E1072+$C$204</f>
        <v>13.6094686016545</v>
      </c>
      <c r="F1073" s="816" t="n">
        <f aca="false">F1072+1</f>
        <v>858</v>
      </c>
      <c r="G1073" s="775" t="n">
        <f aca="false">C1073</f>
        <v>125720.293139286</v>
      </c>
      <c r="H1073" s="817" t="n">
        <f aca="false">1000*(E1073-E1072)</f>
        <v>9.99999999999979</v>
      </c>
      <c r="I1073" s="5"/>
      <c r="J1073" s="818" t="n">
        <f aca="false">1000*(E1073-$E$215)/(B1073-$B$215)</f>
        <v>11.8343471195474</v>
      </c>
      <c r="K1073" s="732" t="n">
        <f aca="false">AVERAGE($E$216:E1073)</f>
        <v>9.31561079279679</v>
      </c>
      <c r="L1073" s="819" t="n">
        <f aca="false">L1072+1</f>
        <v>858</v>
      </c>
      <c r="M1073" s="820" t="n">
        <f aca="false">IF(B1073&lt;$E$104,$E$105,$E$106)</f>
        <v>3</v>
      </c>
      <c r="N1073" s="821" t="n">
        <f aca="false">IF(B1073&lt;$E$104,$E$105,$E$111)</f>
        <v>2.5</v>
      </c>
      <c r="O1073" s="822" t="n">
        <f aca="false">E1073*$E$205*N1073</f>
        <v>178.82841742574</v>
      </c>
      <c r="P1073" s="823" t="n">
        <f aca="false">P1072+O1073</f>
        <v>104818.591549781</v>
      </c>
      <c r="Q1073" s="606" t="n">
        <f aca="false">Q1072+1</f>
        <v>858</v>
      </c>
      <c r="R1073" s="824" t="n">
        <f aca="false">R1072-1</f>
        <v>-858</v>
      </c>
      <c r="S1073" s="5"/>
      <c r="T1073" s="5"/>
      <c r="U1073" s="5"/>
      <c r="V1073" s="10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02"/>
      <c r="AU1073" s="502"/>
      <c r="AV1073" s="606"/>
      <c r="AW1073" s="502"/>
      <c r="AX1073" s="502"/>
      <c r="AY1073" s="502"/>
      <c r="AZ1073" s="502"/>
      <c r="BA1073" s="502"/>
      <c r="BB1073" s="502"/>
      <c r="BC1073" s="502"/>
      <c r="BD1073" s="502"/>
      <c r="BE1073" s="502"/>
      <c r="BF1073" s="502"/>
      <c r="BG1073" s="502"/>
      <c r="BH1073" s="502"/>
      <c r="BI1073" s="502"/>
      <c r="BJ1073" s="502"/>
      <c r="BK1073" s="502"/>
      <c r="BL1073" s="502"/>
      <c r="BM1073" s="502"/>
      <c r="BN1073" s="502"/>
      <c r="BO1073" s="502"/>
      <c r="BP1073" s="5"/>
      <c r="BQ1073" s="5"/>
      <c r="BR1073" s="5"/>
      <c r="BS1073" s="5"/>
      <c r="BT1073" s="5"/>
      <c r="BU1073" s="5"/>
      <c r="BV1073" s="5"/>
      <c r="BW1073" s="5"/>
      <c r="BX1073" s="5"/>
      <c r="BY1073" s="5"/>
      <c r="BZ1073" s="5"/>
      <c r="CA1073" s="5"/>
      <c r="CB1073" s="5"/>
      <c r="CC1073" s="5"/>
      <c r="CD1073" s="5"/>
      <c r="CE1073" s="5"/>
      <c r="CF1073" s="5"/>
      <c r="CG1073" s="5"/>
      <c r="CH1073" s="5"/>
      <c r="CI1073" s="5"/>
      <c r="CJ1073" s="5"/>
      <c r="CK1073" s="5"/>
      <c r="CL1073" s="5"/>
      <c r="CM1073" s="5"/>
      <c r="CN1073" s="5"/>
      <c r="CO1073" s="5"/>
      <c r="CP1073" s="5"/>
      <c r="CQ1073" s="5"/>
      <c r="CR1073" s="5"/>
      <c r="CS1073" s="5"/>
      <c r="CT1073" s="5"/>
      <c r="CU1073" s="5"/>
      <c r="CV1073" s="5"/>
      <c r="CW1073" s="5"/>
      <c r="CX1073" s="5"/>
      <c r="CY1073" s="5"/>
      <c r="CZ1073" s="5"/>
      <c r="DA1073" s="5"/>
      <c r="DB1073" s="5"/>
      <c r="DC1073" s="5"/>
      <c r="DD1073" s="5"/>
      <c r="DE1073" s="5"/>
      <c r="DF1073" s="5"/>
      <c r="DG1073" s="5"/>
      <c r="DH1073" s="5"/>
      <c r="DI1073" s="5"/>
      <c r="DJ1073" s="5"/>
      <c r="DK1073" s="5"/>
      <c r="DL1073" s="5"/>
      <c r="DM1073" s="5"/>
      <c r="DN1073" s="5"/>
      <c r="DO1073" s="5"/>
      <c r="DP1073" s="5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</row>
    <row r="1074" s="504" customFormat="true" ht="12.75" hidden="true" customHeight="true" outlineLevel="0" collapsed="false">
      <c r="A1074" s="5"/>
      <c r="B1074" s="813" t="n">
        <f aca="false">B1073+1</f>
        <v>859</v>
      </c>
      <c r="C1074" s="814" t="n">
        <f aca="false">C1073+D1074</f>
        <v>125935.044920197</v>
      </c>
      <c r="D1074" s="815" t="n">
        <f aca="false">E1074*$E$205*M1074</f>
        <v>214.751780910888</v>
      </c>
      <c r="E1074" s="601" t="n">
        <f aca="false">E1073+$C$204</f>
        <v>13.6194686016545</v>
      </c>
      <c r="F1074" s="816" t="n">
        <f aca="false">F1073+1</f>
        <v>859</v>
      </c>
      <c r="G1074" s="775" t="n">
        <f aca="false">C1074</f>
        <v>125935.044920197</v>
      </c>
      <c r="H1074" s="817" t="n">
        <f aca="false">1000*(E1074-E1073)</f>
        <v>9.99999999999979</v>
      </c>
      <c r="I1074" s="5"/>
      <c r="J1074" s="818" t="n">
        <f aca="false">1000*(E1074-$E$215)/(B1074-$B$215)</f>
        <v>11.8322116747051</v>
      </c>
      <c r="K1074" s="732" t="n">
        <f aca="false">AVERAGE($E$216:E1074)</f>
        <v>9.32062110456496</v>
      </c>
      <c r="L1074" s="819" t="n">
        <f aca="false">L1073+1</f>
        <v>859</v>
      </c>
      <c r="M1074" s="820" t="n">
        <f aca="false">IF(B1074&lt;$E$104,$E$105,$E$106)</f>
        <v>3</v>
      </c>
      <c r="N1074" s="821" t="n">
        <f aca="false">IF(B1074&lt;$E$104,$E$105,$E$111)</f>
        <v>2.5</v>
      </c>
      <c r="O1074" s="822" t="n">
        <f aca="false">E1074*$E$205*N1074</f>
        <v>178.95981742574</v>
      </c>
      <c r="P1074" s="823" t="n">
        <f aca="false">P1073+O1074</f>
        <v>104997.551367207</v>
      </c>
      <c r="Q1074" s="606" t="n">
        <f aca="false">Q1073+1</f>
        <v>859</v>
      </c>
      <c r="R1074" s="824" t="n">
        <f aca="false">R1073-1</f>
        <v>-859</v>
      </c>
      <c r="S1074" s="5"/>
      <c r="T1074" s="5"/>
      <c r="U1074" s="5"/>
      <c r="V1074" s="10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02"/>
      <c r="AU1074" s="502"/>
      <c r="AV1074" s="606"/>
      <c r="AW1074" s="502"/>
      <c r="AX1074" s="502"/>
      <c r="AY1074" s="502"/>
      <c r="AZ1074" s="502"/>
      <c r="BA1074" s="502"/>
      <c r="BB1074" s="502"/>
      <c r="BC1074" s="502"/>
      <c r="BD1074" s="502"/>
      <c r="BE1074" s="502"/>
      <c r="BF1074" s="502"/>
      <c r="BG1074" s="502"/>
      <c r="BH1074" s="502"/>
      <c r="BI1074" s="502"/>
      <c r="BJ1074" s="502"/>
      <c r="BK1074" s="502"/>
      <c r="BL1074" s="502"/>
      <c r="BM1074" s="502"/>
      <c r="BN1074" s="502"/>
      <c r="BO1074" s="502"/>
      <c r="BP1074" s="5"/>
      <c r="BQ1074" s="5"/>
      <c r="BR1074" s="5"/>
      <c r="BS1074" s="5"/>
      <c r="BT1074" s="5"/>
      <c r="BU1074" s="5"/>
      <c r="BV1074" s="5"/>
      <c r="BW1074" s="5"/>
      <c r="BX1074" s="5"/>
      <c r="BY1074" s="5"/>
      <c r="BZ1074" s="5"/>
      <c r="CA1074" s="5"/>
      <c r="CB1074" s="5"/>
      <c r="CC1074" s="5"/>
      <c r="CD1074" s="5"/>
      <c r="CE1074" s="5"/>
      <c r="CF1074" s="5"/>
      <c r="CG1074" s="5"/>
      <c r="CH1074" s="5"/>
      <c r="CI1074" s="5"/>
      <c r="CJ1074" s="5"/>
      <c r="CK1074" s="5"/>
      <c r="CL1074" s="5"/>
      <c r="CM1074" s="5"/>
      <c r="CN1074" s="5"/>
      <c r="CO1074" s="5"/>
      <c r="CP1074" s="5"/>
      <c r="CQ1074" s="5"/>
      <c r="CR1074" s="5"/>
      <c r="CS1074" s="5"/>
      <c r="CT1074" s="5"/>
      <c r="CU1074" s="5"/>
      <c r="CV1074" s="5"/>
      <c r="CW1074" s="5"/>
      <c r="CX1074" s="5"/>
      <c r="CY1074" s="5"/>
      <c r="CZ1074" s="5"/>
      <c r="DA1074" s="5"/>
      <c r="DB1074" s="5"/>
      <c r="DC1074" s="5"/>
      <c r="DD1074" s="5"/>
      <c r="DE1074" s="5"/>
      <c r="DF1074" s="5"/>
      <c r="DG1074" s="5"/>
      <c r="DH1074" s="5"/>
      <c r="DI1074" s="5"/>
      <c r="DJ1074" s="5"/>
      <c r="DK1074" s="5"/>
      <c r="DL1074" s="5"/>
      <c r="DM1074" s="5"/>
      <c r="DN1074" s="5"/>
      <c r="DO1074" s="5"/>
      <c r="DP1074" s="5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</row>
    <row r="1075" s="504" customFormat="true" ht="12.75" hidden="true" customHeight="true" outlineLevel="0" collapsed="false">
      <c r="A1075" s="5"/>
      <c r="B1075" s="813" t="n">
        <f aca="false">B1074+1</f>
        <v>860</v>
      </c>
      <c r="C1075" s="814" t="n">
        <f aca="false">C1074+D1075</f>
        <v>126149.954381108</v>
      </c>
      <c r="D1075" s="815" t="n">
        <f aca="false">E1075*$E$205*M1075</f>
        <v>214.909460910888</v>
      </c>
      <c r="E1075" s="601" t="n">
        <f aca="false">E1074+$C$204</f>
        <v>13.6294686016545</v>
      </c>
      <c r="F1075" s="816" t="n">
        <f aca="false">F1074+1</f>
        <v>860</v>
      </c>
      <c r="G1075" s="775" t="n">
        <f aca="false">C1075</f>
        <v>126149.954381108</v>
      </c>
      <c r="H1075" s="817" t="n">
        <f aca="false">1000*(E1075-E1074)</f>
        <v>9.99999999999979</v>
      </c>
      <c r="I1075" s="5"/>
      <c r="J1075" s="818" t="n">
        <f aca="false">1000*(E1075-$E$215)/(B1075-$B$215)</f>
        <v>11.8300811960136</v>
      </c>
      <c r="K1075" s="732" t="n">
        <f aca="false">AVERAGE($E$216:E1075)</f>
        <v>9.32563139235227</v>
      </c>
      <c r="L1075" s="819" t="n">
        <f aca="false">L1074+1</f>
        <v>860</v>
      </c>
      <c r="M1075" s="820" t="n">
        <f aca="false">IF(B1075&lt;$E$104,$E$105,$E$106)</f>
        <v>3</v>
      </c>
      <c r="N1075" s="821" t="n">
        <f aca="false">IF(B1075&lt;$E$104,$E$105,$E$111)</f>
        <v>2.5</v>
      </c>
      <c r="O1075" s="822" t="n">
        <f aca="false">E1075*$E$205*N1075</f>
        <v>179.09121742574</v>
      </c>
      <c r="P1075" s="823" t="n">
        <f aca="false">P1074+O1075</f>
        <v>105176.642584633</v>
      </c>
      <c r="Q1075" s="606" t="n">
        <f aca="false">Q1074+1</f>
        <v>860</v>
      </c>
      <c r="R1075" s="824" t="n">
        <f aca="false">R1074-1</f>
        <v>-860</v>
      </c>
      <c r="S1075" s="5"/>
      <c r="T1075" s="5"/>
      <c r="U1075" s="5"/>
      <c r="V1075" s="10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02"/>
      <c r="AU1075" s="502"/>
      <c r="AV1075" s="606"/>
      <c r="AW1075" s="502"/>
      <c r="AX1075" s="502"/>
      <c r="AY1075" s="502"/>
      <c r="AZ1075" s="502"/>
      <c r="BA1075" s="502"/>
      <c r="BB1075" s="502"/>
      <c r="BC1075" s="502"/>
      <c r="BD1075" s="502"/>
      <c r="BE1075" s="502"/>
      <c r="BF1075" s="502"/>
      <c r="BG1075" s="502"/>
      <c r="BH1075" s="502"/>
      <c r="BI1075" s="502"/>
      <c r="BJ1075" s="502"/>
      <c r="BK1075" s="502"/>
      <c r="BL1075" s="502"/>
      <c r="BM1075" s="502"/>
      <c r="BN1075" s="502"/>
      <c r="BO1075" s="502"/>
      <c r="BP1075" s="5"/>
      <c r="BQ1075" s="5"/>
      <c r="BR1075" s="5"/>
      <c r="BS1075" s="5"/>
      <c r="BT1075" s="5"/>
      <c r="BU1075" s="5"/>
      <c r="BV1075" s="5"/>
      <c r="BW1075" s="5"/>
      <c r="BX1075" s="5"/>
      <c r="BY1075" s="5"/>
      <c r="BZ1075" s="5"/>
      <c r="CA1075" s="5"/>
      <c r="CB1075" s="5"/>
      <c r="CC1075" s="5"/>
      <c r="CD1075" s="5"/>
      <c r="CE1075" s="5"/>
      <c r="CF1075" s="5"/>
      <c r="CG1075" s="5"/>
      <c r="CH1075" s="5"/>
      <c r="CI1075" s="5"/>
      <c r="CJ1075" s="5"/>
      <c r="CK1075" s="5"/>
      <c r="CL1075" s="5"/>
      <c r="CM1075" s="5"/>
      <c r="CN1075" s="5"/>
      <c r="CO1075" s="5"/>
      <c r="CP1075" s="5"/>
      <c r="CQ1075" s="5"/>
      <c r="CR1075" s="5"/>
      <c r="CS1075" s="5"/>
      <c r="CT1075" s="5"/>
      <c r="CU1075" s="5"/>
      <c r="CV1075" s="5"/>
      <c r="CW1075" s="5"/>
      <c r="CX1075" s="5"/>
      <c r="CY1075" s="5"/>
      <c r="CZ1075" s="5"/>
      <c r="DA1075" s="5"/>
      <c r="DB1075" s="5"/>
      <c r="DC1075" s="5"/>
      <c r="DD1075" s="5"/>
      <c r="DE1075" s="5"/>
      <c r="DF1075" s="5"/>
      <c r="DG1075" s="5"/>
      <c r="DH1075" s="5"/>
      <c r="DI1075" s="5"/>
      <c r="DJ1075" s="5"/>
      <c r="DK1075" s="5"/>
      <c r="DL1075" s="5"/>
      <c r="DM1075" s="5"/>
      <c r="DN1075" s="5"/>
      <c r="DO1075" s="5"/>
      <c r="DP1075" s="5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</row>
    <row r="1076" s="504" customFormat="true" ht="12.75" hidden="true" customHeight="true" outlineLevel="0" collapsed="false">
      <c r="A1076" s="5"/>
      <c r="B1076" s="813" t="n">
        <f aca="false">B1075+1</f>
        <v>861</v>
      </c>
      <c r="C1076" s="814" t="n">
        <f aca="false">C1075+D1076</f>
        <v>126365.021522019</v>
      </c>
      <c r="D1076" s="815" t="n">
        <f aca="false">E1076*$E$205*M1076</f>
        <v>215.067140910888</v>
      </c>
      <c r="E1076" s="601" t="n">
        <f aca="false">E1075+$C$204</f>
        <v>13.6394686016545</v>
      </c>
      <c r="F1076" s="816" t="n">
        <f aca="false">F1075+1</f>
        <v>861</v>
      </c>
      <c r="G1076" s="775" t="n">
        <f aca="false">C1076</f>
        <v>126365.021522019</v>
      </c>
      <c r="H1076" s="817" t="n">
        <f aca="false">1000*(E1076-E1075)</f>
        <v>9.99999999999979</v>
      </c>
      <c r="I1076" s="5"/>
      <c r="J1076" s="818" t="n">
        <f aca="false">1000*(E1076-$E$215)/(B1076-$B$215)</f>
        <v>11.8279556661692</v>
      </c>
      <c r="K1076" s="732" t="n">
        <f aca="false">AVERAGE($E$216:E1076)</f>
        <v>9.33064165624229</v>
      </c>
      <c r="L1076" s="819" t="n">
        <f aca="false">L1075+1</f>
        <v>861</v>
      </c>
      <c r="M1076" s="820" t="n">
        <f aca="false">IF(B1076&lt;$E$104,$E$105,$E$106)</f>
        <v>3</v>
      </c>
      <c r="N1076" s="821" t="n">
        <f aca="false">IF(B1076&lt;$E$104,$E$105,$E$111)</f>
        <v>2.5</v>
      </c>
      <c r="O1076" s="822" t="n">
        <f aca="false">E1076*$E$205*N1076</f>
        <v>179.22261742574</v>
      </c>
      <c r="P1076" s="823" t="n">
        <f aca="false">P1075+O1076</f>
        <v>105355.865202059</v>
      </c>
      <c r="Q1076" s="606" t="n">
        <f aca="false">Q1075+1</f>
        <v>861</v>
      </c>
      <c r="R1076" s="824" t="n">
        <f aca="false">R1075-1</f>
        <v>-861</v>
      </c>
      <c r="S1076" s="5"/>
      <c r="T1076" s="5"/>
      <c r="U1076" s="5"/>
      <c r="V1076" s="10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02"/>
      <c r="AU1076" s="502"/>
      <c r="AV1076" s="606"/>
      <c r="AW1076" s="502"/>
      <c r="AX1076" s="502"/>
      <c r="AY1076" s="502"/>
      <c r="AZ1076" s="502"/>
      <c r="BA1076" s="502"/>
      <c r="BB1076" s="502"/>
      <c r="BC1076" s="502"/>
      <c r="BD1076" s="502"/>
      <c r="BE1076" s="502"/>
      <c r="BF1076" s="502"/>
      <c r="BG1076" s="502"/>
      <c r="BH1076" s="502"/>
      <c r="BI1076" s="502"/>
      <c r="BJ1076" s="502"/>
      <c r="BK1076" s="502"/>
      <c r="BL1076" s="502"/>
      <c r="BM1076" s="502"/>
      <c r="BN1076" s="502"/>
      <c r="BO1076" s="502"/>
      <c r="BP1076" s="5"/>
      <c r="BQ1076" s="5"/>
      <c r="BR1076" s="5"/>
      <c r="BS1076" s="5"/>
      <c r="BT1076" s="5"/>
      <c r="BU1076" s="5"/>
      <c r="BV1076" s="5"/>
      <c r="BW1076" s="5"/>
      <c r="BX1076" s="5"/>
      <c r="BY1076" s="5"/>
      <c r="BZ1076" s="5"/>
      <c r="CA1076" s="5"/>
      <c r="CB1076" s="5"/>
      <c r="CC1076" s="5"/>
      <c r="CD1076" s="5"/>
      <c r="CE1076" s="5"/>
      <c r="CF1076" s="5"/>
      <c r="CG1076" s="5"/>
      <c r="CH1076" s="5"/>
      <c r="CI1076" s="5"/>
      <c r="CJ1076" s="5"/>
      <c r="CK1076" s="5"/>
      <c r="CL1076" s="5"/>
      <c r="CM1076" s="5"/>
      <c r="CN1076" s="5"/>
      <c r="CO1076" s="5"/>
      <c r="CP1076" s="5"/>
      <c r="CQ1076" s="5"/>
      <c r="CR1076" s="5"/>
      <c r="CS1076" s="5"/>
      <c r="CT1076" s="5"/>
      <c r="CU1076" s="5"/>
      <c r="CV1076" s="5"/>
      <c r="CW1076" s="5"/>
      <c r="CX1076" s="5"/>
      <c r="CY1076" s="5"/>
      <c r="CZ1076" s="5"/>
      <c r="DA1076" s="5"/>
      <c r="DB1076" s="5"/>
      <c r="DC1076" s="5"/>
      <c r="DD1076" s="5"/>
      <c r="DE1076" s="5"/>
      <c r="DF1076" s="5"/>
      <c r="DG1076" s="5"/>
      <c r="DH1076" s="5"/>
      <c r="DI1076" s="5"/>
      <c r="DJ1076" s="5"/>
      <c r="DK1076" s="5"/>
      <c r="DL1076" s="5"/>
      <c r="DM1076" s="5"/>
      <c r="DN1076" s="5"/>
      <c r="DO1076" s="5"/>
      <c r="DP1076" s="5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</row>
    <row r="1077" s="504" customFormat="true" ht="12.75" hidden="true" customHeight="true" outlineLevel="0" collapsed="false">
      <c r="A1077" s="5"/>
      <c r="B1077" s="813" t="n">
        <f aca="false">B1076+1</f>
        <v>862</v>
      </c>
      <c r="C1077" s="814" t="n">
        <f aca="false">C1076+D1077</f>
        <v>126580.24634293</v>
      </c>
      <c r="D1077" s="815" t="n">
        <f aca="false">E1077*$E$205*M1077</f>
        <v>215.224820910888</v>
      </c>
      <c r="E1077" s="601" t="n">
        <f aca="false">E1076+$C$204</f>
        <v>13.6494686016545</v>
      </c>
      <c r="F1077" s="816" t="n">
        <f aca="false">F1076+1</f>
        <v>862</v>
      </c>
      <c r="G1077" s="775" t="n">
        <f aca="false">C1077</f>
        <v>126580.24634293</v>
      </c>
      <c r="H1077" s="817" t="n">
        <f aca="false">1000*(E1077-E1076)</f>
        <v>9.99999999999979</v>
      </c>
      <c r="I1077" s="5"/>
      <c r="J1077" s="818" t="n">
        <f aca="false">1000*(E1077-$E$215)/(B1077-$B$215)</f>
        <v>11.8258350679486</v>
      </c>
      <c r="K1077" s="732" t="n">
        <f aca="false">AVERAGE($E$216:E1077)</f>
        <v>9.33565189631817</v>
      </c>
      <c r="L1077" s="819" t="n">
        <f aca="false">L1076+1</f>
        <v>862</v>
      </c>
      <c r="M1077" s="820" t="n">
        <f aca="false">IF(B1077&lt;$E$104,$E$105,$E$106)</f>
        <v>3</v>
      </c>
      <c r="N1077" s="821" t="n">
        <f aca="false">IF(B1077&lt;$E$104,$E$105,$E$111)</f>
        <v>2.5</v>
      </c>
      <c r="O1077" s="822" t="n">
        <f aca="false">E1077*$E$205*N1077</f>
        <v>179.35401742574</v>
      </c>
      <c r="P1077" s="823" t="n">
        <f aca="false">P1076+O1077</f>
        <v>105535.219219484</v>
      </c>
      <c r="Q1077" s="606" t="n">
        <f aca="false">Q1076+1</f>
        <v>862</v>
      </c>
      <c r="R1077" s="824" t="n">
        <f aca="false">R1076-1</f>
        <v>-862</v>
      </c>
      <c r="S1077" s="5"/>
      <c r="T1077" s="5"/>
      <c r="U1077" s="5"/>
      <c r="V1077" s="10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02"/>
      <c r="AU1077" s="502"/>
      <c r="AV1077" s="606"/>
      <c r="AW1077" s="502"/>
      <c r="AX1077" s="502"/>
      <c r="AY1077" s="502"/>
      <c r="AZ1077" s="502"/>
      <c r="BA1077" s="502"/>
      <c r="BB1077" s="502"/>
      <c r="BC1077" s="502"/>
      <c r="BD1077" s="502"/>
      <c r="BE1077" s="502"/>
      <c r="BF1077" s="502"/>
      <c r="BG1077" s="502"/>
      <c r="BH1077" s="502"/>
      <c r="BI1077" s="502"/>
      <c r="BJ1077" s="502"/>
      <c r="BK1077" s="502"/>
      <c r="BL1077" s="502"/>
      <c r="BM1077" s="502"/>
      <c r="BN1077" s="502"/>
      <c r="BO1077" s="502"/>
      <c r="BP1077" s="5"/>
      <c r="BQ1077" s="5"/>
      <c r="BR1077" s="5"/>
      <c r="BS1077" s="5"/>
      <c r="BT1077" s="5"/>
      <c r="BU1077" s="5"/>
      <c r="BV1077" s="5"/>
      <c r="BW1077" s="5"/>
      <c r="BX1077" s="5"/>
      <c r="BY1077" s="5"/>
      <c r="BZ1077" s="5"/>
      <c r="CA1077" s="5"/>
      <c r="CB1077" s="5"/>
      <c r="CC1077" s="5"/>
      <c r="CD1077" s="5"/>
      <c r="CE1077" s="5"/>
      <c r="CF1077" s="5"/>
      <c r="CG1077" s="5"/>
      <c r="CH1077" s="5"/>
      <c r="CI1077" s="5"/>
      <c r="CJ1077" s="5"/>
      <c r="CK1077" s="5"/>
      <c r="CL1077" s="5"/>
      <c r="CM1077" s="5"/>
      <c r="CN1077" s="5"/>
      <c r="CO1077" s="5"/>
      <c r="CP1077" s="5"/>
      <c r="CQ1077" s="5"/>
      <c r="CR1077" s="5"/>
      <c r="CS1077" s="5"/>
      <c r="CT1077" s="5"/>
      <c r="CU1077" s="5"/>
      <c r="CV1077" s="5"/>
      <c r="CW1077" s="5"/>
      <c r="CX1077" s="5"/>
      <c r="CY1077" s="5"/>
      <c r="CZ1077" s="5"/>
      <c r="DA1077" s="5"/>
      <c r="DB1077" s="5"/>
      <c r="DC1077" s="5"/>
      <c r="DD1077" s="5"/>
      <c r="DE1077" s="5"/>
      <c r="DF1077" s="5"/>
      <c r="DG1077" s="5"/>
      <c r="DH1077" s="5"/>
      <c r="DI1077" s="5"/>
      <c r="DJ1077" s="5"/>
      <c r="DK1077" s="5"/>
      <c r="DL1077" s="5"/>
      <c r="DM1077" s="5"/>
      <c r="DN1077" s="5"/>
      <c r="DO1077" s="5"/>
      <c r="DP1077" s="5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</row>
    <row r="1078" s="504" customFormat="true" ht="12.75" hidden="true" customHeight="true" outlineLevel="0" collapsed="false">
      <c r="A1078" s="5"/>
      <c r="B1078" s="813" t="n">
        <f aca="false">B1077+1</f>
        <v>863</v>
      </c>
      <c r="C1078" s="814" t="n">
        <f aca="false">C1077+D1078</f>
        <v>126795.628843841</v>
      </c>
      <c r="D1078" s="815" t="n">
        <f aca="false">E1078*$E$205*M1078</f>
        <v>215.382500910888</v>
      </c>
      <c r="E1078" s="601" t="n">
        <f aca="false">E1077+$C$204</f>
        <v>13.6594686016545</v>
      </c>
      <c r="F1078" s="816" t="n">
        <f aca="false">F1077+1</f>
        <v>863</v>
      </c>
      <c r="G1078" s="775" t="n">
        <f aca="false">C1078</f>
        <v>126795.628843841</v>
      </c>
      <c r="H1078" s="817" t="n">
        <f aca="false">1000*(E1078-E1077)</f>
        <v>9.99999999999979</v>
      </c>
      <c r="I1078" s="5"/>
      <c r="J1078" s="818" t="n">
        <f aca="false">1000*(E1078-$E$215)/(B1078-$B$215)</f>
        <v>11.8237193842082</v>
      </c>
      <c r="K1078" s="732" t="n">
        <f aca="false">AVERAGE($E$216:E1078)</f>
        <v>9.34066211266271</v>
      </c>
      <c r="L1078" s="819" t="n">
        <f aca="false">L1077+1</f>
        <v>863</v>
      </c>
      <c r="M1078" s="820" t="n">
        <f aca="false">IF(B1078&lt;$E$104,$E$105,$E$106)</f>
        <v>3</v>
      </c>
      <c r="N1078" s="821" t="n">
        <f aca="false">IF(B1078&lt;$E$104,$E$105,$E$111)</f>
        <v>2.5</v>
      </c>
      <c r="O1078" s="822" t="n">
        <f aca="false">E1078*$E$205*N1078</f>
        <v>179.48541742574</v>
      </c>
      <c r="P1078" s="823" t="n">
        <f aca="false">P1077+O1078</f>
        <v>105714.70463691</v>
      </c>
      <c r="Q1078" s="606" t="n">
        <f aca="false">Q1077+1</f>
        <v>863</v>
      </c>
      <c r="R1078" s="824" t="n">
        <f aca="false">R1077-1</f>
        <v>-863</v>
      </c>
      <c r="S1078" s="5"/>
      <c r="T1078" s="5"/>
      <c r="U1078" s="5"/>
      <c r="V1078" s="10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02"/>
      <c r="AU1078" s="502"/>
      <c r="AV1078" s="606"/>
      <c r="AW1078" s="502"/>
      <c r="AX1078" s="502"/>
      <c r="AY1078" s="502"/>
      <c r="AZ1078" s="502"/>
      <c r="BA1078" s="502"/>
      <c r="BB1078" s="502"/>
      <c r="BC1078" s="502"/>
      <c r="BD1078" s="502"/>
      <c r="BE1078" s="502"/>
      <c r="BF1078" s="502"/>
      <c r="BG1078" s="502"/>
      <c r="BH1078" s="502"/>
      <c r="BI1078" s="502"/>
      <c r="BJ1078" s="502"/>
      <c r="BK1078" s="502"/>
      <c r="BL1078" s="502"/>
      <c r="BM1078" s="502"/>
      <c r="BN1078" s="502"/>
      <c r="BO1078" s="502"/>
      <c r="BP1078" s="5"/>
      <c r="BQ1078" s="5"/>
      <c r="BR1078" s="5"/>
      <c r="BS1078" s="5"/>
      <c r="BT1078" s="5"/>
      <c r="BU1078" s="5"/>
      <c r="BV1078" s="5"/>
      <c r="BW1078" s="5"/>
      <c r="BX1078" s="5"/>
      <c r="BY1078" s="5"/>
      <c r="BZ1078" s="5"/>
      <c r="CA1078" s="5"/>
      <c r="CB1078" s="5"/>
      <c r="CC1078" s="5"/>
      <c r="CD1078" s="5"/>
      <c r="CE1078" s="5"/>
      <c r="CF1078" s="5"/>
      <c r="CG1078" s="5"/>
      <c r="CH1078" s="5"/>
      <c r="CI1078" s="5"/>
      <c r="CJ1078" s="5"/>
      <c r="CK1078" s="5"/>
      <c r="CL1078" s="5"/>
      <c r="CM1078" s="5"/>
      <c r="CN1078" s="5"/>
      <c r="CO1078" s="5"/>
      <c r="CP1078" s="5"/>
      <c r="CQ1078" s="5"/>
      <c r="CR1078" s="5"/>
      <c r="CS1078" s="5"/>
      <c r="CT1078" s="5"/>
      <c r="CU1078" s="5"/>
      <c r="CV1078" s="5"/>
      <c r="CW1078" s="5"/>
      <c r="CX1078" s="5"/>
      <c r="CY1078" s="5"/>
      <c r="CZ1078" s="5"/>
      <c r="DA1078" s="5"/>
      <c r="DB1078" s="5"/>
      <c r="DC1078" s="5"/>
      <c r="DD1078" s="5"/>
      <c r="DE1078" s="5"/>
      <c r="DF1078" s="5"/>
      <c r="DG1078" s="5"/>
      <c r="DH1078" s="5"/>
      <c r="DI1078" s="5"/>
      <c r="DJ1078" s="5"/>
      <c r="DK1078" s="5"/>
      <c r="DL1078" s="5"/>
      <c r="DM1078" s="5"/>
      <c r="DN1078" s="5"/>
      <c r="DO1078" s="5"/>
      <c r="DP1078" s="5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</row>
    <row r="1079" s="504" customFormat="true" ht="12.75" hidden="true" customHeight="true" outlineLevel="0" collapsed="false">
      <c r="A1079" s="5"/>
      <c r="B1079" s="813" t="n">
        <f aca="false">B1078+1</f>
        <v>864</v>
      </c>
      <c r="C1079" s="814" t="n">
        <f aca="false">C1078+D1079</f>
        <v>127011.169024752</v>
      </c>
      <c r="D1079" s="815" t="n">
        <f aca="false">E1079*$E$205*M1079</f>
        <v>215.540180910888</v>
      </c>
      <c r="E1079" s="601" t="n">
        <f aca="false">E1078+$C$204</f>
        <v>13.6694686016545</v>
      </c>
      <c r="F1079" s="816" t="n">
        <f aca="false">F1078+1</f>
        <v>864</v>
      </c>
      <c r="G1079" s="775" t="n">
        <f aca="false">C1079</f>
        <v>127011.169024752</v>
      </c>
      <c r="H1079" s="817" t="n">
        <f aca="false">1000*(E1079-E1078)</f>
        <v>9.99999999999979</v>
      </c>
      <c r="I1079" s="5"/>
      <c r="J1079" s="818" t="n">
        <f aca="false">1000*(E1079-$E$215)/(B1079-$B$215)</f>
        <v>11.8216085978839</v>
      </c>
      <c r="K1079" s="732" t="n">
        <f aca="false">AVERAGE($E$216:E1079)</f>
        <v>9.3456723053583</v>
      </c>
      <c r="L1079" s="819" t="n">
        <f aca="false">L1078+1</f>
        <v>864</v>
      </c>
      <c r="M1079" s="820" t="n">
        <f aca="false">IF(B1079&lt;$E$104,$E$105,$E$106)</f>
        <v>3</v>
      </c>
      <c r="N1079" s="821" t="n">
        <f aca="false">IF(B1079&lt;$E$104,$E$105,$E$111)</f>
        <v>2.5</v>
      </c>
      <c r="O1079" s="822" t="n">
        <f aca="false">E1079*$E$205*N1079</f>
        <v>179.61681742574</v>
      </c>
      <c r="P1079" s="823" t="n">
        <f aca="false">P1078+O1079</f>
        <v>105894.321454336</v>
      </c>
      <c r="Q1079" s="606" t="n">
        <f aca="false">Q1078+1</f>
        <v>864</v>
      </c>
      <c r="R1079" s="824" t="n">
        <f aca="false">R1078-1</f>
        <v>-864</v>
      </c>
      <c r="S1079" s="5"/>
      <c r="T1079" s="5"/>
      <c r="U1079" s="5"/>
      <c r="V1079" s="10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02"/>
      <c r="AU1079" s="502"/>
      <c r="AV1079" s="606"/>
      <c r="AW1079" s="502"/>
      <c r="AX1079" s="502"/>
      <c r="AY1079" s="502"/>
      <c r="AZ1079" s="502"/>
      <c r="BA1079" s="502"/>
      <c r="BB1079" s="502"/>
      <c r="BC1079" s="502"/>
      <c r="BD1079" s="502"/>
      <c r="BE1079" s="502"/>
      <c r="BF1079" s="502"/>
      <c r="BG1079" s="502"/>
      <c r="BH1079" s="502"/>
      <c r="BI1079" s="502"/>
      <c r="BJ1079" s="502"/>
      <c r="BK1079" s="502"/>
      <c r="BL1079" s="502"/>
      <c r="BM1079" s="502"/>
      <c r="BN1079" s="502"/>
      <c r="BO1079" s="502"/>
      <c r="BP1079" s="5"/>
      <c r="BQ1079" s="5"/>
      <c r="BR1079" s="5"/>
      <c r="BS1079" s="5"/>
      <c r="BT1079" s="5"/>
      <c r="BU1079" s="5"/>
      <c r="BV1079" s="5"/>
      <c r="BW1079" s="5"/>
      <c r="BX1079" s="5"/>
      <c r="BY1079" s="5"/>
      <c r="BZ1079" s="5"/>
      <c r="CA1079" s="5"/>
      <c r="CB1079" s="5"/>
      <c r="CC1079" s="5"/>
      <c r="CD1079" s="5"/>
      <c r="CE1079" s="5"/>
      <c r="CF1079" s="5"/>
      <c r="CG1079" s="5"/>
      <c r="CH1079" s="5"/>
      <c r="CI1079" s="5"/>
      <c r="CJ1079" s="5"/>
      <c r="CK1079" s="5"/>
      <c r="CL1079" s="5"/>
      <c r="CM1079" s="5"/>
      <c r="CN1079" s="5"/>
      <c r="CO1079" s="5"/>
      <c r="CP1079" s="5"/>
      <c r="CQ1079" s="5"/>
      <c r="CR1079" s="5"/>
      <c r="CS1079" s="5"/>
      <c r="CT1079" s="5"/>
      <c r="CU1079" s="5"/>
      <c r="CV1079" s="5"/>
      <c r="CW1079" s="5"/>
      <c r="CX1079" s="5"/>
      <c r="CY1079" s="5"/>
      <c r="CZ1079" s="5"/>
      <c r="DA1079" s="5"/>
      <c r="DB1079" s="5"/>
      <c r="DC1079" s="5"/>
      <c r="DD1079" s="5"/>
      <c r="DE1079" s="5"/>
      <c r="DF1079" s="5"/>
      <c r="DG1079" s="5"/>
      <c r="DH1079" s="5"/>
      <c r="DI1079" s="5"/>
      <c r="DJ1079" s="5"/>
      <c r="DK1079" s="5"/>
      <c r="DL1079" s="5"/>
      <c r="DM1079" s="5"/>
      <c r="DN1079" s="5"/>
      <c r="DO1079" s="5"/>
      <c r="DP1079" s="5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</row>
    <row r="1080" s="504" customFormat="true" ht="12.75" hidden="true" customHeight="true" outlineLevel="0" collapsed="false">
      <c r="A1080" s="5"/>
      <c r="B1080" s="813" t="n">
        <f aca="false">B1079+1</f>
        <v>865</v>
      </c>
      <c r="C1080" s="814" t="n">
        <f aca="false">C1079+D1080</f>
        <v>127226.866885662</v>
      </c>
      <c r="D1080" s="815" t="n">
        <f aca="false">E1080*$E$205*M1080</f>
        <v>215.697860910888</v>
      </c>
      <c r="E1080" s="601" t="n">
        <f aca="false">E1079+$C$204</f>
        <v>13.6794686016545</v>
      </c>
      <c r="F1080" s="816" t="n">
        <f aca="false">F1079+1</f>
        <v>865</v>
      </c>
      <c r="G1080" s="775" t="n">
        <f aca="false">C1080</f>
        <v>127226.866885662</v>
      </c>
      <c r="H1080" s="817" t="n">
        <f aca="false">1000*(E1080-E1079)</f>
        <v>9.99999999999979</v>
      </c>
      <c r="I1080" s="5"/>
      <c r="J1080" s="818" t="n">
        <f aca="false">1000*(E1080-$E$215)/(B1080-$B$215)</f>
        <v>11.8195026919904</v>
      </c>
      <c r="K1080" s="732" t="n">
        <f aca="false">AVERAGE($E$216:E1080)</f>
        <v>9.35068247448697</v>
      </c>
      <c r="L1080" s="819" t="n">
        <f aca="false">L1079+1</f>
        <v>865</v>
      </c>
      <c r="M1080" s="820" t="n">
        <f aca="false">IF(B1080&lt;$E$104,$E$105,$E$106)</f>
        <v>3</v>
      </c>
      <c r="N1080" s="821" t="n">
        <f aca="false">IF(B1080&lt;$E$104,$E$105,$E$111)</f>
        <v>2.5</v>
      </c>
      <c r="O1080" s="822" t="n">
        <f aca="false">E1080*$E$205*N1080</f>
        <v>179.74821742574</v>
      </c>
      <c r="P1080" s="823" t="n">
        <f aca="false">P1079+O1080</f>
        <v>106074.069671762</v>
      </c>
      <c r="Q1080" s="606" t="n">
        <f aca="false">Q1079+1</f>
        <v>865</v>
      </c>
      <c r="R1080" s="824" t="n">
        <f aca="false">R1079-1</f>
        <v>-865</v>
      </c>
      <c r="S1080" s="5"/>
      <c r="T1080" s="5"/>
      <c r="U1080" s="5"/>
      <c r="V1080" s="10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02"/>
      <c r="AU1080" s="502"/>
      <c r="AV1080" s="606"/>
      <c r="AW1080" s="502"/>
      <c r="AX1080" s="502"/>
      <c r="AY1080" s="502"/>
      <c r="AZ1080" s="502"/>
      <c r="BA1080" s="502"/>
      <c r="BB1080" s="502"/>
      <c r="BC1080" s="502"/>
      <c r="BD1080" s="502"/>
      <c r="BE1080" s="502"/>
      <c r="BF1080" s="502"/>
      <c r="BG1080" s="502"/>
      <c r="BH1080" s="502"/>
      <c r="BI1080" s="502"/>
      <c r="BJ1080" s="502"/>
      <c r="BK1080" s="502"/>
      <c r="BL1080" s="502"/>
      <c r="BM1080" s="502"/>
      <c r="BN1080" s="502"/>
      <c r="BO1080" s="502"/>
      <c r="BP1080" s="5"/>
      <c r="BQ1080" s="5"/>
      <c r="BR1080" s="5"/>
      <c r="BS1080" s="5"/>
      <c r="BT1080" s="5"/>
      <c r="BU1080" s="5"/>
      <c r="BV1080" s="5"/>
      <c r="BW1080" s="5"/>
      <c r="BX1080" s="5"/>
      <c r="BY1080" s="5"/>
      <c r="BZ1080" s="5"/>
      <c r="CA1080" s="5"/>
      <c r="CB1080" s="5"/>
      <c r="CC1080" s="5"/>
      <c r="CD1080" s="5"/>
      <c r="CE1080" s="5"/>
      <c r="CF1080" s="5"/>
      <c r="CG1080" s="5"/>
      <c r="CH1080" s="5"/>
      <c r="CI1080" s="5"/>
      <c r="CJ1080" s="5"/>
      <c r="CK1080" s="5"/>
      <c r="CL1080" s="5"/>
      <c r="CM1080" s="5"/>
      <c r="CN1080" s="5"/>
      <c r="CO1080" s="5"/>
      <c r="CP1080" s="5"/>
      <c r="CQ1080" s="5"/>
      <c r="CR1080" s="5"/>
      <c r="CS1080" s="5"/>
      <c r="CT1080" s="5"/>
      <c r="CU1080" s="5"/>
      <c r="CV1080" s="5"/>
      <c r="CW1080" s="5"/>
      <c r="CX1080" s="5"/>
      <c r="CY1080" s="5"/>
      <c r="CZ1080" s="5"/>
      <c r="DA1080" s="5"/>
      <c r="DB1080" s="5"/>
      <c r="DC1080" s="5"/>
      <c r="DD1080" s="5"/>
      <c r="DE1080" s="5"/>
      <c r="DF1080" s="5"/>
      <c r="DG1080" s="5"/>
      <c r="DH1080" s="5"/>
      <c r="DI1080" s="5"/>
      <c r="DJ1080" s="5"/>
      <c r="DK1080" s="5"/>
      <c r="DL1080" s="5"/>
      <c r="DM1080" s="5"/>
      <c r="DN1080" s="5"/>
      <c r="DO1080" s="5"/>
      <c r="DP1080" s="5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</row>
    <row r="1081" s="504" customFormat="true" ht="12.75" hidden="true" customHeight="true" outlineLevel="0" collapsed="false">
      <c r="A1081" s="5"/>
      <c r="B1081" s="813" t="n">
        <f aca="false">B1080+1</f>
        <v>866</v>
      </c>
      <c r="C1081" s="814" t="n">
        <f aca="false">C1080+D1081</f>
        <v>127442.722426573</v>
      </c>
      <c r="D1081" s="815" t="n">
        <f aca="false">E1081*$E$205*M1081</f>
        <v>215.855540910888</v>
      </c>
      <c r="E1081" s="601" t="n">
        <f aca="false">E1080+$C$204</f>
        <v>13.6894686016545</v>
      </c>
      <c r="F1081" s="816" t="n">
        <f aca="false">F1080+1</f>
        <v>866</v>
      </c>
      <c r="G1081" s="775" t="n">
        <f aca="false">C1081</f>
        <v>127442.722426573</v>
      </c>
      <c r="H1081" s="817" t="n">
        <f aca="false">1000*(E1081-E1080)</f>
        <v>9.99999999999979</v>
      </c>
      <c r="I1081" s="5"/>
      <c r="J1081" s="818" t="n">
        <f aca="false">1000*(E1081-$E$215)/(B1081-$B$215)</f>
        <v>11.8174016496209</v>
      </c>
      <c r="K1081" s="732" t="n">
        <f aca="false">AVERAGE($E$216:E1081)</f>
        <v>9.35569262013035</v>
      </c>
      <c r="L1081" s="819" t="n">
        <f aca="false">L1080+1</f>
        <v>866</v>
      </c>
      <c r="M1081" s="820" t="n">
        <f aca="false">IF(B1081&lt;$E$104,$E$105,$E$106)</f>
        <v>3</v>
      </c>
      <c r="N1081" s="821" t="n">
        <f aca="false">IF(B1081&lt;$E$104,$E$105,$E$111)</f>
        <v>2.5</v>
      </c>
      <c r="O1081" s="822" t="n">
        <f aca="false">E1081*$E$205*N1081</f>
        <v>179.87961742574</v>
      </c>
      <c r="P1081" s="823" t="n">
        <f aca="false">P1080+O1081</f>
        <v>106253.949289187</v>
      </c>
      <c r="Q1081" s="606" t="n">
        <f aca="false">Q1080+1</f>
        <v>866</v>
      </c>
      <c r="R1081" s="824" t="n">
        <f aca="false">R1080-1</f>
        <v>-866</v>
      </c>
      <c r="S1081" s="5"/>
      <c r="T1081" s="5"/>
      <c r="U1081" s="5"/>
      <c r="V1081" s="10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02"/>
      <c r="AU1081" s="502"/>
      <c r="AV1081" s="606"/>
      <c r="AW1081" s="502"/>
      <c r="AX1081" s="502"/>
      <c r="AY1081" s="502"/>
      <c r="AZ1081" s="502"/>
      <c r="BA1081" s="502"/>
      <c r="BB1081" s="502"/>
      <c r="BC1081" s="502"/>
      <c r="BD1081" s="502"/>
      <c r="BE1081" s="502"/>
      <c r="BF1081" s="502"/>
      <c r="BG1081" s="502"/>
      <c r="BH1081" s="502"/>
      <c r="BI1081" s="502"/>
      <c r="BJ1081" s="502"/>
      <c r="BK1081" s="502"/>
      <c r="BL1081" s="502"/>
      <c r="BM1081" s="502"/>
      <c r="BN1081" s="502"/>
      <c r="BO1081" s="502"/>
      <c r="BP1081" s="5"/>
      <c r="BQ1081" s="5"/>
      <c r="BR1081" s="5"/>
      <c r="BS1081" s="5"/>
      <c r="BT1081" s="5"/>
      <c r="BU1081" s="5"/>
      <c r="BV1081" s="5"/>
      <c r="BW1081" s="5"/>
      <c r="BX1081" s="5"/>
      <c r="BY1081" s="5"/>
      <c r="BZ1081" s="5"/>
      <c r="CA1081" s="5"/>
      <c r="CB1081" s="5"/>
      <c r="CC1081" s="5"/>
      <c r="CD1081" s="5"/>
      <c r="CE1081" s="5"/>
      <c r="CF1081" s="5"/>
      <c r="CG1081" s="5"/>
      <c r="CH1081" s="5"/>
      <c r="CI1081" s="5"/>
      <c r="CJ1081" s="5"/>
      <c r="CK1081" s="5"/>
      <c r="CL1081" s="5"/>
      <c r="CM1081" s="5"/>
      <c r="CN1081" s="5"/>
      <c r="CO1081" s="5"/>
      <c r="CP1081" s="5"/>
      <c r="CQ1081" s="5"/>
      <c r="CR1081" s="5"/>
      <c r="CS1081" s="5"/>
      <c r="CT1081" s="5"/>
      <c r="CU1081" s="5"/>
      <c r="CV1081" s="5"/>
      <c r="CW1081" s="5"/>
      <c r="CX1081" s="5"/>
      <c r="CY1081" s="5"/>
      <c r="CZ1081" s="5"/>
      <c r="DA1081" s="5"/>
      <c r="DB1081" s="5"/>
      <c r="DC1081" s="5"/>
      <c r="DD1081" s="5"/>
      <c r="DE1081" s="5"/>
      <c r="DF1081" s="5"/>
      <c r="DG1081" s="5"/>
      <c r="DH1081" s="5"/>
      <c r="DI1081" s="5"/>
      <c r="DJ1081" s="5"/>
      <c r="DK1081" s="5"/>
      <c r="DL1081" s="5"/>
      <c r="DM1081" s="5"/>
      <c r="DN1081" s="5"/>
      <c r="DO1081" s="5"/>
      <c r="DP1081" s="5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</row>
    <row r="1082" s="504" customFormat="true" ht="12.75" hidden="true" customHeight="true" outlineLevel="0" collapsed="false">
      <c r="A1082" s="5"/>
      <c r="B1082" s="813" t="n">
        <f aca="false">B1081+1</f>
        <v>867</v>
      </c>
      <c r="C1082" s="814" t="n">
        <f aca="false">C1081+D1082</f>
        <v>127658.735647484</v>
      </c>
      <c r="D1082" s="815" t="n">
        <f aca="false">E1082*$E$205*M1082</f>
        <v>216.013220910888</v>
      </c>
      <c r="E1082" s="601" t="n">
        <f aca="false">E1081+$C$204</f>
        <v>13.6994686016545</v>
      </c>
      <c r="F1082" s="816" t="n">
        <f aca="false">F1081+1</f>
        <v>867</v>
      </c>
      <c r="G1082" s="775" t="n">
        <f aca="false">C1082</f>
        <v>127658.735647484</v>
      </c>
      <c r="H1082" s="817" t="n">
        <f aca="false">1000*(E1082-E1081)</f>
        <v>9.99999999999979</v>
      </c>
      <c r="I1082" s="5"/>
      <c r="J1082" s="818" t="n">
        <f aca="false">1000*(E1082-$E$215)/(B1082-$B$215)</f>
        <v>11.8153054539466</v>
      </c>
      <c r="K1082" s="732" t="n">
        <f aca="false">AVERAGE($E$216:E1082)</f>
        <v>9.36070274236971</v>
      </c>
      <c r="L1082" s="819" t="n">
        <f aca="false">L1081+1</f>
        <v>867</v>
      </c>
      <c r="M1082" s="820" t="n">
        <f aca="false">IF(B1082&lt;$E$104,$E$105,$E$106)</f>
        <v>3</v>
      </c>
      <c r="N1082" s="821" t="n">
        <f aca="false">IF(B1082&lt;$E$104,$E$105,$E$111)</f>
        <v>2.5</v>
      </c>
      <c r="O1082" s="822" t="n">
        <f aca="false">E1082*$E$205*N1082</f>
        <v>180.01101742574</v>
      </c>
      <c r="P1082" s="823" t="n">
        <f aca="false">P1081+O1082</f>
        <v>106433.960306613</v>
      </c>
      <c r="Q1082" s="606" t="n">
        <f aca="false">Q1081+1</f>
        <v>867</v>
      </c>
      <c r="R1082" s="824" t="n">
        <f aca="false">R1081-1</f>
        <v>-867</v>
      </c>
      <c r="S1082" s="5"/>
      <c r="T1082" s="5"/>
      <c r="U1082" s="5"/>
      <c r="V1082" s="10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02"/>
      <c r="AU1082" s="502"/>
      <c r="AV1082" s="606"/>
      <c r="AW1082" s="502"/>
      <c r="AX1082" s="502"/>
      <c r="AY1082" s="502"/>
      <c r="AZ1082" s="502"/>
      <c r="BA1082" s="502"/>
      <c r="BB1082" s="502"/>
      <c r="BC1082" s="502"/>
      <c r="BD1082" s="502"/>
      <c r="BE1082" s="502"/>
      <c r="BF1082" s="502"/>
      <c r="BG1082" s="502"/>
      <c r="BH1082" s="502"/>
      <c r="BI1082" s="502"/>
      <c r="BJ1082" s="502"/>
      <c r="BK1082" s="502"/>
      <c r="BL1082" s="502"/>
      <c r="BM1082" s="502"/>
      <c r="BN1082" s="502"/>
      <c r="BO1082" s="502"/>
      <c r="BP1082" s="5"/>
      <c r="BQ1082" s="5"/>
      <c r="BR1082" s="5"/>
      <c r="BS1082" s="5"/>
      <c r="BT1082" s="5"/>
      <c r="BU1082" s="5"/>
      <c r="BV1082" s="5"/>
      <c r="BW1082" s="5"/>
      <c r="BX1082" s="5"/>
      <c r="BY1082" s="5"/>
      <c r="BZ1082" s="5"/>
      <c r="CA1082" s="5"/>
      <c r="CB1082" s="5"/>
      <c r="CC1082" s="5"/>
      <c r="CD1082" s="5"/>
      <c r="CE1082" s="5"/>
      <c r="CF1082" s="5"/>
      <c r="CG1082" s="5"/>
      <c r="CH1082" s="5"/>
      <c r="CI1082" s="5"/>
      <c r="CJ1082" s="5"/>
      <c r="CK1082" s="5"/>
      <c r="CL1082" s="5"/>
      <c r="CM1082" s="5"/>
      <c r="CN1082" s="5"/>
      <c r="CO1082" s="5"/>
      <c r="CP1082" s="5"/>
      <c r="CQ1082" s="5"/>
      <c r="CR1082" s="5"/>
      <c r="CS1082" s="5"/>
      <c r="CT1082" s="5"/>
      <c r="CU1082" s="5"/>
      <c r="CV1082" s="5"/>
      <c r="CW1082" s="5"/>
      <c r="CX1082" s="5"/>
      <c r="CY1082" s="5"/>
      <c r="CZ1082" s="5"/>
      <c r="DA1082" s="5"/>
      <c r="DB1082" s="5"/>
      <c r="DC1082" s="5"/>
      <c r="DD1082" s="5"/>
      <c r="DE1082" s="5"/>
      <c r="DF1082" s="5"/>
      <c r="DG1082" s="5"/>
      <c r="DH1082" s="5"/>
      <c r="DI1082" s="5"/>
      <c r="DJ1082" s="5"/>
      <c r="DK1082" s="5"/>
      <c r="DL1082" s="5"/>
      <c r="DM1082" s="5"/>
      <c r="DN1082" s="5"/>
      <c r="DO1082" s="5"/>
      <c r="DP1082" s="5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</row>
    <row r="1083" s="504" customFormat="true" ht="12.75" hidden="true" customHeight="true" outlineLevel="0" collapsed="false">
      <c r="A1083" s="5"/>
      <c r="B1083" s="813" t="n">
        <f aca="false">B1082+1</f>
        <v>868</v>
      </c>
      <c r="C1083" s="814" t="n">
        <f aca="false">C1082+D1083</f>
        <v>127874.906548395</v>
      </c>
      <c r="D1083" s="815" t="n">
        <f aca="false">E1083*$E$205*M1083</f>
        <v>216.170900910888</v>
      </c>
      <c r="E1083" s="601" t="n">
        <f aca="false">E1082+$C$204</f>
        <v>13.7094686016545</v>
      </c>
      <c r="F1083" s="816" t="n">
        <f aca="false">F1082+1</f>
        <v>868</v>
      </c>
      <c r="G1083" s="775" t="n">
        <f aca="false">C1083</f>
        <v>127874.906548395</v>
      </c>
      <c r="H1083" s="817" t="n">
        <f aca="false">1000*(E1083-E1082)</f>
        <v>9.99999999999979</v>
      </c>
      <c r="I1083" s="5"/>
      <c r="J1083" s="818" t="n">
        <f aca="false">1000*(E1083-$E$215)/(B1083-$B$215)</f>
        <v>11.8132140882162</v>
      </c>
      <c r="K1083" s="732" t="n">
        <f aca="false">AVERAGE($E$216:E1083)</f>
        <v>9.36571284128593</v>
      </c>
      <c r="L1083" s="819" t="n">
        <f aca="false">L1082+1</f>
        <v>868</v>
      </c>
      <c r="M1083" s="820" t="n">
        <f aca="false">IF(B1083&lt;$E$104,$E$105,$E$106)</f>
        <v>3</v>
      </c>
      <c r="N1083" s="821" t="n">
        <f aca="false">IF(B1083&lt;$E$104,$E$105,$E$111)</f>
        <v>2.5</v>
      </c>
      <c r="O1083" s="822" t="n">
        <f aca="false">E1083*$E$205*N1083</f>
        <v>180.14241742574</v>
      </c>
      <c r="P1083" s="823" t="n">
        <f aca="false">P1082+O1083</f>
        <v>106614.102724039</v>
      </c>
      <c r="Q1083" s="606" t="n">
        <f aca="false">Q1082+1</f>
        <v>868</v>
      </c>
      <c r="R1083" s="824" t="n">
        <f aca="false">R1082-1</f>
        <v>-868</v>
      </c>
      <c r="S1083" s="5"/>
      <c r="T1083" s="5"/>
      <c r="U1083" s="5"/>
      <c r="V1083" s="10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02"/>
      <c r="AU1083" s="502"/>
      <c r="AV1083" s="606"/>
      <c r="AW1083" s="502"/>
      <c r="AX1083" s="502"/>
      <c r="AY1083" s="502"/>
      <c r="AZ1083" s="502"/>
      <c r="BA1083" s="502"/>
      <c r="BB1083" s="502"/>
      <c r="BC1083" s="502"/>
      <c r="BD1083" s="502"/>
      <c r="BE1083" s="502"/>
      <c r="BF1083" s="502"/>
      <c r="BG1083" s="502"/>
      <c r="BH1083" s="502"/>
      <c r="BI1083" s="502"/>
      <c r="BJ1083" s="502"/>
      <c r="BK1083" s="502"/>
      <c r="BL1083" s="502"/>
      <c r="BM1083" s="502"/>
      <c r="BN1083" s="502"/>
      <c r="BO1083" s="502"/>
      <c r="BP1083" s="5"/>
      <c r="BQ1083" s="5"/>
      <c r="BR1083" s="5"/>
      <c r="BS1083" s="5"/>
      <c r="BT1083" s="5"/>
      <c r="BU1083" s="5"/>
      <c r="BV1083" s="5"/>
      <c r="BW1083" s="5"/>
      <c r="BX1083" s="5"/>
      <c r="BY1083" s="5"/>
      <c r="BZ1083" s="5"/>
      <c r="CA1083" s="5"/>
      <c r="CB1083" s="5"/>
      <c r="CC1083" s="5"/>
      <c r="CD1083" s="5"/>
      <c r="CE1083" s="5"/>
      <c r="CF1083" s="5"/>
      <c r="CG1083" s="5"/>
      <c r="CH1083" s="5"/>
      <c r="CI1083" s="5"/>
      <c r="CJ1083" s="5"/>
      <c r="CK1083" s="5"/>
      <c r="CL1083" s="5"/>
      <c r="CM1083" s="5"/>
      <c r="CN1083" s="5"/>
      <c r="CO1083" s="5"/>
      <c r="CP1083" s="5"/>
      <c r="CQ1083" s="5"/>
      <c r="CR1083" s="5"/>
      <c r="CS1083" s="5"/>
      <c r="CT1083" s="5"/>
      <c r="CU1083" s="5"/>
      <c r="CV1083" s="5"/>
      <c r="CW1083" s="5"/>
      <c r="CX1083" s="5"/>
      <c r="CY1083" s="5"/>
      <c r="CZ1083" s="5"/>
      <c r="DA1083" s="5"/>
      <c r="DB1083" s="5"/>
      <c r="DC1083" s="5"/>
      <c r="DD1083" s="5"/>
      <c r="DE1083" s="5"/>
      <c r="DF1083" s="5"/>
      <c r="DG1083" s="5"/>
      <c r="DH1083" s="5"/>
      <c r="DI1083" s="5"/>
      <c r="DJ1083" s="5"/>
      <c r="DK1083" s="5"/>
      <c r="DL1083" s="5"/>
      <c r="DM1083" s="5"/>
      <c r="DN1083" s="5"/>
      <c r="DO1083" s="5"/>
      <c r="DP1083" s="5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</row>
    <row r="1084" s="504" customFormat="true" ht="12.75" hidden="true" customHeight="true" outlineLevel="0" collapsed="false">
      <c r="A1084" s="5"/>
      <c r="B1084" s="813" t="n">
        <f aca="false">B1083+1</f>
        <v>869</v>
      </c>
      <c r="C1084" s="814" t="n">
        <f aca="false">C1083+D1084</f>
        <v>128091.235129306</v>
      </c>
      <c r="D1084" s="815" t="n">
        <f aca="false">E1084*$E$205*M1084</f>
        <v>216.328580910888</v>
      </c>
      <c r="E1084" s="601" t="n">
        <f aca="false">E1083+$C$204</f>
        <v>13.7194686016545</v>
      </c>
      <c r="F1084" s="816" t="n">
        <f aca="false">F1083+1</f>
        <v>869</v>
      </c>
      <c r="G1084" s="775" t="n">
        <f aca="false">C1084</f>
        <v>128091.235129306</v>
      </c>
      <c r="H1084" s="817" t="n">
        <f aca="false">1000*(E1084-E1083)</f>
        <v>9.99999999999979</v>
      </c>
      <c r="I1084" s="5"/>
      <c r="J1084" s="818" t="n">
        <f aca="false">1000*(E1084-$E$215)/(B1084-$B$215)</f>
        <v>11.8111275357556</v>
      </c>
      <c r="K1084" s="732" t="n">
        <f aca="false">AVERAGE($E$216:E1084)</f>
        <v>9.37072291695955</v>
      </c>
      <c r="L1084" s="819" t="n">
        <f aca="false">L1083+1</f>
        <v>869</v>
      </c>
      <c r="M1084" s="820" t="n">
        <f aca="false">IF(B1084&lt;$E$104,$E$105,$E$106)</f>
        <v>3</v>
      </c>
      <c r="N1084" s="821" t="n">
        <f aca="false">IF(B1084&lt;$E$104,$E$105,$E$111)</f>
        <v>2.5</v>
      </c>
      <c r="O1084" s="822" t="n">
        <f aca="false">E1084*$E$205*N1084</f>
        <v>180.27381742574</v>
      </c>
      <c r="P1084" s="823" t="n">
        <f aca="false">P1083+O1084</f>
        <v>106794.376541465</v>
      </c>
      <c r="Q1084" s="606" t="n">
        <f aca="false">Q1083+1</f>
        <v>869</v>
      </c>
      <c r="R1084" s="824" t="n">
        <f aca="false">R1083-1</f>
        <v>-869</v>
      </c>
      <c r="S1084" s="5"/>
      <c r="T1084" s="5"/>
      <c r="U1084" s="5"/>
      <c r="V1084" s="10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02"/>
      <c r="AU1084" s="502"/>
      <c r="AV1084" s="606"/>
      <c r="AW1084" s="502"/>
      <c r="AX1084" s="502"/>
      <c r="AY1084" s="502"/>
      <c r="AZ1084" s="502"/>
      <c r="BA1084" s="502"/>
      <c r="BB1084" s="502"/>
      <c r="BC1084" s="502"/>
      <c r="BD1084" s="502"/>
      <c r="BE1084" s="502"/>
      <c r="BF1084" s="502"/>
      <c r="BG1084" s="502"/>
      <c r="BH1084" s="502"/>
      <c r="BI1084" s="502"/>
      <c r="BJ1084" s="502"/>
      <c r="BK1084" s="502"/>
      <c r="BL1084" s="502"/>
      <c r="BM1084" s="502"/>
      <c r="BN1084" s="502"/>
      <c r="BO1084" s="502"/>
      <c r="BP1084" s="5"/>
      <c r="BQ1084" s="5"/>
      <c r="BR1084" s="5"/>
      <c r="BS1084" s="5"/>
      <c r="BT1084" s="5"/>
      <c r="BU1084" s="5"/>
      <c r="BV1084" s="5"/>
      <c r="BW1084" s="5"/>
      <c r="BX1084" s="5"/>
      <c r="BY1084" s="5"/>
      <c r="BZ1084" s="5"/>
      <c r="CA1084" s="5"/>
      <c r="CB1084" s="5"/>
      <c r="CC1084" s="5"/>
      <c r="CD1084" s="5"/>
      <c r="CE1084" s="5"/>
      <c r="CF1084" s="5"/>
      <c r="CG1084" s="5"/>
      <c r="CH1084" s="5"/>
      <c r="CI1084" s="5"/>
      <c r="CJ1084" s="5"/>
      <c r="CK1084" s="5"/>
      <c r="CL1084" s="5"/>
      <c r="CM1084" s="5"/>
      <c r="CN1084" s="5"/>
      <c r="CO1084" s="5"/>
      <c r="CP1084" s="5"/>
      <c r="CQ1084" s="5"/>
      <c r="CR1084" s="5"/>
      <c r="CS1084" s="5"/>
      <c r="CT1084" s="5"/>
      <c r="CU1084" s="5"/>
      <c r="CV1084" s="5"/>
      <c r="CW1084" s="5"/>
      <c r="CX1084" s="5"/>
      <c r="CY1084" s="5"/>
      <c r="CZ1084" s="5"/>
      <c r="DA1084" s="5"/>
      <c r="DB1084" s="5"/>
      <c r="DC1084" s="5"/>
      <c r="DD1084" s="5"/>
      <c r="DE1084" s="5"/>
      <c r="DF1084" s="5"/>
      <c r="DG1084" s="5"/>
      <c r="DH1084" s="5"/>
      <c r="DI1084" s="5"/>
      <c r="DJ1084" s="5"/>
      <c r="DK1084" s="5"/>
      <c r="DL1084" s="5"/>
      <c r="DM1084" s="5"/>
      <c r="DN1084" s="5"/>
      <c r="DO1084" s="5"/>
      <c r="DP1084" s="5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</row>
    <row r="1085" s="504" customFormat="true" ht="12.75" hidden="true" customHeight="true" outlineLevel="0" collapsed="false">
      <c r="A1085" s="5"/>
      <c r="B1085" s="813" t="n">
        <f aca="false">B1084+1</f>
        <v>870</v>
      </c>
      <c r="C1085" s="814" t="n">
        <f aca="false">C1084+D1085</f>
        <v>128307.721390217</v>
      </c>
      <c r="D1085" s="815" t="n">
        <f aca="false">E1085*$E$205*M1085</f>
        <v>216.486260910888</v>
      </c>
      <c r="E1085" s="601" t="n">
        <f aca="false">E1084+$C$204</f>
        <v>13.7294686016545</v>
      </c>
      <c r="F1085" s="816" t="n">
        <f aca="false">F1084+1</f>
        <v>870</v>
      </c>
      <c r="G1085" s="775" t="n">
        <f aca="false">C1085</f>
        <v>128307.721390217</v>
      </c>
      <c r="H1085" s="817" t="n">
        <f aca="false">1000*(E1085-E1084)</f>
        <v>9.99999999999979</v>
      </c>
      <c r="I1085" s="5"/>
      <c r="J1085" s="818" t="n">
        <f aca="false">1000*(E1085-$E$215)/(B1085-$B$215)</f>
        <v>11.8090457799674</v>
      </c>
      <c r="K1085" s="732" t="n">
        <f aca="false">AVERAGE($E$216:E1085)</f>
        <v>9.37573296947069</v>
      </c>
      <c r="L1085" s="819" t="n">
        <f aca="false">L1084+1</f>
        <v>870</v>
      </c>
      <c r="M1085" s="820" t="n">
        <f aca="false">IF(B1085&lt;$E$104,$E$105,$E$106)</f>
        <v>3</v>
      </c>
      <c r="N1085" s="821" t="n">
        <f aca="false">IF(B1085&lt;$E$104,$E$105,$E$111)</f>
        <v>2.5</v>
      </c>
      <c r="O1085" s="822" t="n">
        <f aca="false">E1085*$E$205*N1085</f>
        <v>180.40521742574</v>
      </c>
      <c r="P1085" s="823" t="n">
        <f aca="false">P1084+O1085</f>
        <v>106974.78175889</v>
      </c>
      <c r="Q1085" s="606" t="n">
        <f aca="false">Q1084+1</f>
        <v>870</v>
      </c>
      <c r="R1085" s="824" t="n">
        <f aca="false">R1084-1</f>
        <v>-870</v>
      </c>
      <c r="S1085" s="5"/>
      <c r="T1085" s="5"/>
      <c r="U1085" s="5"/>
      <c r="V1085" s="10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02"/>
      <c r="AU1085" s="502"/>
      <c r="AV1085" s="606"/>
      <c r="AW1085" s="502"/>
      <c r="AX1085" s="502"/>
      <c r="AY1085" s="502"/>
      <c r="AZ1085" s="502"/>
      <c r="BA1085" s="502"/>
      <c r="BB1085" s="502"/>
      <c r="BC1085" s="502"/>
      <c r="BD1085" s="502"/>
      <c r="BE1085" s="502"/>
      <c r="BF1085" s="502"/>
      <c r="BG1085" s="502"/>
      <c r="BH1085" s="502"/>
      <c r="BI1085" s="502"/>
      <c r="BJ1085" s="502"/>
      <c r="BK1085" s="502"/>
      <c r="BL1085" s="502"/>
      <c r="BM1085" s="502"/>
      <c r="BN1085" s="502"/>
      <c r="BO1085" s="502"/>
      <c r="BP1085" s="5"/>
      <c r="BQ1085" s="5"/>
      <c r="BR1085" s="5"/>
      <c r="BS1085" s="5"/>
      <c r="BT1085" s="5"/>
      <c r="BU1085" s="5"/>
      <c r="BV1085" s="5"/>
      <c r="BW1085" s="5"/>
      <c r="BX1085" s="5"/>
      <c r="BY1085" s="5"/>
      <c r="BZ1085" s="5"/>
      <c r="CA1085" s="5"/>
      <c r="CB1085" s="5"/>
      <c r="CC1085" s="5"/>
      <c r="CD1085" s="5"/>
      <c r="CE1085" s="5"/>
      <c r="CF1085" s="5"/>
      <c r="CG1085" s="5"/>
      <c r="CH1085" s="5"/>
      <c r="CI1085" s="5"/>
      <c r="CJ1085" s="5"/>
      <c r="CK1085" s="5"/>
      <c r="CL1085" s="5"/>
      <c r="CM1085" s="5"/>
      <c r="CN1085" s="5"/>
      <c r="CO1085" s="5"/>
      <c r="CP1085" s="5"/>
      <c r="CQ1085" s="5"/>
      <c r="CR1085" s="5"/>
      <c r="CS1085" s="5"/>
      <c r="CT1085" s="5"/>
      <c r="CU1085" s="5"/>
      <c r="CV1085" s="5"/>
      <c r="CW1085" s="5"/>
      <c r="CX1085" s="5"/>
      <c r="CY1085" s="5"/>
      <c r="CZ1085" s="5"/>
      <c r="DA1085" s="5"/>
      <c r="DB1085" s="5"/>
      <c r="DC1085" s="5"/>
      <c r="DD1085" s="5"/>
      <c r="DE1085" s="5"/>
      <c r="DF1085" s="5"/>
      <c r="DG1085" s="5"/>
      <c r="DH1085" s="5"/>
      <c r="DI1085" s="5"/>
      <c r="DJ1085" s="5"/>
      <c r="DK1085" s="5"/>
      <c r="DL1085" s="5"/>
      <c r="DM1085" s="5"/>
      <c r="DN1085" s="5"/>
      <c r="DO1085" s="5"/>
      <c r="DP1085" s="5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</row>
    <row r="1086" s="504" customFormat="true" ht="12.75" hidden="true" customHeight="true" outlineLevel="0" collapsed="false">
      <c r="A1086" s="5"/>
      <c r="B1086" s="813" t="n">
        <f aca="false">B1085+1</f>
        <v>871</v>
      </c>
      <c r="C1086" s="814" t="n">
        <f aca="false">C1085+D1086</f>
        <v>128524.365331128</v>
      </c>
      <c r="D1086" s="815" t="n">
        <f aca="false">E1086*$E$205*M1086</f>
        <v>216.643940910888</v>
      </c>
      <c r="E1086" s="601" t="n">
        <f aca="false">E1085+$C$204</f>
        <v>13.7394686016545</v>
      </c>
      <c r="F1086" s="816" t="n">
        <f aca="false">F1085+1</f>
        <v>871</v>
      </c>
      <c r="G1086" s="775" t="n">
        <f aca="false">C1086</f>
        <v>128524.365331128</v>
      </c>
      <c r="H1086" s="817" t="n">
        <f aca="false">1000*(E1086-E1085)</f>
        <v>9.99999999999979</v>
      </c>
      <c r="I1086" s="5"/>
      <c r="J1086" s="818" t="n">
        <f aca="false">1000*(E1086-$E$215)/(B1086-$B$215)</f>
        <v>11.8069688043303</v>
      </c>
      <c r="K1086" s="732" t="n">
        <f aca="false">AVERAGE($E$216:E1086)</f>
        <v>9.38074299889914</v>
      </c>
      <c r="L1086" s="819" t="n">
        <f aca="false">L1085+1</f>
        <v>871</v>
      </c>
      <c r="M1086" s="820" t="n">
        <f aca="false">IF(B1086&lt;$E$104,$E$105,$E$106)</f>
        <v>3</v>
      </c>
      <c r="N1086" s="821" t="n">
        <f aca="false">IF(B1086&lt;$E$104,$E$105,$E$111)</f>
        <v>2.5</v>
      </c>
      <c r="O1086" s="822" t="n">
        <f aca="false">E1086*$E$205*N1086</f>
        <v>180.53661742574</v>
      </c>
      <c r="P1086" s="823" t="n">
        <f aca="false">P1085+O1086</f>
        <v>107155.318376316</v>
      </c>
      <c r="Q1086" s="606" t="n">
        <f aca="false">Q1085+1</f>
        <v>871</v>
      </c>
      <c r="R1086" s="824" t="n">
        <f aca="false">R1085-1</f>
        <v>-871</v>
      </c>
      <c r="S1086" s="5"/>
      <c r="T1086" s="5"/>
      <c r="U1086" s="5"/>
      <c r="V1086" s="10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02"/>
      <c r="AU1086" s="502"/>
      <c r="AV1086" s="606"/>
      <c r="AW1086" s="502"/>
      <c r="AX1086" s="502"/>
      <c r="AY1086" s="502"/>
      <c r="AZ1086" s="502"/>
      <c r="BA1086" s="502"/>
      <c r="BB1086" s="502"/>
      <c r="BC1086" s="502"/>
      <c r="BD1086" s="502"/>
      <c r="BE1086" s="502"/>
      <c r="BF1086" s="502"/>
      <c r="BG1086" s="502"/>
      <c r="BH1086" s="502"/>
      <c r="BI1086" s="502"/>
      <c r="BJ1086" s="502"/>
      <c r="BK1086" s="502"/>
      <c r="BL1086" s="502"/>
      <c r="BM1086" s="502"/>
      <c r="BN1086" s="502"/>
      <c r="BO1086" s="502"/>
      <c r="BP1086" s="5"/>
      <c r="BQ1086" s="5"/>
      <c r="BR1086" s="5"/>
      <c r="BS1086" s="5"/>
      <c r="BT1086" s="5"/>
      <c r="BU1086" s="5"/>
      <c r="BV1086" s="5"/>
      <c r="BW1086" s="5"/>
      <c r="BX1086" s="5"/>
      <c r="BY1086" s="5"/>
      <c r="BZ1086" s="5"/>
      <c r="CA1086" s="5"/>
      <c r="CB1086" s="5"/>
      <c r="CC1086" s="5"/>
      <c r="CD1086" s="5"/>
      <c r="CE1086" s="5"/>
      <c r="CF1086" s="5"/>
      <c r="CG1086" s="5"/>
      <c r="CH1086" s="5"/>
      <c r="CI1086" s="5"/>
      <c r="CJ1086" s="5"/>
      <c r="CK1086" s="5"/>
      <c r="CL1086" s="5"/>
      <c r="CM1086" s="5"/>
      <c r="CN1086" s="5"/>
      <c r="CO1086" s="5"/>
      <c r="CP1086" s="5"/>
      <c r="CQ1086" s="5"/>
      <c r="CR1086" s="5"/>
      <c r="CS1086" s="5"/>
      <c r="CT1086" s="5"/>
      <c r="CU1086" s="5"/>
      <c r="CV1086" s="5"/>
      <c r="CW1086" s="5"/>
      <c r="CX1086" s="5"/>
      <c r="CY1086" s="5"/>
      <c r="CZ1086" s="5"/>
      <c r="DA1086" s="5"/>
      <c r="DB1086" s="5"/>
      <c r="DC1086" s="5"/>
      <c r="DD1086" s="5"/>
      <c r="DE1086" s="5"/>
      <c r="DF1086" s="5"/>
      <c r="DG1086" s="5"/>
      <c r="DH1086" s="5"/>
      <c r="DI1086" s="5"/>
      <c r="DJ1086" s="5"/>
      <c r="DK1086" s="5"/>
      <c r="DL1086" s="5"/>
      <c r="DM1086" s="5"/>
      <c r="DN1086" s="5"/>
      <c r="DO1086" s="5"/>
      <c r="DP1086" s="5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</row>
    <row r="1087" s="504" customFormat="true" ht="12.75" hidden="true" customHeight="true" outlineLevel="0" collapsed="false">
      <c r="A1087" s="5"/>
      <c r="B1087" s="813" t="n">
        <f aca="false">B1086+1</f>
        <v>872</v>
      </c>
      <c r="C1087" s="814" t="n">
        <f aca="false">C1086+D1087</f>
        <v>128741.166952039</v>
      </c>
      <c r="D1087" s="815" t="n">
        <f aca="false">E1087*$E$205*M1087</f>
        <v>216.801620910888</v>
      </c>
      <c r="E1087" s="601" t="n">
        <f aca="false">E1086+$C$204</f>
        <v>13.7494686016545</v>
      </c>
      <c r="F1087" s="816" t="n">
        <f aca="false">F1086+1</f>
        <v>872</v>
      </c>
      <c r="G1087" s="775" t="n">
        <f aca="false">C1087</f>
        <v>128741.166952039</v>
      </c>
      <c r="H1087" s="817" t="n">
        <f aca="false">1000*(E1087-E1086)</f>
        <v>9.99999999999979</v>
      </c>
      <c r="I1087" s="5"/>
      <c r="J1087" s="818" t="n">
        <f aca="false">1000*(E1087-$E$215)/(B1087-$B$215)</f>
        <v>11.8048965923987</v>
      </c>
      <c r="K1087" s="732" t="n">
        <f aca="false">AVERAGE($E$216:E1087)</f>
        <v>9.38575300532432</v>
      </c>
      <c r="L1087" s="819" t="n">
        <f aca="false">L1086+1</f>
        <v>872</v>
      </c>
      <c r="M1087" s="820" t="n">
        <f aca="false">IF(B1087&lt;$E$104,$E$105,$E$106)</f>
        <v>3</v>
      </c>
      <c r="N1087" s="821" t="n">
        <f aca="false">IF(B1087&lt;$E$104,$E$105,$E$111)</f>
        <v>2.5</v>
      </c>
      <c r="O1087" s="822" t="n">
        <f aca="false">E1087*$E$205*N1087</f>
        <v>180.66801742574</v>
      </c>
      <c r="P1087" s="823" t="n">
        <f aca="false">P1086+O1087</f>
        <v>107335.986393742</v>
      </c>
      <c r="Q1087" s="606" t="n">
        <f aca="false">Q1086+1</f>
        <v>872</v>
      </c>
      <c r="R1087" s="824" t="n">
        <f aca="false">R1086-1</f>
        <v>-872</v>
      </c>
      <c r="S1087" s="5"/>
      <c r="T1087" s="5"/>
      <c r="U1087" s="5"/>
      <c r="V1087" s="10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02"/>
      <c r="AU1087" s="502"/>
      <c r="AV1087" s="606"/>
      <c r="AW1087" s="502"/>
      <c r="AX1087" s="502"/>
      <c r="AY1087" s="502"/>
      <c r="AZ1087" s="502"/>
      <c r="BA1087" s="502"/>
      <c r="BB1087" s="502"/>
      <c r="BC1087" s="502"/>
      <c r="BD1087" s="502"/>
      <c r="BE1087" s="502"/>
      <c r="BF1087" s="502"/>
      <c r="BG1087" s="502"/>
      <c r="BH1087" s="502"/>
      <c r="BI1087" s="502"/>
      <c r="BJ1087" s="502"/>
      <c r="BK1087" s="502"/>
      <c r="BL1087" s="502"/>
      <c r="BM1087" s="502"/>
      <c r="BN1087" s="502"/>
      <c r="BO1087" s="502"/>
      <c r="BP1087" s="5"/>
      <c r="BQ1087" s="5"/>
      <c r="BR1087" s="5"/>
      <c r="BS1087" s="5"/>
      <c r="BT1087" s="5"/>
      <c r="BU1087" s="5"/>
      <c r="BV1087" s="5"/>
      <c r="BW1087" s="5"/>
      <c r="BX1087" s="5"/>
      <c r="BY1087" s="5"/>
      <c r="BZ1087" s="5"/>
      <c r="CA1087" s="5"/>
      <c r="CB1087" s="5"/>
      <c r="CC1087" s="5"/>
      <c r="CD1087" s="5"/>
      <c r="CE1087" s="5"/>
      <c r="CF1087" s="5"/>
      <c r="CG1087" s="5"/>
      <c r="CH1087" s="5"/>
      <c r="CI1087" s="5"/>
      <c r="CJ1087" s="5"/>
      <c r="CK1087" s="5"/>
      <c r="CL1087" s="5"/>
      <c r="CM1087" s="5"/>
      <c r="CN1087" s="5"/>
      <c r="CO1087" s="5"/>
      <c r="CP1087" s="5"/>
      <c r="CQ1087" s="5"/>
      <c r="CR1087" s="5"/>
      <c r="CS1087" s="5"/>
      <c r="CT1087" s="5"/>
      <c r="CU1087" s="5"/>
      <c r="CV1087" s="5"/>
      <c r="CW1087" s="5"/>
      <c r="CX1087" s="5"/>
      <c r="CY1087" s="5"/>
      <c r="CZ1087" s="5"/>
      <c r="DA1087" s="5"/>
      <c r="DB1087" s="5"/>
      <c r="DC1087" s="5"/>
      <c r="DD1087" s="5"/>
      <c r="DE1087" s="5"/>
      <c r="DF1087" s="5"/>
      <c r="DG1087" s="5"/>
      <c r="DH1087" s="5"/>
      <c r="DI1087" s="5"/>
      <c r="DJ1087" s="5"/>
      <c r="DK1087" s="5"/>
      <c r="DL1087" s="5"/>
      <c r="DM1087" s="5"/>
      <c r="DN1087" s="5"/>
      <c r="DO1087" s="5"/>
      <c r="DP1087" s="5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</row>
    <row r="1088" s="504" customFormat="true" ht="12.75" hidden="true" customHeight="true" outlineLevel="0" collapsed="false">
      <c r="A1088" s="5"/>
      <c r="B1088" s="813" t="n">
        <f aca="false">B1087+1</f>
        <v>873</v>
      </c>
      <c r="C1088" s="814" t="n">
        <f aca="false">C1087+D1088</f>
        <v>128958.12625295</v>
      </c>
      <c r="D1088" s="815" t="n">
        <f aca="false">E1088*$E$205*M1088</f>
        <v>216.959300910888</v>
      </c>
      <c r="E1088" s="601" t="n">
        <f aca="false">E1087+$C$204</f>
        <v>13.7594686016545</v>
      </c>
      <c r="F1088" s="816" t="n">
        <f aca="false">F1087+1</f>
        <v>873</v>
      </c>
      <c r="G1088" s="775" t="n">
        <f aca="false">C1088</f>
        <v>128958.12625295</v>
      </c>
      <c r="H1088" s="817" t="n">
        <f aca="false">1000*(E1088-E1087)</f>
        <v>9.99999999999979</v>
      </c>
      <c r="I1088" s="5"/>
      <c r="J1088" s="818" t="n">
        <f aca="false">1000*(E1088-$E$215)/(B1088-$B$215)</f>
        <v>11.8028291278026</v>
      </c>
      <c r="K1088" s="732" t="n">
        <f aca="false">AVERAGE($E$216:E1088)</f>
        <v>9.39076298882527</v>
      </c>
      <c r="L1088" s="819" t="n">
        <f aca="false">L1087+1</f>
        <v>873</v>
      </c>
      <c r="M1088" s="820" t="n">
        <f aca="false">IF(B1088&lt;$E$104,$E$105,$E$106)</f>
        <v>3</v>
      </c>
      <c r="N1088" s="821" t="n">
        <f aca="false">IF(B1088&lt;$E$104,$E$105,$E$111)</f>
        <v>2.5</v>
      </c>
      <c r="O1088" s="822" t="n">
        <f aca="false">E1088*$E$205*N1088</f>
        <v>180.79941742574</v>
      </c>
      <c r="P1088" s="823" t="n">
        <f aca="false">P1087+O1088</f>
        <v>107516.785811168</v>
      </c>
      <c r="Q1088" s="606" t="n">
        <f aca="false">Q1087+1</f>
        <v>873</v>
      </c>
      <c r="R1088" s="824" t="n">
        <f aca="false">R1087-1</f>
        <v>-873</v>
      </c>
      <c r="S1088" s="5"/>
      <c r="T1088" s="5"/>
      <c r="U1088" s="5"/>
      <c r="V1088" s="10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02"/>
      <c r="AU1088" s="502"/>
      <c r="AV1088" s="606"/>
      <c r="AW1088" s="502"/>
      <c r="AX1088" s="502"/>
      <c r="AY1088" s="502"/>
      <c r="AZ1088" s="502"/>
      <c r="BA1088" s="502"/>
      <c r="BB1088" s="502"/>
      <c r="BC1088" s="502"/>
      <c r="BD1088" s="502"/>
      <c r="BE1088" s="502"/>
      <c r="BF1088" s="502"/>
      <c r="BG1088" s="502"/>
      <c r="BH1088" s="502"/>
      <c r="BI1088" s="502"/>
      <c r="BJ1088" s="502"/>
      <c r="BK1088" s="502"/>
      <c r="BL1088" s="502"/>
      <c r="BM1088" s="502"/>
      <c r="BN1088" s="502"/>
      <c r="BO1088" s="502"/>
      <c r="BP1088" s="5"/>
      <c r="BQ1088" s="5"/>
      <c r="BR1088" s="5"/>
      <c r="BS1088" s="5"/>
      <c r="BT1088" s="5"/>
      <c r="BU1088" s="5"/>
      <c r="BV1088" s="5"/>
      <c r="BW1088" s="5"/>
      <c r="BX1088" s="5"/>
      <c r="BY1088" s="5"/>
      <c r="BZ1088" s="5"/>
      <c r="CA1088" s="5"/>
      <c r="CB1088" s="5"/>
      <c r="CC1088" s="5"/>
      <c r="CD1088" s="5"/>
      <c r="CE1088" s="5"/>
      <c r="CF1088" s="5"/>
      <c r="CG1088" s="5"/>
      <c r="CH1088" s="5"/>
      <c r="CI1088" s="5"/>
      <c r="CJ1088" s="5"/>
      <c r="CK1088" s="5"/>
      <c r="CL1088" s="5"/>
      <c r="CM1088" s="5"/>
      <c r="CN1088" s="5"/>
      <c r="CO1088" s="5"/>
      <c r="CP1088" s="5"/>
      <c r="CQ1088" s="5"/>
      <c r="CR1088" s="5"/>
      <c r="CS1088" s="5"/>
      <c r="CT1088" s="5"/>
      <c r="CU1088" s="5"/>
      <c r="CV1088" s="5"/>
      <c r="CW1088" s="5"/>
      <c r="CX1088" s="5"/>
      <c r="CY1088" s="5"/>
      <c r="CZ1088" s="5"/>
      <c r="DA1088" s="5"/>
      <c r="DB1088" s="5"/>
      <c r="DC1088" s="5"/>
      <c r="DD1088" s="5"/>
      <c r="DE1088" s="5"/>
      <c r="DF1088" s="5"/>
      <c r="DG1088" s="5"/>
      <c r="DH1088" s="5"/>
      <c r="DI1088" s="5"/>
      <c r="DJ1088" s="5"/>
      <c r="DK1088" s="5"/>
      <c r="DL1088" s="5"/>
      <c r="DM1088" s="5"/>
      <c r="DN1088" s="5"/>
      <c r="DO1088" s="5"/>
      <c r="DP1088" s="5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</row>
    <row r="1089" s="504" customFormat="true" ht="12.75" hidden="true" customHeight="true" outlineLevel="0" collapsed="false">
      <c r="A1089" s="5"/>
      <c r="B1089" s="813" t="n">
        <f aca="false">B1088+1</f>
        <v>874</v>
      </c>
      <c r="C1089" s="814" t="n">
        <f aca="false">C1088+D1089</f>
        <v>129175.24323386</v>
      </c>
      <c r="D1089" s="815" t="n">
        <f aca="false">E1089*$E$205*M1089</f>
        <v>217.116980910888</v>
      </c>
      <c r="E1089" s="601" t="n">
        <f aca="false">E1088+$C$204</f>
        <v>13.7694686016545</v>
      </c>
      <c r="F1089" s="816" t="n">
        <f aca="false">F1088+1</f>
        <v>874</v>
      </c>
      <c r="G1089" s="775" t="n">
        <f aca="false">C1089</f>
        <v>129175.24323386</v>
      </c>
      <c r="H1089" s="817" t="n">
        <f aca="false">1000*(E1089-E1088)</f>
        <v>9.99999999999979</v>
      </c>
      <c r="I1089" s="5"/>
      <c r="J1089" s="818" t="n">
        <f aca="false">1000*(E1089-$E$215)/(B1089-$B$215)</f>
        <v>11.8007663942467</v>
      </c>
      <c r="K1089" s="732" t="n">
        <f aca="false">AVERAGE($E$216:E1089)</f>
        <v>9.39577294948069</v>
      </c>
      <c r="L1089" s="819" t="n">
        <f aca="false">L1088+1</f>
        <v>874</v>
      </c>
      <c r="M1089" s="820" t="n">
        <f aca="false">IF(B1089&lt;$E$104,$E$105,$E$106)</f>
        <v>3</v>
      </c>
      <c r="N1089" s="821" t="n">
        <f aca="false">IF(B1089&lt;$E$104,$E$105,$E$111)</f>
        <v>2.5</v>
      </c>
      <c r="O1089" s="822" t="n">
        <f aca="false">E1089*$E$205*N1089</f>
        <v>180.93081742574</v>
      </c>
      <c r="P1089" s="823" t="n">
        <f aca="false">P1088+O1089</f>
        <v>107697.716628593</v>
      </c>
      <c r="Q1089" s="606" t="n">
        <f aca="false">Q1088+1</f>
        <v>874</v>
      </c>
      <c r="R1089" s="824" t="n">
        <f aca="false">R1088-1</f>
        <v>-874</v>
      </c>
      <c r="S1089" s="5"/>
      <c r="T1089" s="5"/>
      <c r="U1089" s="5"/>
      <c r="V1089" s="10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02"/>
      <c r="AU1089" s="502"/>
      <c r="AV1089" s="606"/>
      <c r="AW1089" s="502"/>
      <c r="AX1089" s="502"/>
      <c r="AY1089" s="502"/>
      <c r="AZ1089" s="502"/>
      <c r="BA1089" s="502"/>
      <c r="BB1089" s="502"/>
      <c r="BC1089" s="502"/>
      <c r="BD1089" s="502"/>
      <c r="BE1089" s="502"/>
      <c r="BF1089" s="502"/>
      <c r="BG1089" s="502"/>
      <c r="BH1089" s="502"/>
      <c r="BI1089" s="502"/>
      <c r="BJ1089" s="502"/>
      <c r="BK1089" s="502"/>
      <c r="BL1089" s="502"/>
      <c r="BM1089" s="502"/>
      <c r="BN1089" s="502"/>
      <c r="BO1089" s="502"/>
      <c r="BP1089" s="5"/>
      <c r="BQ1089" s="5"/>
      <c r="BR1089" s="5"/>
      <c r="BS1089" s="5"/>
      <c r="BT1089" s="5"/>
      <c r="BU1089" s="5"/>
      <c r="BV1089" s="5"/>
      <c r="BW1089" s="5"/>
      <c r="BX1089" s="5"/>
      <c r="BY1089" s="5"/>
      <c r="BZ1089" s="5"/>
      <c r="CA1089" s="5"/>
      <c r="CB1089" s="5"/>
      <c r="CC1089" s="5"/>
      <c r="CD1089" s="5"/>
      <c r="CE1089" s="5"/>
      <c r="CF1089" s="5"/>
      <c r="CG1089" s="5"/>
      <c r="CH1089" s="5"/>
      <c r="CI1089" s="5"/>
      <c r="CJ1089" s="5"/>
      <c r="CK1089" s="5"/>
      <c r="CL1089" s="5"/>
      <c r="CM1089" s="5"/>
      <c r="CN1089" s="5"/>
      <c r="CO1089" s="5"/>
      <c r="CP1089" s="5"/>
      <c r="CQ1089" s="5"/>
      <c r="CR1089" s="5"/>
      <c r="CS1089" s="5"/>
      <c r="CT1089" s="5"/>
      <c r="CU1089" s="5"/>
      <c r="CV1089" s="5"/>
      <c r="CW1089" s="5"/>
      <c r="CX1089" s="5"/>
      <c r="CY1089" s="5"/>
      <c r="CZ1089" s="5"/>
      <c r="DA1089" s="5"/>
      <c r="DB1089" s="5"/>
      <c r="DC1089" s="5"/>
      <c r="DD1089" s="5"/>
      <c r="DE1089" s="5"/>
      <c r="DF1089" s="5"/>
      <c r="DG1089" s="5"/>
      <c r="DH1089" s="5"/>
      <c r="DI1089" s="5"/>
      <c r="DJ1089" s="5"/>
      <c r="DK1089" s="5"/>
      <c r="DL1089" s="5"/>
      <c r="DM1089" s="5"/>
      <c r="DN1089" s="5"/>
      <c r="DO1089" s="5"/>
      <c r="DP1089" s="5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</row>
    <row r="1090" s="504" customFormat="true" ht="12.75" hidden="true" customHeight="true" outlineLevel="0" collapsed="false">
      <c r="A1090" s="5"/>
      <c r="B1090" s="813" t="n">
        <f aca="false">B1089+1</f>
        <v>875</v>
      </c>
      <c r="C1090" s="814" t="n">
        <f aca="false">C1089+D1090</f>
        <v>129392.517894771</v>
      </c>
      <c r="D1090" s="815" t="n">
        <f aca="false">E1090*$E$205*M1090</f>
        <v>217.274660910888</v>
      </c>
      <c r="E1090" s="601" t="n">
        <f aca="false">E1089+$C$204</f>
        <v>13.7794686016545</v>
      </c>
      <c r="F1090" s="816" t="n">
        <f aca="false">F1089+1</f>
        <v>875</v>
      </c>
      <c r="G1090" s="775" t="n">
        <f aca="false">C1090</f>
        <v>129392.517894771</v>
      </c>
      <c r="H1090" s="817" t="n">
        <f aca="false">1000*(E1090-E1089)</f>
        <v>9.99999999999979</v>
      </c>
      <c r="I1090" s="5"/>
      <c r="J1090" s="818" t="n">
        <f aca="false">1000*(E1090-$E$215)/(B1090-$B$215)</f>
        <v>11.7987083755105</v>
      </c>
      <c r="K1090" s="732" t="n">
        <f aca="false">AVERAGE($E$216:E1090)</f>
        <v>9.40078288736889</v>
      </c>
      <c r="L1090" s="819" t="n">
        <f aca="false">L1089+1</f>
        <v>875</v>
      </c>
      <c r="M1090" s="820" t="n">
        <f aca="false">IF(B1090&lt;$E$104,$E$105,$E$106)</f>
        <v>3</v>
      </c>
      <c r="N1090" s="821" t="n">
        <f aca="false">IF(B1090&lt;$E$104,$E$105,$E$111)</f>
        <v>2.5</v>
      </c>
      <c r="O1090" s="822" t="n">
        <f aca="false">E1090*$E$205*N1090</f>
        <v>181.06221742574</v>
      </c>
      <c r="P1090" s="823" t="n">
        <f aca="false">P1089+O1090</f>
        <v>107878.778846019</v>
      </c>
      <c r="Q1090" s="606" t="n">
        <f aca="false">Q1089+1</f>
        <v>875</v>
      </c>
      <c r="R1090" s="824" t="n">
        <f aca="false">R1089-1</f>
        <v>-875</v>
      </c>
      <c r="S1090" s="5"/>
      <c r="T1090" s="5"/>
      <c r="U1090" s="5"/>
      <c r="V1090" s="10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02"/>
      <c r="AU1090" s="502"/>
      <c r="AV1090" s="606"/>
      <c r="AW1090" s="502"/>
      <c r="AX1090" s="502"/>
      <c r="AY1090" s="502"/>
      <c r="AZ1090" s="502"/>
      <c r="BA1090" s="502"/>
      <c r="BB1090" s="502"/>
      <c r="BC1090" s="502"/>
      <c r="BD1090" s="502"/>
      <c r="BE1090" s="502"/>
      <c r="BF1090" s="502"/>
      <c r="BG1090" s="502"/>
      <c r="BH1090" s="502"/>
      <c r="BI1090" s="502"/>
      <c r="BJ1090" s="502"/>
      <c r="BK1090" s="502"/>
      <c r="BL1090" s="502"/>
      <c r="BM1090" s="502"/>
      <c r="BN1090" s="502"/>
      <c r="BO1090" s="502"/>
      <c r="BP1090" s="5"/>
      <c r="BQ1090" s="5"/>
      <c r="BR1090" s="5"/>
      <c r="BS1090" s="5"/>
      <c r="BT1090" s="5"/>
      <c r="BU1090" s="5"/>
      <c r="BV1090" s="5"/>
      <c r="BW1090" s="5"/>
      <c r="BX1090" s="5"/>
      <c r="BY1090" s="5"/>
      <c r="BZ1090" s="5"/>
      <c r="CA1090" s="5"/>
      <c r="CB1090" s="5"/>
      <c r="CC1090" s="5"/>
      <c r="CD1090" s="5"/>
      <c r="CE1090" s="5"/>
      <c r="CF1090" s="5"/>
      <c r="CG1090" s="5"/>
      <c r="CH1090" s="5"/>
      <c r="CI1090" s="5"/>
      <c r="CJ1090" s="5"/>
      <c r="CK1090" s="5"/>
      <c r="CL1090" s="5"/>
      <c r="CM1090" s="5"/>
      <c r="CN1090" s="5"/>
      <c r="CO1090" s="5"/>
      <c r="CP1090" s="5"/>
      <c r="CQ1090" s="5"/>
      <c r="CR1090" s="5"/>
      <c r="CS1090" s="5"/>
      <c r="CT1090" s="5"/>
      <c r="CU1090" s="5"/>
      <c r="CV1090" s="5"/>
      <c r="CW1090" s="5"/>
      <c r="CX1090" s="5"/>
      <c r="CY1090" s="5"/>
      <c r="CZ1090" s="5"/>
      <c r="DA1090" s="5"/>
      <c r="DB1090" s="5"/>
      <c r="DC1090" s="5"/>
      <c r="DD1090" s="5"/>
      <c r="DE1090" s="5"/>
      <c r="DF1090" s="5"/>
      <c r="DG1090" s="5"/>
      <c r="DH1090" s="5"/>
      <c r="DI1090" s="5"/>
      <c r="DJ1090" s="5"/>
      <c r="DK1090" s="5"/>
      <c r="DL1090" s="5"/>
      <c r="DM1090" s="5"/>
      <c r="DN1090" s="5"/>
      <c r="DO1090" s="5"/>
      <c r="DP1090" s="5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</row>
    <row r="1091" s="504" customFormat="true" ht="12.75" hidden="true" customHeight="true" outlineLevel="0" collapsed="false">
      <c r="A1091" s="5"/>
      <c r="B1091" s="813" t="n">
        <f aca="false">B1090+1</f>
        <v>876</v>
      </c>
      <c r="C1091" s="814" t="n">
        <f aca="false">C1090+D1091</f>
        <v>129609.950235682</v>
      </c>
      <c r="D1091" s="815" t="n">
        <f aca="false">E1091*$E$205*M1091</f>
        <v>217.432340910888</v>
      </c>
      <c r="E1091" s="601" t="n">
        <f aca="false">E1090+$C$204</f>
        <v>13.7894686016545</v>
      </c>
      <c r="F1091" s="816" t="n">
        <f aca="false">F1090+1</f>
        <v>876</v>
      </c>
      <c r="G1091" s="775" t="n">
        <f aca="false">C1091</f>
        <v>129609.950235682</v>
      </c>
      <c r="H1091" s="817" t="n">
        <f aca="false">1000*(E1091-E1090)</f>
        <v>9.99999999999979</v>
      </c>
      <c r="I1091" s="5"/>
      <c r="J1091" s="818" t="n">
        <f aca="false">1000*(E1091-$E$215)/(B1091-$B$215)</f>
        <v>11.7966550554471</v>
      </c>
      <c r="K1091" s="732" t="n">
        <f aca="false">AVERAGE($E$216:E1091)</f>
        <v>9.40579280256784</v>
      </c>
      <c r="L1091" s="819" t="n">
        <f aca="false">L1090+1</f>
        <v>876</v>
      </c>
      <c r="M1091" s="820" t="n">
        <f aca="false">IF(B1091&lt;$E$104,$E$105,$E$106)</f>
        <v>3</v>
      </c>
      <c r="N1091" s="821" t="n">
        <f aca="false">IF(B1091&lt;$E$104,$E$105,$E$111)</f>
        <v>2.5</v>
      </c>
      <c r="O1091" s="822" t="n">
        <f aca="false">E1091*$E$205*N1091</f>
        <v>181.19361742574</v>
      </c>
      <c r="P1091" s="823" t="n">
        <f aca="false">P1090+O1091</f>
        <v>108059.972463445</v>
      </c>
      <c r="Q1091" s="606" t="n">
        <f aca="false">Q1090+1</f>
        <v>876</v>
      </c>
      <c r="R1091" s="824" t="n">
        <f aca="false">R1090-1</f>
        <v>-876</v>
      </c>
      <c r="S1091" s="5"/>
      <c r="T1091" s="5"/>
      <c r="U1091" s="5"/>
      <c r="V1091" s="10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02"/>
      <c r="AU1091" s="502"/>
      <c r="AV1091" s="606"/>
      <c r="AW1091" s="502"/>
      <c r="AX1091" s="502"/>
      <c r="AY1091" s="502"/>
      <c r="AZ1091" s="502"/>
      <c r="BA1091" s="502"/>
      <c r="BB1091" s="502"/>
      <c r="BC1091" s="502"/>
      <c r="BD1091" s="502"/>
      <c r="BE1091" s="502"/>
      <c r="BF1091" s="502"/>
      <c r="BG1091" s="502"/>
      <c r="BH1091" s="502"/>
      <c r="BI1091" s="502"/>
      <c r="BJ1091" s="502"/>
      <c r="BK1091" s="502"/>
      <c r="BL1091" s="502"/>
      <c r="BM1091" s="502"/>
      <c r="BN1091" s="502"/>
      <c r="BO1091" s="502"/>
      <c r="BP1091" s="5"/>
      <c r="BQ1091" s="5"/>
      <c r="BR1091" s="5"/>
      <c r="BS1091" s="5"/>
      <c r="BT1091" s="5"/>
      <c r="BU1091" s="5"/>
      <c r="BV1091" s="5"/>
      <c r="BW1091" s="5"/>
      <c r="BX1091" s="5"/>
      <c r="BY1091" s="5"/>
      <c r="BZ1091" s="5"/>
      <c r="CA1091" s="5"/>
      <c r="CB1091" s="5"/>
      <c r="CC1091" s="5"/>
      <c r="CD1091" s="5"/>
      <c r="CE1091" s="5"/>
      <c r="CF1091" s="5"/>
      <c r="CG1091" s="5"/>
      <c r="CH1091" s="5"/>
      <c r="CI1091" s="5"/>
      <c r="CJ1091" s="5"/>
      <c r="CK1091" s="5"/>
      <c r="CL1091" s="5"/>
      <c r="CM1091" s="5"/>
      <c r="CN1091" s="5"/>
      <c r="CO1091" s="5"/>
      <c r="CP1091" s="5"/>
      <c r="CQ1091" s="5"/>
      <c r="CR1091" s="5"/>
      <c r="CS1091" s="5"/>
      <c r="CT1091" s="5"/>
      <c r="CU1091" s="5"/>
      <c r="CV1091" s="5"/>
      <c r="CW1091" s="5"/>
      <c r="CX1091" s="5"/>
      <c r="CY1091" s="5"/>
      <c r="CZ1091" s="5"/>
      <c r="DA1091" s="5"/>
      <c r="DB1091" s="5"/>
      <c r="DC1091" s="5"/>
      <c r="DD1091" s="5"/>
      <c r="DE1091" s="5"/>
      <c r="DF1091" s="5"/>
      <c r="DG1091" s="5"/>
      <c r="DH1091" s="5"/>
      <c r="DI1091" s="5"/>
      <c r="DJ1091" s="5"/>
      <c r="DK1091" s="5"/>
      <c r="DL1091" s="5"/>
      <c r="DM1091" s="5"/>
      <c r="DN1091" s="5"/>
      <c r="DO1091" s="5"/>
      <c r="DP1091" s="5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</row>
    <row r="1092" s="504" customFormat="true" ht="12.75" hidden="true" customHeight="true" outlineLevel="0" collapsed="false">
      <c r="A1092" s="5"/>
      <c r="B1092" s="813" t="n">
        <f aca="false">B1091+1</f>
        <v>877</v>
      </c>
      <c r="C1092" s="814" t="n">
        <f aca="false">C1091+D1092</f>
        <v>129827.540256593</v>
      </c>
      <c r="D1092" s="815" t="n">
        <f aca="false">E1092*$E$205*M1092</f>
        <v>217.590020910888</v>
      </c>
      <c r="E1092" s="601" t="n">
        <f aca="false">E1091+$C$204</f>
        <v>13.7994686016545</v>
      </c>
      <c r="F1092" s="816" t="n">
        <f aca="false">F1091+1</f>
        <v>877</v>
      </c>
      <c r="G1092" s="775" t="n">
        <f aca="false">C1092</f>
        <v>129827.540256593</v>
      </c>
      <c r="H1092" s="817" t="n">
        <f aca="false">1000*(E1092-E1091)</f>
        <v>9.99999999999979</v>
      </c>
      <c r="I1092" s="5"/>
      <c r="J1092" s="818" t="n">
        <f aca="false">1000*(E1092-$E$215)/(B1092-$B$215)</f>
        <v>11.7946064179836</v>
      </c>
      <c r="K1092" s="732" t="n">
        <f aca="false">AVERAGE($E$216:E1092)</f>
        <v>9.41080269515517</v>
      </c>
      <c r="L1092" s="819" t="n">
        <f aca="false">L1091+1</f>
        <v>877</v>
      </c>
      <c r="M1092" s="820" t="n">
        <f aca="false">IF(B1092&lt;$E$104,$E$105,$E$106)</f>
        <v>3</v>
      </c>
      <c r="N1092" s="821" t="n">
        <f aca="false">IF(B1092&lt;$E$104,$E$105,$E$111)</f>
        <v>2.5</v>
      </c>
      <c r="O1092" s="822" t="n">
        <f aca="false">E1092*$E$205*N1092</f>
        <v>181.32501742574</v>
      </c>
      <c r="P1092" s="823" t="n">
        <f aca="false">P1091+O1092</f>
        <v>108241.29748087</v>
      </c>
      <c r="Q1092" s="606" t="n">
        <f aca="false">Q1091+1</f>
        <v>877</v>
      </c>
      <c r="R1092" s="824" t="n">
        <f aca="false">R1091-1</f>
        <v>-877</v>
      </c>
      <c r="S1092" s="5"/>
      <c r="T1092" s="5"/>
      <c r="U1092" s="5"/>
      <c r="V1092" s="10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02"/>
      <c r="AU1092" s="502"/>
      <c r="AV1092" s="606"/>
      <c r="AW1092" s="502"/>
      <c r="AX1092" s="502"/>
      <c r="AY1092" s="502"/>
      <c r="AZ1092" s="502"/>
      <c r="BA1092" s="502"/>
      <c r="BB1092" s="502"/>
      <c r="BC1092" s="502"/>
      <c r="BD1092" s="502"/>
      <c r="BE1092" s="502"/>
      <c r="BF1092" s="502"/>
      <c r="BG1092" s="502"/>
      <c r="BH1092" s="502"/>
      <c r="BI1092" s="502"/>
      <c r="BJ1092" s="502"/>
      <c r="BK1092" s="502"/>
      <c r="BL1092" s="502"/>
      <c r="BM1092" s="502"/>
      <c r="BN1092" s="502"/>
      <c r="BO1092" s="502"/>
      <c r="BP1092" s="5"/>
      <c r="BQ1092" s="5"/>
      <c r="BR1092" s="5"/>
      <c r="BS1092" s="5"/>
      <c r="BT1092" s="5"/>
      <c r="BU1092" s="5"/>
      <c r="BV1092" s="5"/>
      <c r="BW1092" s="5"/>
      <c r="BX1092" s="5"/>
      <c r="BY1092" s="5"/>
      <c r="BZ1092" s="5"/>
      <c r="CA1092" s="5"/>
      <c r="CB1092" s="5"/>
      <c r="CC1092" s="5"/>
      <c r="CD1092" s="5"/>
      <c r="CE1092" s="5"/>
      <c r="CF1092" s="5"/>
      <c r="CG1092" s="5"/>
      <c r="CH1092" s="5"/>
      <c r="CI1092" s="5"/>
      <c r="CJ1092" s="5"/>
      <c r="CK1092" s="5"/>
      <c r="CL1092" s="5"/>
      <c r="CM1092" s="5"/>
      <c r="CN1092" s="5"/>
      <c r="CO1092" s="5"/>
      <c r="CP1092" s="5"/>
      <c r="CQ1092" s="5"/>
      <c r="CR1092" s="5"/>
      <c r="CS1092" s="5"/>
      <c r="CT1092" s="5"/>
      <c r="CU1092" s="5"/>
      <c r="CV1092" s="5"/>
      <c r="CW1092" s="5"/>
      <c r="CX1092" s="5"/>
      <c r="CY1092" s="5"/>
      <c r="CZ1092" s="5"/>
      <c r="DA1092" s="5"/>
      <c r="DB1092" s="5"/>
      <c r="DC1092" s="5"/>
      <c r="DD1092" s="5"/>
      <c r="DE1092" s="5"/>
      <c r="DF1092" s="5"/>
      <c r="DG1092" s="5"/>
      <c r="DH1092" s="5"/>
      <c r="DI1092" s="5"/>
      <c r="DJ1092" s="5"/>
      <c r="DK1092" s="5"/>
      <c r="DL1092" s="5"/>
      <c r="DM1092" s="5"/>
      <c r="DN1092" s="5"/>
      <c r="DO1092" s="5"/>
      <c r="DP1092" s="5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</row>
    <row r="1093" s="504" customFormat="true" ht="12.75" hidden="true" customHeight="true" outlineLevel="0" collapsed="false">
      <c r="A1093" s="5"/>
      <c r="B1093" s="813" t="n">
        <f aca="false">B1092+1</f>
        <v>878</v>
      </c>
      <c r="C1093" s="814" t="n">
        <f aca="false">C1092+D1093</f>
        <v>130045.287957504</v>
      </c>
      <c r="D1093" s="815" t="n">
        <f aca="false">E1093*$E$205*M1093</f>
        <v>217.747700910888</v>
      </c>
      <c r="E1093" s="601" t="n">
        <f aca="false">E1092+$C$204</f>
        <v>13.8094686016545</v>
      </c>
      <c r="F1093" s="816" t="n">
        <f aca="false">F1092+1</f>
        <v>878</v>
      </c>
      <c r="G1093" s="775" t="n">
        <f aca="false">C1093</f>
        <v>130045.287957504</v>
      </c>
      <c r="H1093" s="817" t="n">
        <f aca="false">1000*(E1093-E1092)</f>
        <v>9.99999999999979</v>
      </c>
      <c r="I1093" s="5"/>
      <c r="J1093" s="818" t="n">
        <f aca="false">1000*(E1093-$E$215)/(B1093-$B$215)</f>
        <v>11.7925624471203</v>
      </c>
      <c r="K1093" s="732" t="n">
        <f aca="false">AVERAGE($E$216:E1093)</f>
        <v>9.41581256520813</v>
      </c>
      <c r="L1093" s="819" t="n">
        <f aca="false">L1092+1</f>
        <v>878</v>
      </c>
      <c r="M1093" s="820" t="n">
        <f aca="false">IF(B1093&lt;$E$104,$E$105,$E$106)</f>
        <v>3</v>
      </c>
      <c r="N1093" s="821" t="n">
        <f aca="false">IF(B1093&lt;$E$104,$E$105,$E$111)</f>
        <v>2.5</v>
      </c>
      <c r="O1093" s="822" t="n">
        <f aca="false">E1093*$E$205*N1093</f>
        <v>181.45641742574</v>
      </c>
      <c r="P1093" s="823" t="n">
        <f aca="false">P1092+O1093</f>
        <v>108422.753898296</v>
      </c>
      <c r="Q1093" s="606" t="n">
        <f aca="false">Q1092+1</f>
        <v>878</v>
      </c>
      <c r="R1093" s="824" t="n">
        <f aca="false">R1092-1</f>
        <v>-878</v>
      </c>
      <c r="S1093" s="5"/>
      <c r="T1093" s="5"/>
      <c r="U1093" s="5"/>
      <c r="V1093" s="10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02"/>
      <c r="AU1093" s="502"/>
      <c r="AV1093" s="606"/>
      <c r="AW1093" s="502"/>
      <c r="AX1093" s="502"/>
      <c r="AY1093" s="502"/>
      <c r="AZ1093" s="502"/>
      <c r="BA1093" s="502"/>
      <c r="BB1093" s="502"/>
      <c r="BC1093" s="502"/>
      <c r="BD1093" s="502"/>
      <c r="BE1093" s="502"/>
      <c r="BF1093" s="502"/>
      <c r="BG1093" s="502"/>
      <c r="BH1093" s="502"/>
      <c r="BI1093" s="502"/>
      <c r="BJ1093" s="502"/>
      <c r="BK1093" s="502"/>
      <c r="BL1093" s="502"/>
      <c r="BM1093" s="502"/>
      <c r="BN1093" s="502"/>
      <c r="BO1093" s="502"/>
      <c r="BP1093" s="5"/>
      <c r="BQ1093" s="5"/>
      <c r="BR1093" s="5"/>
      <c r="BS1093" s="5"/>
      <c r="BT1093" s="5"/>
      <c r="BU1093" s="5"/>
      <c r="BV1093" s="5"/>
      <c r="BW1093" s="5"/>
      <c r="BX1093" s="5"/>
      <c r="BY1093" s="5"/>
      <c r="BZ1093" s="5"/>
      <c r="CA1093" s="5"/>
      <c r="CB1093" s="5"/>
      <c r="CC1093" s="5"/>
      <c r="CD1093" s="5"/>
      <c r="CE1093" s="5"/>
      <c r="CF1093" s="5"/>
      <c r="CG1093" s="5"/>
      <c r="CH1093" s="5"/>
      <c r="CI1093" s="5"/>
      <c r="CJ1093" s="5"/>
      <c r="CK1093" s="5"/>
      <c r="CL1093" s="5"/>
      <c r="CM1093" s="5"/>
      <c r="CN1093" s="5"/>
      <c r="CO1093" s="5"/>
      <c r="CP1093" s="5"/>
      <c r="CQ1093" s="5"/>
      <c r="CR1093" s="5"/>
      <c r="CS1093" s="5"/>
      <c r="CT1093" s="5"/>
      <c r="CU1093" s="5"/>
      <c r="CV1093" s="5"/>
      <c r="CW1093" s="5"/>
      <c r="CX1093" s="5"/>
      <c r="CY1093" s="5"/>
      <c r="CZ1093" s="5"/>
      <c r="DA1093" s="5"/>
      <c r="DB1093" s="5"/>
      <c r="DC1093" s="5"/>
      <c r="DD1093" s="5"/>
      <c r="DE1093" s="5"/>
      <c r="DF1093" s="5"/>
      <c r="DG1093" s="5"/>
      <c r="DH1093" s="5"/>
      <c r="DI1093" s="5"/>
      <c r="DJ1093" s="5"/>
      <c r="DK1093" s="5"/>
      <c r="DL1093" s="5"/>
      <c r="DM1093" s="5"/>
      <c r="DN1093" s="5"/>
      <c r="DO1093" s="5"/>
      <c r="DP1093" s="5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</row>
    <row r="1094" s="504" customFormat="true" ht="12.75" hidden="true" customHeight="true" outlineLevel="0" collapsed="false">
      <c r="A1094" s="5"/>
      <c r="B1094" s="813" t="n">
        <f aca="false">B1093+1</f>
        <v>879</v>
      </c>
      <c r="C1094" s="814" t="n">
        <f aca="false">C1093+D1094</f>
        <v>130263.193338415</v>
      </c>
      <c r="D1094" s="815" t="n">
        <f aca="false">E1094*$E$205*M1094</f>
        <v>217.905380910888</v>
      </c>
      <c r="E1094" s="601" t="n">
        <f aca="false">E1093+$C$204</f>
        <v>13.8194686016545</v>
      </c>
      <c r="F1094" s="816" t="n">
        <f aca="false">F1093+1</f>
        <v>879</v>
      </c>
      <c r="G1094" s="775" t="n">
        <f aca="false">C1094</f>
        <v>130263.193338415</v>
      </c>
      <c r="H1094" s="817" t="n">
        <f aca="false">1000*(E1094-E1093)</f>
        <v>9.99999999999979</v>
      </c>
      <c r="I1094" s="5"/>
      <c r="J1094" s="818" t="n">
        <f aca="false">1000*(E1094-$E$215)/(B1094-$B$215)</f>
        <v>11.7905231269302</v>
      </c>
      <c r="K1094" s="732" t="n">
        <f aca="false">AVERAGE($E$216:E1094)</f>
        <v>9.42082241280363</v>
      </c>
      <c r="L1094" s="819" t="n">
        <f aca="false">L1093+1</f>
        <v>879</v>
      </c>
      <c r="M1094" s="820" t="n">
        <f aca="false">IF(B1094&lt;$E$104,$E$105,$E$106)</f>
        <v>3</v>
      </c>
      <c r="N1094" s="821" t="n">
        <f aca="false">IF(B1094&lt;$E$104,$E$105,$E$111)</f>
        <v>2.5</v>
      </c>
      <c r="O1094" s="822" t="n">
        <f aca="false">E1094*$E$205*N1094</f>
        <v>181.58781742574</v>
      </c>
      <c r="P1094" s="823" t="n">
        <f aca="false">P1093+O1094</f>
        <v>108604.341715722</v>
      </c>
      <c r="Q1094" s="606" t="n">
        <f aca="false">Q1093+1</f>
        <v>879</v>
      </c>
      <c r="R1094" s="824" t="n">
        <f aca="false">R1093-1</f>
        <v>-879</v>
      </c>
      <c r="S1094" s="5"/>
      <c r="T1094" s="5"/>
      <c r="U1094" s="5"/>
      <c r="V1094" s="10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02"/>
      <c r="AU1094" s="502"/>
      <c r="AV1094" s="606"/>
      <c r="AW1094" s="502"/>
      <c r="AX1094" s="502"/>
      <c r="AY1094" s="502"/>
      <c r="AZ1094" s="502"/>
      <c r="BA1094" s="502"/>
      <c r="BB1094" s="502"/>
      <c r="BC1094" s="502"/>
      <c r="BD1094" s="502"/>
      <c r="BE1094" s="502"/>
      <c r="BF1094" s="502"/>
      <c r="BG1094" s="502"/>
      <c r="BH1094" s="502"/>
      <c r="BI1094" s="502"/>
      <c r="BJ1094" s="502"/>
      <c r="BK1094" s="502"/>
      <c r="BL1094" s="502"/>
      <c r="BM1094" s="502"/>
      <c r="BN1094" s="502"/>
      <c r="BO1094" s="502"/>
      <c r="BP1094" s="5"/>
      <c r="BQ1094" s="5"/>
      <c r="BR1094" s="5"/>
      <c r="BS1094" s="5"/>
      <c r="BT1094" s="5"/>
      <c r="BU1094" s="5"/>
      <c r="BV1094" s="5"/>
      <c r="BW1094" s="5"/>
      <c r="BX1094" s="5"/>
      <c r="BY1094" s="5"/>
      <c r="BZ1094" s="5"/>
      <c r="CA1094" s="5"/>
      <c r="CB1094" s="5"/>
      <c r="CC1094" s="5"/>
      <c r="CD1094" s="5"/>
      <c r="CE1094" s="5"/>
      <c r="CF1094" s="5"/>
      <c r="CG1094" s="5"/>
      <c r="CH1094" s="5"/>
      <c r="CI1094" s="5"/>
      <c r="CJ1094" s="5"/>
      <c r="CK1094" s="5"/>
      <c r="CL1094" s="5"/>
      <c r="CM1094" s="5"/>
      <c r="CN1094" s="5"/>
      <c r="CO1094" s="5"/>
      <c r="CP1094" s="5"/>
      <c r="CQ1094" s="5"/>
      <c r="CR1094" s="5"/>
      <c r="CS1094" s="5"/>
      <c r="CT1094" s="5"/>
      <c r="CU1094" s="5"/>
      <c r="CV1094" s="5"/>
      <c r="CW1094" s="5"/>
      <c r="CX1094" s="5"/>
      <c r="CY1094" s="5"/>
      <c r="CZ1094" s="5"/>
      <c r="DA1094" s="5"/>
      <c r="DB1094" s="5"/>
      <c r="DC1094" s="5"/>
      <c r="DD1094" s="5"/>
      <c r="DE1094" s="5"/>
      <c r="DF1094" s="5"/>
      <c r="DG1094" s="5"/>
      <c r="DH1094" s="5"/>
      <c r="DI1094" s="5"/>
      <c r="DJ1094" s="5"/>
      <c r="DK1094" s="5"/>
      <c r="DL1094" s="5"/>
      <c r="DM1094" s="5"/>
      <c r="DN1094" s="5"/>
      <c r="DO1094" s="5"/>
      <c r="DP1094" s="5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1"/>
      <c r="IW1094" s="1"/>
      <c r="IX1094" s="1"/>
      <c r="IY1094" s="1"/>
      <c r="IZ1094" s="1"/>
      <c r="JA1094" s="1"/>
      <c r="JB1094" s="1"/>
      <c r="JC1094" s="1"/>
      <c r="JD1094" s="1"/>
    </row>
    <row r="1095" s="504" customFormat="true" ht="12.75" hidden="true" customHeight="true" outlineLevel="0" collapsed="false">
      <c r="A1095" s="5"/>
      <c r="B1095" s="813" t="n">
        <f aca="false">B1094+1</f>
        <v>880</v>
      </c>
      <c r="C1095" s="814" t="n">
        <f aca="false">C1094+D1095</f>
        <v>130481.256399326</v>
      </c>
      <c r="D1095" s="815" t="n">
        <f aca="false">E1095*$E$205*M1095</f>
        <v>218.063060910888</v>
      </c>
      <c r="E1095" s="601" t="n">
        <f aca="false">E1094+$C$204</f>
        <v>13.8294686016545</v>
      </c>
      <c r="F1095" s="816" t="n">
        <f aca="false">F1094+1</f>
        <v>880</v>
      </c>
      <c r="G1095" s="775" t="n">
        <f aca="false">C1095</f>
        <v>130481.256399326</v>
      </c>
      <c r="H1095" s="817" t="n">
        <f aca="false">1000*(E1095-E1094)</f>
        <v>9.99999999999979</v>
      </c>
      <c r="I1095" s="5"/>
      <c r="J1095" s="818" t="n">
        <f aca="false">1000*(E1095-$E$215)/(B1095-$B$215)</f>
        <v>11.7884884415587</v>
      </c>
      <c r="K1095" s="732" t="n">
        <f aca="false">AVERAGE($E$216:E1095)</f>
        <v>9.42583223801823</v>
      </c>
      <c r="L1095" s="819" t="n">
        <f aca="false">L1094+1</f>
        <v>880</v>
      </c>
      <c r="M1095" s="820" t="n">
        <f aca="false">IF(B1095&lt;$E$104,$E$105,$E$106)</f>
        <v>3</v>
      </c>
      <c r="N1095" s="821" t="n">
        <f aca="false">IF(B1095&lt;$E$104,$E$105,$E$111)</f>
        <v>2.5</v>
      </c>
      <c r="O1095" s="822" t="n">
        <f aca="false">E1095*$E$205*N1095</f>
        <v>181.71921742574</v>
      </c>
      <c r="P1095" s="823" t="n">
        <f aca="false">P1094+O1095</f>
        <v>108786.060933148</v>
      </c>
      <c r="Q1095" s="606" t="n">
        <f aca="false">Q1094+1</f>
        <v>880</v>
      </c>
      <c r="R1095" s="824" t="n">
        <f aca="false">R1094-1</f>
        <v>-880</v>
      </c>
      <c r="S1095" s="5"/>
      <c r="T1095" s="5"/>
      <c r="U1095" s="5"/>
      <c r="V1095" s="10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02"/>
      <c r="AU1095" s="502"/>
      <c r="AV1095" s="606"/>
      <c r="AW1095" s="502"/>
      <c r="AX1095" s="502"/>
      <c r="AY1095" s="502"/>
      <c r="AZ1095" s="502"/>
      <c r="BA1095" s="502"/>
      <c r="BB1095" s="502"/>
      <c r="BC1095" s="502"/>
      <c r="BD1095" s="502"/>
      <c r="BE1095" s="502"/>
      <c r="BF1095" s="502"/>
      <c r="BG1095" s="502"/>
      <c r="BH1095" s="502"/>
      <c r="BI1095" s="502"/>
      <c r="BJ1095" s="502"/>
      <c r="BK1095" s="502"/>
      <c r="BL1095" s="502"/>
      <c r="BM1095" s="502"/>
      <c r="BN1095" s="502"/>
      <c r="BO1095" s="502"/>
      <c r="BP1095" s="5"/>
      <c r="BQ1095" s="5"/>
      <c r="BR1095" s="5"/>
      <c r="BS1095" s="5"/>
      <c r="BT1095" s="5"/>
      <c r="BU1095" s="5"/>
      <c r="BV1095" s="5"/>
      <c r="BW1095" s="5"/>
      <c r="BX1095" s="5"/>
      <c r="BY1095" s="5"/>
      <c r="BZ1095" s="5"/>
      <c r="CA1095" s="5"/>
      <c r="CB1095" s="5"/>
      <c r="CC1095" s="5"/>
      <c r="CD1095" s="5"/>
      <c r="CE1095" s="5"/>
      <c r="CF1095" s="5"/>
      <c r="CG1095" s="5"/>
      <c r="CH1095" s="5"/>
      <c r="CI1095" s="5"/>
      <c r="CJ1095" s="5"/>
      <c r="CK1095" s="5"/>
      <c r="CL1095" s="5"/>
      <c r="CM1095" s="5"/>
      <c r="CN1095" s="5"/>
      <c r="CO1095" s="5"/>
      <c r="CP1095" s="5"/>
      <c r="CQ1095" s="5"/>
      <c r="CR1095" s="5"/>
      <c r="CS1095" s="5"/>
      <c r="CT1095" s="5"/>
      <c r="CU1095" s="5"/>
      <c r="CV1095" s="5"/>
      <c r="CW1095" s="5"/>
      <c r="CX1095" s="5"/>
      <c r="CY1095" s="5"/>
      <c r="CZ1095" s="5"/>
      <c r="DA1095" s="5"/>
      <c r="DB1095" s="5"/>
      <c r="DC1095" s="5"/>
      <c r="DD1095" s="5"/>
      <c r="DE1095" s="5"/>
      <c r="DF1095" s="5"/>
      <c r="DG1095" s="5"/>
      <c r="DH1095" s="5"/>
      <c r="DI1095" s="5"/>
      <c r="DJ1095" s="5"/>
      <c r="DK1095" s="5"/>
      <c r="DL1095" s="5"/>
      <c r="DM1095" s="5"/>
      <c r="DN1095" s="5"/>
      <c r="DO1095" s="5"/>
      <c r="DP1095" s="5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  <c r="HE1095" s="1"/>
      <c r="HF1095" s="1"/>
      <c r="HG1095" s="1"/>
      <c r="HH1095" s="1"/>
      <c r="HI1095" s="1"/>
      <c r="HJ1095" s="1"/>
      <c r="HK1095" s="1"/>
      <c r="HL1095" s="1"/>
      <c r="HM1095" s="1"/>
      <c r="HN1095" s="1"/>
      <c r="HO1095" s="1"/>
      <c r="HP1095" s="1"/>
      <c r="HQ1095" s="1"/>
      <c r="HR1095" s="1"/>
      <c r="HS1095" s="1"/>
      <c r="HT1095" s="1"/>
      <c r="HU1095" s="1"/>
      <c r="HV1095" s="1"/>
      <c r="HW1095" s="1"/>
      <c r="HX1095" s="1"/>
      <c r="HY1095" s="1"/>
      <c r="HZ1095" s="1"/>
      <c r="IA1095" s="1"/>
      <c r="IB1095" s="1"/>
      <c r="IC1095" s="1"/>
      <c r="ID1095" s="1"/>
      <c r="IE1095" s="1"/>
      <c r="IF1095" s="1"/>
      <c r="IG1095" s="1"/>
      <c r="IH1095" s="1"/>
      <c r="II1095" s="1"/>
      <c r="IJ1095" s="1"/>
      <c r="IK1095" s="1"/>
      <c r="IL1095" s="1"/>
      <c r="IM1095" s="1"/>
      <c r="IN1095" s="1"/>
      <c r="IO1095" s="1"/>
      <c r="IP1095" s="1"/>
      <c r="IQ1095" s="1"/>
      <c r="IR1095" s="1"/>
      <c r="IS1095" s="1"/>
      <c r="IT1095" s="1"/>
      <c r="IU1095" s="1"/>
      <c r="IV1095" s="1"/>
      <c r="IW1095" s="1"/>
      <c r="IX1095" s="1"/>
      <c r="IY1095" s="1"/>
      <c r="IZ1095" s="1"/>
      <c r="JA1095" s="1"/>
      <c r="JB1095" s="1"/>
      <c r="JC1095" s="1"/>
      <c r="JD1095" s="1"/>
    </row>
    <row r="1096" s="504" customFormat="true" ht="12.75" hidden="true" customHeight="true" outlineLevel="0" collapsed="false">
      <c r="A1096" s="5"/>
      <c r="B1096" s="813" t="n">
        <f aca="false">B1095+1</f>
        <v>881</v>
      </c>
      <c r="C1096" s="814" t="n">
        <f aca="false">C1095+D1096</f>
        <v>130699.477140237</v>
      </c>
      <c r="D1096" s="815" t="n">
        <f aca="false">E1096*$E$205*M1096</f>
        <v>218.220740910888</v>
      </c>
      <c r="E1096" s="601" t="n">
        <f aca="false">E1095+$C$204</f>
        <v>13.8394686016545</v>
      </c>
      <c r="F1096" s="816" t="n">
        <f aca="false">F1095+1</f>
        <v>881</v>
      </c>
      <c r="G1096" s="775" t="n">
        <f aca="false">C1096</f>
        <v>130699.477140237</v>
      </c>
      <c r="H1096" s="817" t="n">
        <f aca="false">1000*(E1096-E1095)</f>
        <v>9.99999999999979</v>
      </c>
      <c r="I1096" s="5"/>
      <c r="J1096" s="818" t="n">
        <f aca="false">1000*(E1096-$E$215)/(B1096-$B$215)</f>
        <v>11.7864583752232</v>
      </c>
      <c r="K1096" s="732" t="n">
        <f aca="false">AVERAGE($E$216:E1096)</f>
        <v>9.43084204092815</v>
      </c>
      <c r="L1096" s="819" t="n">
        <f aca="false">L1095+1</f>
        <v>881</v>
      </c>
      <c r="M1096" s="820" t="n">
        <f aca="false">IF(B1096&lt;$E$104,$E$105,$E$106)</f>
        <v>3</v>
      </c>
      <c r="N1096" s="821" t="n">
        <f aca="false">IF(B1096&lt;$E$104,$E$105,$E$111)</f>
        <v>2.5</v>
      </c>
      <c r="O1096" s="822" t="n">
        <f aca="false">E1096*$E$205*N1096</f>
        <v>181.85061742574</v>
      </c>
      <c r="P1096" s="823" t="n">
        <f aca="false">P1095+O1096</f>
        <v>108967.911550573</v>
      </c>
      <c r="Q1096" s="606" t="n">
        <f aca="false">Q1095+1</f>
        <v>881</v>
      </c>
      <c r="R1096" s="824" t="n">
        <f aca="false">R1095-1</f>
        <v>-881</v>
      </c>
      <c r="S1096" s="5"/>
      <c r="T1096" s="5"/>
      <c r="U1096" s="5"/>
      <c r="V1096" s="10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02"/>
      <c r="AU1096" s="502"/>
      <c r="AV1096" s="606"/>
      <c r="AW1096" s="502"/>
      <c r="AX1096" s="502"/>
      <c r="AY1096" s="502"/>
      <c r="AZ1096" s="502"/>
      <c r="BA1096" s="502"/>
      <c r="BB1096" s="502"/>
      <c r="BC1096" s="502"/>
      <c r="BD1096" s="502"/>
      <c r="BE1096" s="502"/>
      <c r="BF1096" s="502"/>
      <c r="BG1096" s="502"/>
      <c r="BH1096" s="502"/>
      <c r="BI1096" s="502"/>
      <c r="BJ1096" s="502"/>
      <c r="BK1096" s="502"/>
      <c r="BL1096" s="502"/>
      <c r="BM1096" s="502"/>
      <c r="BN1096" s="502"/>
      <c r="BO1096" s="502"/>
      <c r="BP1096" s="5"/>
      <c r="BQ1096" s="5"/>
      <c r="BR1096" s="5"/>
      <c r="BS1096" s="5"/>
      <c r="BT1096" s="5"/>
      <c r="BU1096" s="5"/>
      <c r="BV1096" s="5"/>
      <c r="BW1096" s="5"/>
      <c r="BX1096" s="5"/>
      <c r="BY1096" s="5"/>
      <c r="BZ1096" s="5"/>
      <c r="CA1096" s="5"/>
      <c r="CB1096" s="5"/>
      <c r="CC1096" s="5"/>
      <c r="CD1096" s="5"/>
      <c r="CE1096" s="5"/>
      <c r="CF1096" s="5"/>
      <c r="CG1096" s="5"/>
      <c r="CH1096" s="5"/>
      <c r="CI1096" s="5"/>
      <c r="CJ1096" s="5"/>
      <c r="CK1096" s="5"/>
      <c r="CL1096" s="5"/>
      <c r="CM1096" s="5"/>
      <c r="CN1096" s="5"/>
      <c r="CO1096" s="5"/>
      <c r="CP1096" s="5"/>
      <c r="CQ1096" s="5"/>
      <c r="CR1096" s="5"/>
      <c r="CS1096" s="5"/>
      <c r="CT1096" s="5"/>
      <c r="CU1096" s="5"/>
      <c r="CV1096" s="5"/>
      <c r="CW1096" s="5"/>
      <c r="CX1096" s="5"/>
      <c r="CY1096" s="5"/>
      <c r="CZ1096" s="5"/>
      <c r="DA1096" s="5"/>
      <c r="DB1096" s="5"/>
      <c r="DC1096" s="5"/>
      <c r="DD1096" s="5"/>
      <c r="DE1096" s="5"/>
      <c r="DF1096" s="5"/>
      <c r="DG1096" s="5"/>
      <c r="DH1096" s="5"/>
      <c r="DI1096" s="5"/>
      <c r="DJ1096" s="5"/>
      <c r="DK1096" s="5"/>
      <c r="DL1096" s="5"/>
      <c r="DM1096" s="5"/>
      <c r="DN1096" s="5"/>
      <c r="DO1096" s="5"/>
      <c r="DP1096" s="5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  <c r="HE1096" s="1"/>
      <c r="HF1096" s="1"/>
      <c r="HG1096" s="1"/>
      <c r="HH1096" s="1"/>
      <c r="HI1096" s="1"/>
      <c r="HJ1096" s="1"/>
      <c r="HK1096" s="1"/>
      <c r="HL1096" s="1"/>
      <c r="HM1096" s="1"/>
      <c r="HN1096" s="1"/>
      <c r="HO1096" s="1"/>
      <c r="HP1096" s="1"/>
      <c r="HQ1096" s="1"/>
      <c r="HR1096" s="1"/>
      <c r="HS1096" s="1"/>
      <c r="HT1096" s="1"/>
      <c r="HU1096" s="1"/>
      <c r="HV1096" s="1"/>
      <c r="HW1096" s="1"/>
      <c r="HX1096" s="1"/>
      <c r="HY1096" s="1"/>
      <c r="HZ1096" s="1"/>
      <c r="IA1096" s="1"/>
      <c r="IB1096" s="1"/>
      <c r="IC1096" s="1"/>
      <c r="ID1096" s="1"/>
      <c r="IE1096" s="1"/>
      <c r="IF1096" s="1"/>
      <c r="IG1096" s="1"/>
      <c r="IH1096" s="1"/>
      <c r="II1096" s="1"/>
      <c r="IJ1096" s="1"/>
      <c r="IK1096" s="1"/>
      <c r="IL1096" s="1"/>
      <c r="IM1096" s="1"/>
      <c r="IN1096" s="1"/>
      <c r="IO1096" s="1"/>
      <c r="IP1096" s="1"/>
      <c r="IQ1096" s="1"/>
      <c r="IR1096" s="1"/>
      <c r="IS1096" s="1"/>
      <c r="IT1096" s="1"/>
      <c r="IU1096" s="1"/>
      <c r="IV1096" s="1"/>
      <c r="IW1096" s="1"/>
      <c r="IX1096" s="1"/>
      <c r="IY1096" s="1"/>
      <c r="IZ1096" s="1"/>
      <c r="JA1096" s="1"/>
      <c r="JB1096" s="1"/>
      <c r="JC1096" s="1"/>
      <c r="JD1096" s="1"/>
    </row>
    <row r="1097" s="504" customFormat="true" ht="12.75" hidden="true" customHeight="true" outlineLevel="0" collapsed="false">
      <c r="A1097" s="5"/>
      <c r="B1097" s="813" t="n">
        <f aca="false">B1096+1</f>
        <v>882</v>
      </c>
      <c r="C1097" s="814" t="n">
        <f aca="false">C1096+D1097</f>
        <v>130917.855561148</v>
      </c>
      <c r="D1097" s="815" t="n">
        <f aca="false">E1097*$E$205*M1097</f>
        <v>218.378420910888</v>
      </c>
      <c r="E1097" s="601" t="n">
        <f aca="false">E1096+$C$204</f>
        <v>13.8494686016545</v>
      </c>
      <c r="F1097" s="816" t="n">
        <f aca="false">F1096+1</f>
        <v>882</v>
      </c>
      <c r="G1097" s="775" t="n">
        <f aca="false">C1097</f>
        <v>130917.855561148</v>
      </c>
      <c r="H1097" s="817" t="n">
        <f aca="false">1000*(E1097-E1096)</f>
        <v>9.99999999999979</v>
      </c>
      <c r="I1097" s="5"/>
      <c r="J1097" s="818" t="n">
        <f aca="false">1000*(E1097-$E$215)/(B1097-$B$215)</f>
        <v>11.7844329122128</v>
      </c>
      <c r="K1097" s="732" t="n">
        <f aca="false">AVERAGE($E$216:E1097)</f>
        <v>9.43585182160925</v>
      </c>
      <c r="L1097" s="819" t="n">
        <f aca="false">L1096+1</f>
        <v>882</v>
      </c>
      <c r="M1097" s="820" t="n">
        <f aca="false">IF(B1097&lt;$E$104,$E$105,$E$106)</f>
        <v>3</v>
      </c>
      <c r="N1097" s="821" t="n">
        <f aca="false">IF(B1097&lt;$E$104,$E$105,$E$111)</f>
        <v>2.5</v>
      </c>
      <c r="O1097" s="822" t="n">
        <f aca="false">E1097*$E$205*N1097</f>
        <v>181.98201742574</v>
      </c>
      <c r="P1097" s="823" t="n">
        <f aca="false">P1096+O1097</f>
        <v>109149.893567999</v>
      </c>
      <c r="Q1097" s="606" t="n">
        <f aca="false">Q1096+1</f>
        <v>882</v>
      </c>
      <c r="R1097" s="824" t="n">
        <f aca="false">R1096-1</f>
        <v>-882</v>
      </c>
      <c r="S1097" s="5"/>
      <c r="T1097" s="5"/>
      <c r="U1097" s="5"/>
      <c r="V1097" s="10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02"/>
      <c r="AU1097" s="502"/>
      <c r="AV1097" s="606"/>
      <c r="AW1097" s="502"/>
      <c r="AX1097" s="502"/>
      <c r="AY1097" s="502"/>
      <c r="AZ1097" s="502"/>
      <c r="BA1097" s="502"/>
      <c r="BB1097" s="502"/>
      <c r="BC1097" s="502"/>
      <c r="BD1097" s="502"/>
      <c r="BE1097" s="502"/>
      <c r="BF1097" s="502"/>
      <c r="BG1097" s="502"/>
      <c r="BH1097" s="502"/>
      <c r="BI1097" s="502"/>
      <c r="BJ1097" s="502"/>
      <c r="BK1097" s="502"/>
      <c r="BL1097" s="502"/>
      <c r="BM1097" s="502"/>
      <c r="BN1097" s="502"/>
      <c r="BO1097" s="502"/>
      <c r="BP1097" s="5"/>
      <c r="BQ1097" s="5"/>
      <c r="BR1097" s="5"/>
      <c r="BS1097" s="5"/>
      <c r="BT1097" s="5"/>
      <c r="BU1097" s="5"/>
      <c r="BV1097" s="5"/>
      <c r="BW1097" s="5"/>
      <c r="BX1097" s="5"/>
      <c r="BY1097" s="5"/>
      <c r="BZ1097" s="5"/>
      <c r="CA1097" s="5"/>
      <c r="CB1097" s="5"/>
      <c r="CC1097" s="5"/>
      <c r="CD1097" s="5"/>
      <c r="CE1097" s="5"/>
      <c r="CF1097" s="5"/>
      <c r="CG1097" s="5"/>
      <c r="CH1097" s="5"/>
      <c r="CI1097" s="5"/>
      <c r="CJ1097" s="5"/>
      <c r="CK1097" s="5"/>
      <c r="CL1097" s="5"/>
      <c r="CM1097" s="5"/>
      <c r="CN1097" s="5"/>
      <c r="CO1097" s="5"/>
      <c r="CP1097" s="5"/>
      <c r="CQ1097" s="5"/>
      <c r="CR1097" s="5"/>
      <c r="CS1097" s="5"/>
      <c r="CT1097" s="5"/>
      <c r="CU1097" s="5"/>
      <c r="CV1097" s="5"/>
      <c r="CW1097" s="5"/>
      <c r="CX1097" s="5"/>
      <c r="CY1097" s="5"/>
      <c r="CZ1097" s="5"/>
      <c r="DA1097" s="5"/>
      <c r="DB1097" s="5"/>
      <c r="DC1097" s="5"/>
      <c r="DD1097" s="5"/>
      <c r="DE1097" s="5"/>
      <c r="DF1097" s="5"/>
      <c r="DG1097" s="5"/>
      <c r="DH1097" s="5"/>
      <c r="DI1097" s="5"/>
      <c r="DJ1097" s="5"/>
      <c r="DK1097" s="5"/>
      <c r="DL1097" s="5"/>
      <c r="DM1097" s="5"/>
      <c r="DN1097" s="5"/>
      <c r="DO1097" s="5"/>
      <c r="DP1097" s="5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  <c r="HE1097" s="1"/>
      <c r="HF1097" s="1"/>
      <c r="HG1097" s="1"/>
      <c r="HH1097" s="1"/>
      <c r="HI1097" s="1"/>
      <c r="HJ1097" s="1"/>
      <c r="HK1097" s="1"/>
      <c r="HL1097" s="1"/>
      <c r="HM1097" s="1"/>
      <c r="HN1097" s="1"/>
      <c r="HO1097" s="1"/>
      <c r="HP1097" s="1"/>
      <c r="HQ1097" s="1"/>
      <c r="HR1097" s="1"/>
      <c r="HS1097" s="1"/>
      <c r="HT1097" s="1"/>
      <c r="HU1097" s="1"/>
      <c r="HV1097" s="1"/>
      <c r="HW1097" s="1"/>
      <c r="HX1097" s="1"/>
      <c r="HY1097" s="1"/>
      <c r="HZ1097" s="1"/>
      <c r="IA1097" s="1"/>
      <c r="IB1097" s="1"/>
      <c r="IC1097" s="1"/>
      <c r="ID1097" s="1"/>
      <c r="IE1097" s="1"/>
      <c r="IF1097" s="1"/>
      <c r="IG1097" s="1"/>
      <c r="IH1097" s="1"/>
      <c r="II1097" s="1"/>
      <c r="IJ1097" s="1"/>
      <c r="IK1097" s="1"/>
      <c r="IL1097" s="1"/>
      <c r="IM1097" s="1"/>
      <c r="IN1097" s="1"/>
      <c r="IO1097" s="1"/>
      <c r="IP1097" s="1"/>
      <c r="IQ1097" s="1"/>
      <c r="IR1097" s="1"/>
      <c r="IS1097" s="1"/>
      <c r="IT1097" s="1"/>
      <c r="IU1097" s="1"/>
      <c r="IV1097" s="1"/>
      <c r="IW1097" s="1"/>
      <c r="IX1097" s="1"/>
      <c r="IY1097" s="1"/>
      <c r="IZ1097" s="1"/>
      <c r="JA1097" s="1"/>
      <c r="JB1097" s="1"/>
      <c r="JC1097" s="1"/>
      <c r="JD1097" s="1"/>
    </row>
    <row r="1098" s="504" customFormat="true" ht="12.75" hidden="true" customHeight="true" outlineLevel="0" collapsed="false">
      <c r="A1098" s="5"/>
      <c r="B1098" s="813" t="n">
        <f aca="false">B1097+1</f>
        <v>883</v>
      </c>
      <c r="C1098" s="814" t="n">
        <f aca="false">C1097+D1098</f>
        <v>131136.391662058</v>
      </c>
      <c r="D1098" s="815" t="n">
        <f aca="false">E1098*$E$205*M1098</f>
        <v>218.536100910888</v>
      </c>
      <c r="E1098" s="601" t="n">
        <f aca="false">E1097+$C$204</f>
        <v>13.8594686016545</v>
      </c>
      <c r="F1098" s="816" t="n">
        <f aca="false">F1097+1</f>
        <v>883</v>
      </c>
      <c r="G1098" s="775" t="n">
        <f aca="false">C1098</f>
        <v>131136.391662058</v>
      </c>
      <c r="H1098" s="817" t="n">
        <f aca="false">1000*(E1098-E1097)</f>
        <v>9.99999999999979</v>
      </c>
      <c r="I1098" s="5"/>
      <c r="J1098" s="818" t="n">
        <f aca="false">1000*(E1098-$E$215)/(B1098-$B$215)</f>
        <v>11.7824120368875</v>
      </c>
      <c r="K1098" s="732" t="n">
        <f aca="false">AVERAGE($E$216:E1098)</f>
        <v>9.44086158013704</v>
      </c>
      <c r="L1098" s="819" t="n">
        <f aca="false">L1097+1</f>
        <v>883</v>
      </c>
      <c r="M1098" s="820" t="n">
        <f aca="false">IF(B1098&lt;$E$104,$E$105,$E$106)</f>
        <v>3</v>
      </c>
      <c r="N1098" s="821" t="n">
        <f aca="false">IF(B1098&lt;$E$104,$E$105,$E$111)</f>
        <v>2.5</v>
      </c>
      <c r="O1098" s="822" t="n">
        <f aca="false">E1098*$E$205*N1098</f>
        <v>182.11341742574</v>
      </c>
      <c r="P1098" s="823" t="n">
        <f aca="false">P1097+O1098</f>
        <v>109332.006985425</v>
      </c>
      <c r="Q1098" s="606" t="n">
        <f aca="false">Q1097+1</f>
        <v>883</v>
      </c>
      <c r="R1098" s="824" t="n">
        <f aca="false">R1097-1</f>
        <v>-883</v>
      </c>
      <c r="S1098" s="5"/>
      <c r="T1098" s="5"/>
      <c r="U1098" s="5"/>
      <c r="V1098" s="10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02"/>
      <c r="AU1098" s="502"/>
      <c r="AV1098" s="606"/>
      <c r="AW1098" s="502"/>
      <c r="AX1098" s="502"/>
      <c r="AY1098" s="502"/>
      <c r="AZ1098" s="502"/>
      <c r="BA1098" s="502"/>
      <c r="BB1098" s="502"/>
      <c r="BC1098" s="502"/>
      <c r="BD1098" s="502"/>
      <c r="BE1098" s="502"/>
      <c r="BF1098" s="502"/>
      <c r="BG1098" s="502"/>
      <c r="BH1098" s="502"/>
      <c r="BI1098" s="502"/>
      <c r="BJ1098" s="502"/>
      <c r="BK1098" s="502"/>
      <c r="BL1098" s="502"/>
      <c r="BM1098" s="502"/>
      <c r="BN1098" s="502"/>
      <c r="BO1098" s="502"/>
      <c r="BP1098" s="5"/>
      <c r="BQ1098" s="5"/>
      <c r="BR1098" s="5"/>
      <c r="BS1098" s="5"/>
      <c r="BT1098" s="5"/>
      <c r="BU1098" s="5"/>
      <c r="BV1098" s="5"/>
      <c r="BW1098" s="5"/>
      <c r="BX1098" s="5"/>
      <c r="BY1098" s="5"/>
      <c r="BZ1098" s="5"/>
      <c r="CA1098" s="5"/>
      <c r="CB1098" s="5"/>
      <c r="CC1098" s="5"/>
      <c r="CD1098" s="5"/>
      <c r="CE1098" s="5"/>
      <c r="CF1098" s="5"/>
      <c r="CG1098" s="5"/>
      <c r="CH1098" s="5"/>
      <c r="CI1098" s="5"/>
      <c r="CJ1098" s="5"/>
      <c r="CK1098" s="5"/>
      <c r="CL1098" s="5"/>
      <c r="CM1098" s="5"/>
      <c r="CN1098" s="5"/>
      <c r="CO1098" s="5"/>
      <c r="CP1098" s="5"/>
      <c r="CQ1098" s="5"/>
      <c r="CR1098" s="5"/>
      <c r="CS1098" s="5"/>
      <c r="CT1098" s="5"/>
      <c r="CU1098" s="5"/>
      <c r="CV1098" s="5"/>
      <c r="CW1098" s="5"/>
      <c r="CX1098" s="5"/>
      <c r="CY1098" s="5"/>
      <c r="CZ1098" s="5"/>
      <c r="DA1098" s="5"/>
      <c r="DB1098" s="5"/>
      <c r="DC1098" s="5"/>
      <c r="DD1098" s="5"/>
      <c r="DE1098" s="5"/>
      <c r="DF1098" s="5"/>
      <c r="DG1098" s="5"/>
      <c r="DH1098" s="5"/>
      <c r="DI1098" s="5"/>
      <c r="DJ1098" s="5"/>
      <c r="DK1098" s="5"/>
      <c r="DL1098" s="5"/>
      <c r="DM1098" s="5"/>
      <c r="DN1098" s="5"/>
      <c r="DO1098" s="5"/>
      <c r="DP1098" s="5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  <c r="HE1098" s="1"/>
      <c r="HF1098" s="1"/>
      <c r="HG1098" s="1"/>
      <c r="HH1098" s="1"/>
      <c r="HI1098" s="1"/>
      <c r="HJ1098" s="1"/>
      <c r="HK1098" s="1"/>
      <c r="HL1098" s="1"/>
      <c r="HM1098" s="1"/>
      <c r="HN1098" s="1"/>
      <c r="HO1098" s="1"/>
      <c r="HP1098" s="1"/>
      <c r="HQ1098" s="1"/>
      <c r="HR1098" s="1"/>
      <c r="HS1098" s="1"/>
      <c r="HT1098" s="1"/>
      <c r="HU1098" s="1"/>
      <c r="HV1098" s="1"/>
      <c r="HW1098" s="1"/>
      <c r="HX1098" s="1"/>
      <c r="HY1098" s="1"/>
      <c r="HZ1098" s="1"/>
      <c r="IA1098" s="1"/>
      <c r="IB1098" s="1"/>
      <c r="IC1098" s="1"/>
      <c r="ID1098" s="1"/>
      <c r="IE1098" s="1"/>
      <c r="IF1098" s="1"/>
      <c r="IG1098" s="1"/>
      <c r="IH1098" s="1"/>
      <c r="II1098" s="1"/>
      <c r="IJ1098" s="1"/>
      <c r="IK1098" s="1"/>
      <c r="IL1098" s="1"/>
      <c r="IM1098" s="1"/>
      <c r="IN1098" s="1"/>
      <c r="IO1098" s="1"/>
      <c r="IP1098" s="1"/>
      <c r="IQ1098" s="1"/>
      <c r="IR1098" s="1"/>
      <c r="IS1098" s="1"/>
      <c r="IT1098" s="1"/>
      <c r="IU1098" s="1"/>
      <c r="IV1098" s="1"/>
      <c r="IW1098" s="1"/>
      <c r="IX1098" s="1"/>
      <c r="IY1098" s="1"/>
      <c r="IZ1098" s="1"/>
      <c r="JA1098" s="1"/>
      <c r="JB1098" s="1"/>
      <c r="JC1098" s="1"/>
      <c r="JD1098" s="1"/>
    </row>
    <row r="1099" s="504" customFormat="true" ht="12.75" hidden="true" customHeight="true" outlineLevel="0" collapsed="false">
      <c r="A1099" s="5"/>
      <c r="B1099" s="813" t="n">
        <f aca="false">B1098+1</f>
        <v>884</v>
      </c>
      <c r="C1099" s="814" t="n">
        <f aca="false">C1098+D1099</f>
        <v>131355.085442969</v>
      </c>
      <c r="D1099" s="815" t="n">
        <f aca="false">E1099*$E$205*M1099</f>
        <v>218.693780910888</v>
      </c>
      <c r="E1099" s="601" t="n">
        <f aca="false">E1098+$C$204</f>
        <v>13.8694686016545</v>
      </c>
      <c r="F1099" s="816" t="n">
        <f aca="false">F1098+1</f>
        <v>884</v>
      </c>
      <c r="G1099" s="775" t="n">
        <f aca="false">C1099</f>
        <v>131355.085442969</v>
      </c>
      <c r="H1099" s="817" t="n">
        <f aca="false">1000*(E1099-E1098)</f>
        <v>9.99999999999979</v>
      </c>
      <c r="I1099" s="5"/>
      <c r="J1099" s="818" t="n">
        <f aca="false">1000*(E1099-$E$215)/(B1099-$B$215)</f>
        <v>11.7803957336783</v>
      </c>
      <c r="K1099" s="732" t="n">
        <f aca="false">AVERAGE($E$216:E1099)</f>
        <v>9.44587131658673</v>
      </c>
      <c r="L1099" s="819" t="n">
        <f aca="false">L1098+1</f>
        <v>884</v>
      </c>
      <c r="M1099" s="820" t="n">
        <f aca="false">IF(B1099&lt;$E$104,$E$105,$E$106)</f>
        <v>3</v>
      </c>
      <c r="N1099" s="821" t="n">
        <f aca="false">IF(B1099&lt;$E$104,$E$105,$E$111)</f>
        <v>2.5</v>
      </c>
      <c r="O1099" s="822" t="n">
        <f aca="false">E1099*$E$205*N1099</f>
        <v>182.24481742574</v>
      </c>
      <c r="P1099" s="823" t="n">
        <f aca="false">P1098+O1099</f>
        <v>109514.251802851</v>
      </c>
      <c r="Q1099" s="606" t="n">
        <f aca="false">Q1098+1</f>
        <v>884</v>
      </c>
      <c r="R1099" s="824" t="n">
        <f aca="false">R1098-1</f>
        <v>-884</v>
      </c>
      <c r="S1099" s="5"/>
      <c r="T1099" s="5"/>
      <c r="U1099" s="5"/>
      <c r="V1099" s="10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02"/>
      <c r="AU1099" s="502"/>
      <c r="AV1099" s="606"/>
      <c r="AW1099" s="502"/>
      <c r="AX1099" s="502"/>
      <c r="AY1099" s="502"/>
      <c r="AZ1099" s="502"/>
      <c r="BA1099" s="502"/>
      <c r="BB1099" s="502"/>
      <c r="BC1099" s="502"/>
      <c r="BD1099" s="502"/>
      <c r="BE1099" s="502"/>
      <c r="BF1099" s="502"/>
      <c r="BG1099" s="502"/>
      <c r="BH1099" s="502"/>
      <c r="BI1099" s="502"/>
      <c r="BJ1099" s="502"/>
      <c r="BK1099" s="502"/>
      <c r="BL1099" s="502"/>
      <c r="BM1099" s="502"/>
      <c r="BN1099" s="502"/>
      <c r="BO1099" s="502"/>
      <c r="BP1099" s="5"/>
      <c r="BQ1099" s="5"/>
      <c r="BR1099" s="5"/>
      <c r="BS1099" s="5"/>
      <c r="BT1099" s="5"/>
      <c r="BU1099" s="5"/>
      <c r="BV1099" s="5"/>
      <c r="BW1099" s="5"/>
      <c r="BX1099" s="5"/>
      <c r="BY1099" s="5"/>
      <c r="BZ1099" s="5"/>
      <c r="CA1099" s="5"/>
      <c r="CB1099" s="5"/>
      <c r="CC1099" s="5"/>
      <c r="CD1099" s="5"/>
      <c r="CE1099" s="5"/>
      <c r="CF1099" s="5"/>
      <c r="CG1099" s="5"/>
      <c r="CH1099" s="5"/>
      <c r="CI1099" s="5"/>
      <c r="CJ1099" s="5"/>
      <c r="CK1099" s="5"/>
      <c r="CL1099" s="5"/>
      <c r="CM1099" s="5"/>
      <c r="CN1099" s="5"/>
      <c r="CO1099" s="5"/>
      <c r="CP1099" s="5"/>
      <c r="CQ1099" s="5"/>
      <c r="CR1099" s="5"/>
      <c r="CS1099" s="5"/>
      <c r="CT1099" s="5"/>
      <c r="CU1099" s="5"/>
      <c r="CV1099" s="5"/>
      <c r="CW1099" s="5"/>
      <c r="CX1099" s="5"/>
      <c r="CY1099" s="5"/>
      <c r="CZ1099" s="5"/>
      <c r="DA1099" s="5"/>
      <c r="DB1099" s="5"/>
      <c r="DC1099" s="5"/>
      <c r="DD1099" s="5"/>
      <c r="DE1099" s="5"/>
      <c r="DF1099" s="5"/>
      <c r="DG1099" s="5"/>
      <c r="DH1099" s="5"/>
      <c r="DI1099" s="5"/>
      <c r="DJ1099" s="5"/>
      <c r="DK1099" s="5"/>
      <c r="DL1099" s="5"/>
      <c r="DM1099" s="5"/>
      <c r="DN1099" s="5"/>
      <c r="DO1099" s="5"/>
      <c r="DP1099" s="5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  <c r="HE1099" s="1"/>
      <c r="HF1099" s="1"/>
      <c r="HG1099" s="1"/>
      <c r="HH1099" s="1"/>
      <c r="HI1099" s="1"/>
      <c r="HJ1099" s="1"/>
      <c r="HK1099" s="1"/>
      <c r="HL1099" s="1"/>
      <c r="HM1099" s="1"/>
      <c r="HN1099" s="1"/>
      <c r="HO1099" s="1"/>
      <c r="HP1099" s="1"/>
      <c r="HQ1099" s="1"/>
      <c r="HR1099" s="1"/>
      <c r="HS1099" s="1"/>
      <c r="HT1099" s="1"/>
      <c r="HU1099" s="1"/>
      <c r="HV1099" s="1"/>
      <c r="HW1099" s="1"/>
      <c r="HX1099" s="1"/>
      <c r="HY1099" s="1"/>
      <c r="HZ1099" s="1"/>
      <c r="IA1099" s="1"/>
      <c r="IB1099" s="1"/>
      <c r="IC1099" s="1"/>
      <c r="ID1099" s="1"/>
      <c r="IE1099" s="1"/>
      <c r="IF1099" s="1"/>
      <c r="IG1099" s="1"/>
      <c r="IH1099" s="1"/>
      <c r="II1099" s="1"/>
      <c r="IJ1099" s="1"/>
      <c r="IK1099" s="1"/>
      <c r="IL1099" s="1"/>
      <c r="IM1099" s="1"/>
      <c r="IN1099" s="1"/>
      <c r="IO1099" s="1"/>
      <c r="IP1099" s="1"/>
      <c r="IQ1099" s="1"/>
      <c r="IR1099" s="1"/>
      <c r="IS1099" s="1"/>
      <c r="IT1099" s="1"/>
      <c r="IU1099" s="1"/>
      <c r="IV1099" s="1"/>
      <c r="IW1099" s="1"/>
      <c r="IX1099" s="1"/>
      <c r="IY1099" s="1"/>
      <c r="IZ1099" s="1"/>
      <c r="JA1099" s="1"/>
      <c r="JB1099" s="1"/>
      <c r="JC1099" s="1"/>
      <c r="JD1099" s="1"/>
    </row>
    <row r="1100" s="504" customFormat="true" ht="12.75" hidden="true" customHeight="true" outlineLevel="0" collapsed="false">
      <c r="A1100" s="5"/>
      <c r="B1100" s="813" t="n">
        <f aca="false">B1099+1</f>
        <v>885</v>
      </c>
      <c r="C1100" s="814" t="n">
        <f aca="false">C1099+D1100</f>
        <v>131573.93690388</v>
      </c>
      <c r="D1100" s="815" t="n">
        <f aca="false">E1100*$E$205*M1100</f>
        <v>218.851460910888</v>
      </c>
      <c r="E1100" s="601" t="n">
        <f aca="false">E1099+$C$204</f>
        <v>13.8794686016545</v>
      </c>
      <c r="F1100" s="816" t="n">
        <f aca="false">F1099+1</f>
        <v>885</v>
      </c>
      <c r="G1100" s="775" t="n">
        <f aca="false">C1100</f>
        <v>131573.93690388</v>
      </c>
      <c r="H1100" s="817" t="n">
        <f aca="false">1000*(E1100-E1099)</f>
        <v>9.99999999999979</v>
      </c>
      <c r="I1100" s="5"/>
      <c r="J1100" s="818" t="n">
        <f aca="false">1000*(E1100-$E$215)/(B1100-$B$215)</f>
        <v>11.7783839870866</v>
      </c>
      <c r="K1100" s="732" t="n">
        <f aca="false">AVERAGE($E$216:E1100)</f>
        <v>9.45088103103313</v>
      </c>
      <c r="L1100" s="819" t="n">
        <f aca="false">L1099+1</f>
        <v>885</v>
      </c>
      <c r="M1100" s="820" t="n">
        <f aca="false">IF(B1100&lt;$E$104,$E$105,$E$106)</f>
        <v>3</v>
      </c>
      <c r="N1100" s="821" t="n">
        <f aca="false">IF(B1100&lt;$E$104,$E$105,$E$111)</f>
        <v>2.5</v>
      </c>
      <c r="O1100" s="822" t="n">
        <f aca="false">E1100*$E$205*N1100</f>
        <v>182.37621742574</v>
      </c>
      <c r="P1100" s="823" t="n">
        <f aca="false">P1099+O1100</f>
        <v>109696.628020276</v>
      </c>
      <c r="Q1100" s="606" t="n">
        <f aca="false">Q1099+1</f>
        <v>885</v>
      </c>
      <c r="R1100" s="824" t="n">
        <f aca="false">R1099-1</f>
        <v>-885</v>
      </c>
      <c r="S1100" s="5"/>
      <c r="T1100" s="5"/>
      <c r="U1100" s="5"/>
      <c r="V1100" s="10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02"/>
      <c r="AU1100" s="502"/>
      <c r="AV1100" s="606"/>
      <c r="AW1100" s="502"/>
      <c r="AX1100" s="502"/>
      <c r="AY1100" s="502"/>
      <c r="AZ1100" s="502"/>
      <c r="BA1100" s="502"/>
      <c r="BB1100" s="502"/>
      <c r="BC1100" s="502"/>
      <c r="BD1100" s="502"/>
      <c r="BE1100" s="502"/>
      <c r="BF1100" s="502"/>
      <c r="BG1100" s="502"/>
      <c r="BH1100" s="502"/>
      <c r="BI1100" s="502"/>
      <c r="BJ1100" s="502"/>
      <c r="BK1100" s="502"/>
      <c r="BL1100" s="502"/>
      <c r="BM1100" s="502"/>
      <c r="BN1100" s="502"/>
      <c r="BO1100" s="502"/>
      <c r="BP1100" s="5"/>
      <c r="BQ1100" s="5"/>
      <c r="BR1100" s="5"/>
      <c r="BS1100" s="5"/>
      <c r="BT1100" s="5"/>
      <c r="BU1100" s="5"/>
      <c r="BV1100" s="5"/>
      <c r="BW1100" s="5"/>
      <c r="BX1100" s="5"/>
      <c r="BY1100" s="5"/>
      <c r="BZ1100" s="5"/>
      <c r="CA1100" s="5"/>
      <c r="CB1100" s="5"/>
      <c r="CC1100" s="5"/>
      <c r="CD1100" s="5"/>
      <c r="CE1100" s="5"/>
      <c r="CF1100" s="5"/>
      <c r="CG1100" s="5"/>
      <c r="CH1100" s="5"/>
      <c r="CI1100" s="5"/>
      <c r="CJ1100" s="5"/>
      <c r="CK1100" s="5"/>
      <c r="CL1100" s="5"/>
      <c r="CM1100" s="5"/>
      <c r="CN1100" s="5"/>
      <c r="CO1100" s="5"/>
      <c r="CP1100" s="5"/>
      <c r="CQ1100" s="5"/>
      <c r="CR1100" s="5"/>
      <c r="CS1100" s="5"/>
      <c r="CT1100" s="5"/>
      <c r="CU1100" s="5"/>
      <c r="CV1100" s="5"/>
      <c r="CW1100" s="5"/>
      <c r="CX1100" s="5"/>
      <c r="CY1100" s="5"/>
      <c r="CZ1100" s="5"/>
      <c r="DA1100" s="5"/>
      <c r="DB1100" s="5"/>
      <c r="DC1100" s="5"/>
      <c r="DD1100" s="5"/>
      <c r="DE1100" s="5"/>
      <c r="DF1100" s="5"/>
      <c r="DG1100" s="5"/>
      <c r="DH1100" s="5"/>
      <c r="DI1100" s="5"/>
      <c r="DJ1100" s="5"/>
      <c r="DK1100" s="5"/>
      <c r="DL1100" s="5"/>
      <c r="DM1100" s="5"/>
      <c r="DN1100" s="5"/>
      <c r="DO1100" s="5"/>
      <c r="DP1100" s="5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  <c r="FM1100" s="1"/>
      <c r="FN1100" s="1"/>
      <c r="FO1100" s="1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  <c r="HA1100" s="1"/>
      <c r="HB1100" s="1"/>
      <c r="HC1100" s="1"/>
      <c r="HD1100" s="1"/>
      <c r="HE1100" s="1"/>
      <c r="HF1100" s="1"/>
      <c r="HG1100" s="1"/>
      <c r="HH1100" s="1"/>
      <c r="HI1100" s="1"/>
      <c r="HJ1100" s="1"/>
      <c r="HK1100" s="1"/>
      <c r="HL1100" s="1"/>
      <c r="HM1100" s="1"/>
      <c r="HN1100" s="1"/>
      <c r="HO1100" s="1"/>
      <c r="HP1100" s="1"/>
      <c r="HQ1100" s="1"/>
      <c r="HR1100" s="1"/>
      <c r="HS1100" s="1"/>
      <c r="HT1100" s="1"/>
      <c r="HU1100" s="1"/>
      <c r="HV1100" s="1"/>
      <c r="HW1100" s="1"/>
      <c r="HX1100" s="1"/>
      <c r="HY1100" s="1"/>
      <c r="HZ1100" s="1"/>
      <c r="IA1100" s="1"/>
      <c r="IB1100" s="1"/>
      <c r="IC1100" s="1"/>
      <c r="ID1100" s="1"/>
      <c r="IE1100" s="1"/>
      <c r="IF1100" s="1"/>
      <c r="IG1100" s="1"/>
      <c r="IH1100" s="1"/>
      <c r="II1100" s="1"/>
      <c r="IJ1100" s="1"/>
      <c r="IK1100" s="1"/>
      <c r="IL1100" s="1"/>
      <c r="IM1100" s="1"/>
      <c r="IN1100" s="1"/>
      <c r="IO1100" s="1"/>
      <c r="IP1100" s="1"/>
      <c r="IQ1100" s="1"/>
      <c r="IR1100" s="1"/>
      <c r="IS1100" s="1"/>
      <c r="IT1100" s="1"/>
      <c r="IU1100" s="1"/>
      <c r="IV1100" s="1"/>
      <c r="IW1100" s="1"/>
      <c r="IX1100" s="1"/>
      <c r="IY1100" s="1"/>
      <c r="IZ1100" s="1"/>
      <c r="JA1100" s="1"/>
      <c r="JB1100" s="1"/>
      <c r="JC1100" s="1"/>
      <c r="JD1100" s="1"/>
    </row>
    <row r="1101" s="504" customFormat="true" ht="12.75" hidden="true" customHeight="true" outlineLevel="0" collapsed="false">
      <c r="A1101" s="5"/>
      <c r="B1101" s="813" t="n">
        <f aca="false">B1100+1</f>
        <v>886</v>
      </c>
      <c r="C1101" s="814" t="n">
        <f aca="false">C1100+D1101</f>
        <v>131792.946044791</v>
      </c>
      <c r="D1101" s="815" t="n">
        <f aca="false">E1101*$E$205*M1101</f>
        <v>219.009140910888</v>
      </c>
      <c r="E1101" s="601" t="n">
        <f aca="false">E1100+$C$204</f>
        <v>13.8894686016545</v>
      </c>
      <c r="F1101" s="816" t="n">
        <f aca="false">F1100+1</f>
        <v>886</v>
      </c>
      <c r="G1101" s="775" t="n">
        <f aca="false">C1101</f>
        <v>131792.946044791</v>
      </c>
      <c r="H1101" s="817" t="n">
        <f aca="false">1000*(E1101-E1100)</f>
        <v>9.99999999999979</v>
      </c>
      <c r="I1101" s="5"/>
      <c r="J1101" s="818" t="n">
        <f aca="false">1000*(E1101-$E$215)/(B1101-$B$215)</f>
        <v>11.7763767816836</v>
      </c>
      <c r="K1101" s="732" t="n">
        <f aca="false">AVERAGE($E$216:E1101)</f>
        <v>9.45589072355076</v>
      </c>
      <c r="L1101" s="819" t="n">
        <f aca="false">L1100+1</f>
        <v>886</v>
      </c>
      <c r="M1101" s="820" t="n">
        <f aca="false">IF(B1101&lt;$E$104,$E$105,$E$106)</f>
        <v>3</v>
      </c>
      <c r="N1101" s="821" t="n">
        <f aca="false">IF(B1101&lt;$E$104,$E$105,$E$111)</f>
        <v>2.5</v>
      </c>
      <c r="O1101" s="822" t="n">
        <f aca="false">E1101*$E$205*N1101</f>
        <v>182.50761742574</v>
      </c>
      <c r="P1101" s="823" t="n">
        <f aca="false">P1100+O1101</f>
        <v>109879.135637702</v>
      </c>
      <c r="Q1101" s="606" t="n">
        <f aca="false">Q1100+1</f>
        <v>886</v>
      </c>
      <c r="R1101" s="824" t="n">
        <f aca="false">R1100-1</f>
        <v>-886</v>
      </c>
      <c r="S1101" s="5"/>
      <c r="T1101" s="5"/>
      <c r="U1101" s="5"/>
      <c r="V1101" s="10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02"/>
      <c r="AU1101" s="502"/>
      <c r="AV1101" s="606"/>
      <c r="AW1101" s="502"/>
      <c r="AX1101" s="502"/>
      <c r="AY1101" s="502"/>
      <c r="AZ1101" s="502"/>
      <c r="BA1101" s="502"/>
      <c r="BB1101" s="502"/>
      <c r="BC1101" s="502"/>
      <c r="BD1101" s="502"/>
      <c r="BE1101" s="502"/>
      <c r="BF1101" s="502"/>
      <c r="BG1101" s="502"/>
      <c r="BH1101" s="502"/>
      <c r="BI1101" s="502"/>
      <c r="BJ1101" s="502"/>
      <c r="BK1101" s="502"/>
      <c r="BL1101" s="502"/>
      <c r="BM1101" s="502"/>
      <c r="BN1101" s="502"/>
      <c r="BO1101" s="502"/>
      <c r="BP1101" s="5"/>
      <c r="BQ1101" s="5"/>
      <c r="BR1101" s="5"/>
      <c r="BS1101" s="5"/>
      <c r="BT1101" s="5"/>
      <c r="BU1101" s="5"/>
      <c r="BV1101" s="5"/>
      <c r="BW1101" s="5"/>
      <c r="BX1101" s="5"/>
      <c r="BY1101" s="5"/>
      <c r="BZ1101" s="5"/>
      <c r="CA1101" s="5"/>
      <c r="CB1101" s="5"/>
      <c r="CC1101" s="5"/>
      <c r="CD1101" s="5"/>
      <c r="CE1101" s="5"/>
      <c r="CF1101" s="5"/>
      <c r="CG1101" s="5"/>
      <c r="CH1101" s="5"/>
      <c r="CI1101" s="5"/>
      <c r="CJ1101" s="5"/>
      <c r="CK1101" s="5"/>
      <c r="CL1101" s="5"/>
      <c r="CM1101" s="5"/>
      <c r="CN1101" s="5"/>
      <c r="CO1101" s="5"/>
      <c r="CP1101" s="5"/>
      <c r="CQ1101" s="5"/>
      <c r="CR1101" s="5"/>
      <c r="CS1101" s="5"/>
      <c r="CT1101" s="5"/>
      <c r="CU1101" s="5"/>
      <c r="CV1101" s="5"/>
      <c r="CW1101" s="5"/>
      <c r="CX1101" s="5"/>
      <c r="CY1101" s="5"/>
      <c r="CZ1101" s="5"/>
      <c r="DA1101" s="5"/>
      <c r="DB1101" s="5"/>
      <c r="DC1101" s="5"/>
      <c r="DD1101" s="5"/>
      <c r="DE1101" s="5"/>
      <c r="DF1101" s="5"/>
      <c r="DG1101" s="5"/>
      <c r="DH1101" s="5"/>
      <c r="DI1101" s="5"/>
      <c r="DJ1101" s="5"/>
      <c r="DK1101" s="5"/>
      <c r="DL1101" s="5"/>
      <c r="DM1101" s="5"/>
      <c r="DN1101" s="5"/>
      <c r="DO1101" s="5"/>
      <c r="DP1101" s="5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  <c r="HE1101" s="1"/>
      <c r="HF1101" s="1"/>
      <c r="HG1101" s="1"/>
      <c r="HH1101" s="1"/>
      <c r="HI1101" s="1"/>
      <c r="HJ1101" s="1"/>
      <c r="HK1101" s="1"/>
      <c r="HL1101" s="1"/>
      <c r="HM1101" s="1"/>
      <c r="HN1101" s="1"/>
      <c r="HO1101" s="1"/>
      <c r="HP1101" s="1"/>
      <c r="HQ1101" s="1"/>
      <c r="HR1101" s="1"/>
      <c r="HS1101" s="1"/>
      <c r="HT1101" s="1"/>
      <c r="HU1101" s="1"/>
      <c r="HV1101" s="1"/>
      <c r="HW1101" s="1"/>
      <c r="HX1101" s="1"/>
      <c r="HY1101" s="1"/>
      <c r="HZ1101" s="1"/>
      <c r="IA1101" s="1"/>
      <c r="IB1101" s="1"/>
      <c r="IC1101" s="1"/>
      <c r="ID1101" s="1"/>
      <c r="IE1101" s="1"/>
      <c r="IF1101" s="1"/>
      <c r="IG1101" s="1"/>
      <c r="IH1101" s="1"/>
      <c r="II1101" s="1"/>
      <c r="IJ1101" s="1"/>
      <c r="IK1101" s="1"/>
      <c r="IL1101" s="1"/>
      <c r="IM1101" s="1"/>
      <c r="IN1101" s="1"/>
      <c r="IO1101" s="1"/>
      <c r="IP1101" s="1"/>
      <c r="IQ1101" s="1"/>
      <c r="IR1101" s="1"/>
      <c r="IS1101" s="1"/>
      <c r="IT1101" s="1"/>
      <c r="IU1101" s="1"/>
      <c r="IV1101" s="1"/>
      <c r="IW1101" s="1"/>
      <c r="IX1101" s="1"/>
      <c r="IY1101" s="1"/>
      <c r="IZ1101" s="1"/>
      <c r="JA1101" s="1"/>
      <c r="JB1101" s="1"/>
      <c r="JC1101" s="1"/>
      <c r="JD1101" s="1"/>
    </row>
    <row r="1102" s="504" customFormat="true" ht="12.75" hidden="true" customHeight="true" outlineLevel="0" collapsed="false">
      <c r="A1102" s="5"/>
      <c r="B1102" s="813" t="n">
        <f aca="false">B1101+1</f>
        <v>887</v>
      </c>
      <c r="C1102" s="814" t="n">
        <f aca="false">C1101+D1102</f>
        <v>132012.112865702</v>
      </c>
      <c r="D1102" s="815" t="n">
        <f aca="false">E1102*$E$205*M1102</f>
        <v>219.166820910888</v>
      </c>
      <c r="E1102" s="601" t="n">
        <f aca="false">E1101+$C$204</f>
        <v>13.8994686016545</v>
      </c>
      <c r="F1102" s="816" t="n">
        <f aca="false">F1101+1</f>
        <v>887</v>
      </c>
      <c r="G1102" s="775" t="n">
        <f aca="false">C1102</f>
        <v>132012.112865702</v>
      </c>
      <c r="H1102" s="817" t="n">
        <f aca="false">1000*(E1102-E1101)</f>
        <v>9.99999999999979</v>
      </c>
      <c r="I1102" s="5"/>
      <c r="J1102" s="818" t="n">
        <f aca="false">1000*(E1102-$E$215)/(B1102-$B$215)</f>
        <v>11.7743741021101</v>
      </c>
      <c r="K1102" s="732" t="n">
        <f aca="false">AVERAGE($E$216:E1102)</f>
        <v>9.46090039421379</v>
      </c>
      <c r="L1102" s="819" t="n">
        <f aca="false">L1101+1</f>
        <v>887</v>
      </c>
      <c r="M1102" s="820" t="n">
        <f aca="false">IF(B1102&lt;$E$104,$E$105,$E$106)</f>
        <v>3</v>
      </c>
      <c r="N1102" s="821" t="n">
        <f aca="false">IF(B1102&lt;$E$104,$E$105,$E$111)</f>
        <v>2.5</v>
      </c>
      <c r="O1102" s="822" t="n">
        <f aca="false">E1102*$E$205*N1102</f>
        <v>182.63901742574</v>
      </c>
      <c r="P1102" s="823" t="n">
        <f aca="false">P1101+O1102</f>
        <v>110061.774655128</v>
      </c>
      <c r="Q1102" s="606" t="n">
        <f aca="false">Q1101+1</f>
        <v>887</v>
      </c>
      <c r="R1102" s="824" t="n">
        <f aca="false">R1101-1</f>
        <v>-887</v>
      </c>
      <c r="S1102" s="5"/>
      <c r="T1102" s="5"/>
      <c r="U1102" s="5"/>
      <c r="V1102" s="10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02"/>
      <c r="AU1102" s="502"/>
      <c r="AV1102" s="606"/>
      <c r="AW1102" s="502"/>
      <c r="AX1102" s="502"/>
      <c r="AY1102" s="502"/>
      <c r="AZ1102" s="502"/>
      <c r="BA1102" s="502"/>
      <c r="BB1102" s="502"/>
      <c r="BC1102" s="502"/>
      <c r="BD1102" s="502"/>
      <c r="BE1102" s="502"/>
      <c r="BF1102" s="502"/>
      <c r="BG1102" s="502"/>
      <c r="BH1102" s="502"/>
      <c r="BI1102" s="502"/>
      <c r="BJ1102" s="502"/>
      <c r="BK1102" s="502"/>
      <c r="BL1102" s="502"/>
      <c r="BM1102" s="502"/>
      <c r="BN1102" s="502"/>
      <c r="BO1102" s="502"/>
      <c r="BP1102" s="5"/>
      <c r="BQ1102" s="5"/>
      <c r="BR1102" s="5"/>
      <c r="BS1102" s="5"/>
      <c r="BT1102" s="5"/>
      <c r="BU1102" s="5"/>
      <c r="BV1102" s="5"/>
      <c r="BW1102" s="5"/>
      <c r="BX1102" s="5"/>
      <c r="BY1102" s="5"/>
      <c r="BZ1102" s="5"/>
      <c r="CA1102" s="5"/>
      <c r="CB1102" s="5"/>
      <c r="CC1102" s="5"/>
      <c r="CD1102" s="5"/>
      <c r="CE1102" s="5"/>
      <c r="CF1102" s="5"/>
      <c r="CG1102" s="5"/>
      <c r="CH1102" s="5"/>
      <c r="CI1102" s="5"/>
      <c r="CJ1102" s="5"/>
      <c r="CK1102" s="5"/>
      <c r="CL1102" s="5"/>
      <c r="CM1102" s="5"/>
      <c r="CN1102" s="5"/>
      <c r="CO1102" s="5"/>
      <c r="CP1102" s="5"/>
      <c r="CQ1102" s="5"/>
      <c r="CR1102" s="5"/>
      <c r="CS1102" s="5"/>
      <c r="CT1102" s="5"/>
      <c r="CU1102" s="5"/>
      <c r="CV1102" s="5"/>
      <c r="CW1102" s="5"/>
      <c r="CX1102" s="5"/>
      <c r="CY1102" s="5"/>
      <c r="CZ1102" s="5"/>
      <c r="DA1102" s="5"/>
      <c r="DB1102" s="5"/>
      <c r="DC1102" s="5"/>
      <c r="DD1102" s="5"/>
      <c r="DE1102" s="5"/>
      <c r="DF1102" s="5"/>
      <c r="DG1102" s="5"/>
      <c r="DH1102" s="5"/>
      <c r="DI1102" s="5"/>
      <c r="DJ1102" s="5"/>
      <c r="DK1102" s="5"/>
      <c r="DL1102" s="5"/>
      <c r="DM1102" s="5"/>
      <c r="DN1102" s="5"/>
      <c r="DO1102" s="5"/>
      <c r="DP1102" s="5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  <c r="HE1102" s="1"/>
      <c r="HF1102" s="1"/>
      <c r="HG1102" s="1"/>
      <c r="HH1102" s="1"/>
      <c r="HI1102" s="1"/>
      <c r="HJ1102" s="1"/>
      <c r="HK1102" s="1"/>
      <c r="HL1102" s="1"/>
      <c r="HM1102" s="1"/>
      <c r="HN1102" s="1"/>
      <c r="HO1102" s="1"/>
      <c r="HP1102" s="1"/>
      <c r="HQ1102" s="1"/>
      <c r="HR1102" s="1"/>
      <c r="HS1102" s="1"/>
      <c r="HT1102" s="1"/>
      <c r="HU1102" s="1"/>
      <c r="HV1102" s="1"/>
      <c r="HW1102" s="1"/>
      <c r="HX1102" s="1"/>
      <c r="HY1102" s="1"/>
      <c r="HZ1102" s="1"/>
      <c r="IA1102" s="1"/>
      <c r="IB1102" s="1"/>
      <c r="IC1102" s="1"/>
      <c r="ID1102" s="1"/>
      <c r="IE1102" s="1"/>
      <c r="IF1102" s="1"/>
      <c r="IG1102" s="1"/>
      <c r="IH1102" s="1"/>
      <c r="II1102" s="1"/>
      <c r="IJ1102" s="1"/>
      <c r="IK1102" s="1"/>
      <c r="IL1102" s="1"/>
      <c r="IM1102" s="1"/>
      <c r="IN1102" s="1"/>
      <c r="IO1102" s="1"/>
      <c r="IP1102" s="1"/>
      <c r="IQ1102" s="1"/>
      <c r="IR1102" s="1"/>
      <c r="IS1102" s="1"/>
      <c r="IT1102" s="1"/>
      <c r="IU1102" s="1"/>
      <c r="IV1102" s="1"/>
      <c r="IW1102" s="1"/>
      <c r="IX1102" s="1"/>
      <c r="IY1102" s="1"/>
      <c r="IZ1102" s="1"/>
      <c r="JA1102" s="1"/>
      <c r="JB1102" s="1"/>
      <c r="JC1102" s="1"/>
      <c r="JD1102" s="1"/>
    </row>
    <row r="1103" s="504" customFormat="true" ht="12.75" hidden="true" customHeight="true" outlineLevel="0" collapsed="false">
      <c r="A1103" s="5"/>
      <c r="B1103" s="813" t="n">
        <f aca="false">B1102+1</f>
        <v>888</v>
      </c>
      <c r="C1103" s="814" t="n">
        <f aca="false">C1102+D1103</f>
        <v>132231.437366613</v>
      </c>
      <c r="D1103" s="815" t="n">
        <f aca="false">E1103*$E$205*M1103</f>
        <v>219.324500910888</v>
      </c>
      <c r="E1103" s="601" t="n">
        <f aca="false">E1102+$C$204</f>
        <v>13.9094686016545</v>
      </c>
      <c r="F1103" s="816" t="n">
        <f aca="false">F1102+1</f>
        <v>888</v>
      </c>
      <c r="G1103" s="775" t="n">
        <f aca="false">C1103</f>
        <v>132231.437366613</v>
      </c>
      <c r="H1103" s="817" t="n">
        <f aca="false">1000*(E1103-E1102)</f>
        <v>9.99999999999979</v>
      </c>
      <c r="I1103" s="5"/>
      <c r="J1103" s="818" t="n">
        <f aca="false">1000*(E1103-$E$215)/(B1103-$B$215)</f>
        <v>11.7723759330762</v>
      </c>
      <c r="K1103" s="732" t="n">
        <f aca="false">AVERAGE($E$216:E1103)</f>
        <v>9.46591004309604</v>
      </c>
      <c r="L1103" s="819" t="n">
        <f aca="false">L1102+1</f>
        <v>888</v>
      </c>
      <c r="M1103" s="820" t="n">
        <f aca="false">IF(B1103&lt;$E$104,$E$105,$E$106)</f>
        <v>3</v>
      </c>
      <c r="N1103" s="821" t="n">
        <f aca="false">IF(B1103&lt;$E$104,$E$105,$E$111)</f>
        <v>2.5</v>
      </c>
      <c r="O1103" s="822" t="n">
        <f aca="false">E1103*$E$205*N1103</f>
        <v>182.77041742574</v>
      </c>
      <c r="P1103" s="823" t="n">
        <f aca="false">P1102+O1103</f>
        <v>110244.545072554</v>
      </c>
      <c r="Q1103" s="606" t="n">
        <f aca="false">Q1102+1</f>
        <v>888</v>
      </c>
      <c r="R1103" s="824" t="n">
        <f aca="false">R1102-1</f>
        <v>-888</v>
      </c>
      <c r="S1103" s="5"/>
      <c r="T1103" s="5"/>
      <c r="U1103" s="5"/>
      <c r="V1103" s="10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02"/>
      <c r="AU1103" s="502"/>
      <c r="AV1103" s="606"/>
      <c r="AW1103" s="502"/>
      <c r="AX1103" s="502"/>
      <c r="AY1103" s="502"/>
      <c r="AZ1103" s="502"/>
      <c r="BA1103" s="502"/>
      <c r="BB1103" s="502"/>
      <c r="BC1103" s="502"/>
      <c r="BD1103" s="502"/>
      <c r="BE1103" s="502"/>
      <c r="BF1103" s="502"/>
      <c r="BG1103" s="502"/>
      <c r="BH1103" s="502"/>
      <c r="BI1103" s="502"/>
      <c r="BJ1103" s="502"/>
      <c r="BK1103" s="502"/>
      <c r="BL1103" s="502"/>
      <c r="BM1103" s="502"/>
      <c r="BN1103" s="502"/>
      <c r="BO1103" s="502"/>
      <c r="BP1103" s="5"/>
      <c r="BQ1103" s="5"/>
      <c r="BR1103" s="5"/>
      <c r="BS1103" s="5"/>
      <c r="BT1103" s="5"/>
      <c r="BU1103" s="5"/>
      <c r="BV1103" s="5"/>
      <c r="BW1103" s="5"/>
      <c r="BX1103" s="5"/>
      <c r="BY1103" s="5"/>
      <c r="BZ1103" s="5"/>
      <c r="CA1103" s="5"/>
      <c r="CB1103" s="5"/>
      <c r="CC1103" s="5"/>
      <c r="CD1103" s="5"/>
      <c r="CE1103" s="5"/>
      <c r="CF1103" s="5"/>
      <c r="CG1103" s="5"/>
      <c r="CH1103" s="5"/>
      <c r="CI1103" s="5"/>
      <c r="CJ1103" s="5"/>
      <c r="CK1103" s="5"/>
      <c r="CL1103" s="5"/>
      <c r="CM1103" s="5"/>
      <c r="CN1103" s="5"/>
      <c r="CO1103" s="5"/>
      <c r="CP1103" s="5"/>
      <c r="CQ1103" s="5"/>
      <c r="CR1103" s="5"/>
      <c r="CS1103" s="5"/>
      <c r="CT1103" s="5"/>
      <c r="CU1103" s="5"/>
      <c r="CV1103" s="5"/>
      <c r="CW1103" s="5"/>
      <c r="CX1103" s="5"/>
      <c r="CY1103" s="5"/>
      <c r="CZ1103" s="5"/>
      <c r="DA1103" s="5"/>
      <c r="DB1103" s="5"/>
      <c r="DC1103" s="5"/>
      <c r="DD1103" s="5"/>
      <c r="DE1103" s="5"/>
      <c r="DF1103" s="5"/>
      <c r="DG1103" s="5"/>
      <c r="DH1103" s="5"/>
      <c r="DI1103" s="5"/>
      <c r="DJ1103" s="5"/>
      <c r="DK1103" s="5"/>
      <c r="DL1103" s="5"/>
      <c r="DM1103" s="5"/>
      <c r="DN1103" s="5"/>
      <c r="DO1103" s="5"/>
      <c r="DP1103" s="5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  <c r="FM1103" s="1"/>
      <c r="FN1103" s="1"/>
      <c r="FO1103" s="1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  <c r="HA1103" s="1"/>
      <c r="HB1103" s="1"/>
      <c r="HC1103" s="1"/>
      <c r="HD1103" s="1"/>
      <c r="HE1103" s="1"/>
      <c r="HF1103" s="1"/>
      <c r="HG1103" s="1"/>
      <c r="HH1103" s="1"/>
      <c r="HI1103" s="1"/>
      <c r="HJ1103" s="1"/>
      <c r="HK1103" s="1"/>
      <c r="HL1103" s="1"/>
      <c r="HM1103" s="1"/>
      <c r="HN1103" s="1"/>
      <c r="HO1103" s="1"/>
      <c r="HP1103" s="1"/>
      <c r="HQ1103" s="1"/>
      <c r="HR1103" s="1"/>
      <c r="HS1103" s="1"/>
      <c r="HT1103" s="1"/>
      <c r="HU1103" s="1"/>
      <c r="HV1103" s="1"/>
      <c r="HW1103" s="1"/>
      <c r="HX1103" s="1"/>
      <c r="HY1103" s="1"/>
      <c r="HZ1103" s="1"/>
      <c r="IA1103" s="1"/>
      <c r="IB1103" s="1"/>
      <c r="IC1103" s="1"/>
      <c r="ID1103" s="1"/>
      <c r="IE1103" s="1"/>
      <c r="IF1103" s="1"/>
      <c r="IG1103" s="1"/>
      <c r="IH1103" s="1"/>
      <c r="II1103" s="1"/>
      <c r="IJ1103" s="1"/>
      <c r="IK1103" s="1"/>
      <c r="IL1103" s="1"/>
      <c r="IM1103" s="1"/>
      <c r="IN1103" s="1"/>
      <c r="IO1103" s="1"/>
      <c r="IP1103" s="1"/>
      <c r="IQ1103" s="1"/>
      <c r="IR1103" s="1"/>
      <c r="IS1103" s="1"/>
      <c r="IT1103" s="1"/>
      <c r="IU1103" s="1"/>
      <c r="IV1103" s="1"/>
      <c r="IW1103" s="1"/>
      <c r="IX1103" s="1"/>
      <c r="IY1103" s="1"/>
      <c r="IZ1103" s="1"/>
      <c r="JA1103" s="1"/>
      <c r="JB1103" s="1"/>
      <c r="JC1103" s="1"/>
      <c r="JD1103" s="1"/>
    </row>
    <row r="1104" s="504" customFormat="true" ht="12.75" hidden="true" customHeight="true" outlineLevel="0" collapsed="false">
      <c r="A1104" s="5"/>
      <c r="B1104" s="813" t="n">
        <f aca="false">B1103+1</f>
        <v>889</v>
      </c>
      <c r="C1104" s="814" t="n">
        <f aca="false">C1103+D1104</f>
        <v>132450.919547524</v>
      </c>
      <c r="D1104" s="815" t="n">
        <f aca="false">E1104*$E$205*M1104</f>
        <v>219.482180910888</v>
      </c>
      <c r="E1104" s="601" t="n">
        <f aca="false">E1103+$C$204</f>
        <v>13.9194686016545</v>
      </c>
      <c r="F1104" s="816" t="n">
        <f aca="false">F1103+1</f>
        <v>889</v>
      </c>
      <c r="G1104" s="775" t="n">
        <f aca="false">C1104</f>
        <v>132450.919547524</v>
      </c>
      <c r="H1104" s="817" t="n">
        <f aca="false">1000*(E1104-E1103)</f>
        <v>9.99999999999979</v>
      </c>
      <c r="I1104" s="5"/>
      <c r="J1104" s="818" t="n">
        <f aca="false">1000*(E1104-$E$215)/(B1104-$B$215)</f>
        <v>11.7703822593607</v>
      </c>
      <c r="K1104" s="732" t="n">
        <f aca="false">AVERAGE($E$216:E1104)</f>
        <v>9.47091967027102</v>
      </c>
      <c r="L1104" s="819" t="n">
        <f aca="false">L1103+1</f>
        <v>889</v>
      </c>
      <c r="M1104" s="820" t="n">
        <f aca="false">IF(B1104&lt;$E$104,$E$105,$E$106)</f>
        <v>3</v>
      </c>
      <c r="N1104" s="821" t="n">
        <f aca="false">IF(B1104&lt;$E$104,$E$105,$E$111)</f>
        <v>2.5</v>
      </c>
      <c r="O1104" s="822" t="n">
        <f aca="false">E1104*$E$205*N1104</f>
        <v>182.90181742574</v>
      </c>
      <c r="P1104" s="823" t="n">
        <f aca="false">P1103+O1104</f>
        <v>110427.446889979</v>
      </c>
      <c r="Q1104" s="606" t="n">
        <f aca="false">Q1103+1</f>
        <v>889</v>
      </c>
      <c r="R1104" s="824" t="n">
        <f aca="false">R1103-1</f>
        <v>-889</v>
      </c>
      <c r="S1104" s="5"/>
      <c r="T1104" s="5"/>
      <c r="U1104" s="5"/>
      <c r="V1104" s="10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02"/>
      <c r="AU1104" s="502"/>
      <c r="AV1104" s="606"/>
      <c r="AW1104" s="502"/>
      <c r="AX1104" s="502"/>
      <c r="AY1104" s="502"/>
      <c r="AZ1104" s="502"/>
      <c r="BA1104" s="502"/>
      <c r="BB1104" s="502"/>
      <c r="BC1104" s="502"/>
      <c r="BD1104" s="502"/>
      <c r="BE1104" s="502"/>
      <c r="BF1104" s="502"/>
      <c r="BG1104" s="502"/>
      <c r="BH1104" s="502"/>
      <c r="BI1104" s="502"/>
      <c r="BJ1104" s="502"/>
      <c r="BK1104" s="502"/>
      <c r="BL1104" s="502"/>
      <c r="BM1104" s="502"/>
      <c r="BN1104" s="502"/>
      <c r="BO1104" s="502"/>
      <c r="BP1104" s="5"/>
      <c r="BQ1104" s="5"/>
      <c r="BR1104" s="5"/>
      <c r="BS1104" s="5"/>
      <c r="BT1104" s="5"/>
      <c r="BU1104" s="5"/>
      <c r="BV1104" s="5"/>
      <c r="BW1104" s="5"/>
      <c r="BX1104" s="5"/>
      <c r="BY1104" s="5"/>
      <c r="BZ1104" s="5"/>
      <c r="CA1104" s="5"/>
      <c r="CB1104" s="5"/>
      <c r="CC1104" s="5"/>
      <c r="CD1104" s="5"/>
      <c r="CE1104" s="5"/>
      <c r="CF1104" s="5"/>
      <c r="CG1104" s="5"/>
      <c r="CH1104" s="5"/>
      <c r="CI1104" s="5"/>
      <c r="CJ1104" s="5"/>
      <c r="CK1104" s="5"/>
      <c r="CL1104" s="5"/>
      <c r="CM1104" s="5"/>
      <c r="CN1104" s="5"/>
      <c r="CO1104" s="5"/>
      <c r="CP1104" s="5"/>
      <c r="CQ1104" s="5"/>
      <c r="CR1104" s="5"/>
      <c r="CS1104" s="5"/>
      <c r="CT1104" s="5"/>
      <c r="CU1104" s="5"/>
      <c r="CV1104" s="5"/>
      <c r="CW1104" s="5"/>
      <c r="CX1104" s="5"/>
      <c r="CY1104" s="5"/>
      <c r="CZ1104" s="5"/>
      <c r="DA1104" s="5"/>
      <c r="DB1104" s="5"/>
      <c r="DC1104" s="5"/>
      <c r="DD1104" s="5"/>
      <c r="DE1104" s="5"/>
      <c r="DF1104" s="5"/>
      <c r="DG1104" s="5"/>
      <c r="DH1104" s="5"/>
      <c r="DI1104" s="5"/>
      <c r="DJ1104" s="5"/>
      <c r="DK1104" s="5"/>
      <c r="DL1104" s="5"/>
      <c r="DM1104" s="5"/>
      <c r="DN1104" s="5"/>
      <c r="DO1104" s="5"/>
      <c r="DP1104" s="5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  <c r="FM1104" s="1"/>
      <c r="FN1104" s="1"/>
      <c r="FO1104" s="1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  <c r="HA1104" s="1"/>
      <c r="HB1104" s="1"/>
      <c r="HC1104" s="1"/>
      <c r="HD1104" s="1"/>
      <c r="HE1104" s="1"/>
      <c r="HF1104" s="1"/>
      <c r="HG1104" s="1"/>
      <c r="HH1104" s="1"/>
      <c r="HI1104" s="1"/>
      <c r="HJ1104" s="1"/>
      <c r="HK1104" s="1"/>
      <c r="HL1104" s="1"/>
      <c r="HM1104" s="1"/>
      <c r="HN1104" s="1"/>
      <c r="HO1104" s="1"/>
      <c r="HP1104" s="1"/>
      <c r="HQ1104" s="1"/>
      <c r="HR1104" s="1"/>
      <c r="HS1104" s="1"/>
      <c r="HT1104" s="1"/>
      <c r="HU1104" s="1"/>
      <c r="HV1104" s="1"/>
      <c r="HW1104" s="1"/>
      <c r="HX1104" s="1"/>
      <c r="HY1104" s="1"/>
      <c r="HZ1104" s="1"/>
      <c r="IA1104" s="1"/>
      <c r="IB1104" s="1"/>
      <c r="IC1104" s="1"/>
      <c r="ID1104" s="1"/>
      <c r="IE1104" s="1"/>
      <c r="IF1104" s="1"/>
      <c r="IG1104" s="1"/>
      <c r="IH1104" s="1"/>
      <c r="II1104" s="1"/>
      <c r="IJ1104" s="1"/>
      <c r="IK1104" s="1"/>
      <c r="IL1104" s="1"/>
      <c r="IM1104" s="1"/>
      <c r="IN1104" s="1"/>
      <c r="IO1104" s="1"/>
      <c r="IP1104" s="1"/>
      <c r="IQ1104" s="1"/>
      <c r="IR1104" s="1"/>
      <c r="IS1104" s="1"/>
      <c r="IT1104" s="1"/>
      <c r="IU1104" s="1"/>
      <c r="IV1104" s="1"/>
      <c r="IW1104" s="1"/>
      <c r="IX1104" s="1"/>
      <c r="IY1104" s="1"/>
      <c r="IZ1104" s="1"/>
      <c r="JA1104" s="1"/>
      <c r="JB1104" s="1"/>
      <c r="JC1104" s="1"/>
      <c r="JD1104" s="1"/>
    </row>
    <row r="1105" s="504" customFormat="true" ht="12.75" hidden="true" customHeight="true" outlineLevel="0" collapsed="false">
      <c r="A1105" s="5"/>
      <c r="B1105" s="813" t="n">
        <f aca="false">B1104+1</f>
        <v>890</v>
      </c>
      <c r="C1105" s="814" t="n">
        <f aca="false">C1104+D1105</f>
        <v>132670.559408435</v>
      </c>
      <c r="D1105" s="815" t="n">
        <f aca="false">E1105*$E$205*M1105</f>
        <v>219.639860910888</v>
      </c>
      <c r="E1105" s="601" t="n">
        <f aca="false">E1104+$C$204</f>
        <v>13.9294686016545</v>
      </c>
      <c r="F1105" s="816" t="n">
        <f aca="false">F1104+1</f>
        <v>890</v>
      </c>
      <c r="G1105" s="775" t="n">
        <f aca="false">C1105</f>
        <v>132670.559408435</v>
      </c>
      <c r="H1105" s="817" t="n">
        <f aca="false">1000*(E1105-E1104)</f>
        <v>9.99999999999979</v>
      </c>
      <c r="I1105" s="5"/>
      <c r="J1105" s="818" t="n">
        <f aca="false">1000*(E1105-$E$215)/(B1105-$B$215)</f>
        <v>11.7683930658108</v>
      </c>
      <c r="K1105" s="732" t="n">
        <f aca="false">AVERAGE($E$216:E1105)</f>
        <v>9.4759292758119</v>
      </c>
      <c r="L1105" s="819" t="n">
        <f aca="false">L1104+1</f>
        <v>890</v>
      </c>
      <c r="M1105" s="820" t="n">
        <f aca="false">IF(B1105&lt;$E$104,$E$105,$E$106)</f>
        <v>3</v>
      </c>
      <c r="N1105" s="821" t="n">
        <f aca="false">IF(B1105&lt;$E$104,$E$105,$E$111)</f>
        <v>2.5</v>
      </c>
      <c r="O1105" s="822" t="n">
        <f aca="false">E1105*$E$205*N1105</f>
        <v>183.03321742574</v>
      </c>
      <c r="P1105" s="823" t="n">
        <f aca="false">P1104+O1105</f>
        <v>110610.480107405</v>
      </c>
      <c r="Q1105" s="606" t="n">
        <f aca="false">Q1104+1</f>
        <v>890</v>
      </c>
      <c r="R1105" s="824" t="n">
        <f aca="false">R1104-1</f>
        <v>-890</v>
      </c>
      <c r="S1105" s="5"/>
      <c r="T1105" s="5"/>
      <c r="U1105" s="5"/>
      <c r="V1105" s="10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02"/>
      <c r="AU1105" s="502"/>
      <c r="AV1105" s="606"/>
      <c r="AW1105" s="502"/>
      <c r="AX1105" s="502"/>
      <c r="AY1105" s="502"/>
      <c r="AZ1105" s="502"/>
      <c r="BA1105" s="502"/>
      <c r="BB1105" s="502"/>
      <c r="BC1105" s="502"/>
      <c r="BD1105" s="502"/>
      <c r="BE1105" s="502"/>
      <c r="BF1105" s="502"/>
      <c r="BG1105" s="502"/>
      <c r="BH1105" s="502"/>
      <c r="BI1105" s="502"/>
      <c r="BJ1105" s="502"/>
      <c r="BK1105" s="502"/>
      <c r="BL1105" s="502"/>
      <c r="BM1105" s="502"/>
      <c r="BN1105" s="502"/>
      <c r="BO1105" s="502"/>
      <c r="BP1105" s="5"/>
      <c r="BQ1105" s="5"/>
      <c r="BR1105" s="5"/>
      <c r="BS1105" s="5"/>
      <c r="BT1105" s="5"/>
      <c r="BU1105" s="5"/>
      <c r="BV1105" s="5"/>
      <c r="BW1105" s="5"/>
      <c r="BX1105" s="5"/>
      <c r="BY1105" s="5"/>
      <c r="BZ1105" s="5"/>
      <c r="CA1105" s="5"/>
      <c r="CB1105" s="5"/>
      <c r="CC1105" s="5"/>
      <c r="CD1105" s="5"/>
      <c r="CE1105" s="5"/>
      <c r="CF1105" s="5"/>
      <c r="CG1105" s="5"/>
      <c r="CH1105" s="5"/>
      <c r="CI1105" s="5"/>
      <c r="CJ1105" s="5"/>
      <c r="CK1105" s="5"/>
      <c r="CL1105" s="5"/>
      <c r="CM1105" s="5"/>
      <c r="CN1105" s="5"/>
      <c r="CO1105" s="5"/>
      <c r="CP1105" s="5"/>
      <c r="CQ1105" s="5"/>
      <c r="CR1105" s="5"/>
      <c r="CS1105" s="5"/>
      <c r="CT1105" s="5"/>
      <c r="CU1105" s="5"/>
      <c r="CV1105" s="5"/>
      <c r="CW1105" s="5"/>
      <c r="CX1105" s="5"/>
      <c r="CY1105" s="5"/>
      <c r="CZ1105" s="5"/>
      <c r="DA1105" s="5"/>
      <c r="DB1105" s="5"/>
      <c r="DC1105" s="5"/>
      <c r="DD1105" s="5"/>
      <c r="DE1105" s="5"/>
      <c r="DF1105" s="5"/>
      <c r="DG1105" s="5"/>
      <c r="DH1105" s="5"/>
      <c r="DI1105" s="5"/>
      <c r="DJ1105" s="5"/>
      <c r="DK1105" s="5"/>
      <c r="DL1105" s="5"/>
      <c r="DM1105" s="5"/>
      <c r="DN1105" s="5"/>
      <c r="DO1105" s="5"/>
      <c r="DP1105" s="5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  <c r="FM1105" s="1"/>
      <c r="FN1105" s="1"/>
      <c r="FO1105" s="1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  <c r="HA1105" s="1"/>
      <c r="HB1105" s="1"/>
      <c r="HC1105" s="1"/>
      <c r="HD1105" s="1"/>
      <c r="HE1105" s="1"/>
      <c r="HF1105" s="1"/>
      <c r="HG1105" s="1"/>
      <c r="HH1105" s="1"/>
      <c r="HI1105" s="1"/>
      <c r="HJ1105" s="1"/>
      <c r="HK1105" s="1"/>
      <c r="HL1105" s="1"/>
      <c r="HM1105" s="1"/>
      <c r="HN1105" s="1"/>
      <c r="HO1105" s="1"/>
      <c r="HP1105" s="1"/>
      <c r="HQ1105" s="1"/>
      <c r="HR1105" s="1"/>
      <c r="HS1105" s="1"/>
      <c r="HT1105" s="1"/>
      <c r="HU1105" s="1"/>
      <c r="HV1105" s="1"/>
      <c r="HW1105" s="1"/>
      <c r="HX1105" s="1"/>
      <c r="HY1105" s="1"/>
      <c r="HZ1105" s="1"/>
      <c r="IA1105" s="1"/>
      <c r="IB1105" s="1"/>
      <c r="IC1105" s="1"/>
      <c r="ID1105" s="1"/>
      <c r="IE1105" s="1"/>
      <c r="IF1105" s="1"/>
      <c r="IG1105" s="1"/>
      <c r="IH1105" s="1"/>
      <c r="II1105" s="1"/>
      <c r="IJ1105" s="1"/>
      <c r="IK1105" s="1"/>
      <c r="IL1105" s="1"/>
      <c r="IM1105" s="1"/>
      <c r="IN1105" s="1"/>
      <c r="IO1105" s="1"/>
      <c r="IP1105" s="1"/>
      <c r="IQ1105" s="1"/>
      <c r="IR1105" s="1"/>
      <c r="IS1105" s="1"/>
      <c r="IT1105" s="1"/>
      <c r="IU1105" s="1"/>
      <c r="IV1105" s="1"/>
      <c r="IW1105" s="1"/>
      <c r="IX1105" s="1"/>
      <c r="IY1105" s="1"/>
      <c r="IZ1105" s="1"/>
      <c r="JA1105" s="1"/>
      <c r="JB1105" s="1"/>
      <c r="JC1105" s="1"/>
      <c r="JD1105" s="1"/>
    </row>
    <row r="1106" s="504" customFormat="true" ht="12.75" hidden="true" customHeight="true" outlineLevel="0" collapsed="false">
      <c r="A1106" s="5"/>
      <c r="B1106" s="813" t="n">
        <f aca="false">B1105+1</f>
        <v>891</v>
      </c>
      <c r="C1106" s="814" t="n">
        <f aca="false">C1105+D1106</f>
        <v>132890.356949346</v>
      </c>
      <c r="D1106" s="815" t="n">
        <f aca="false">E1106*$E$205*M1106</f>
        <v>219.797540910888</v>
      </c>
      <c r="E1106" s="601" t="n">
        <f aca="false">E1105+$C$204</f>
        <v>13.9394686016545</v>
      </c>
      <c r="F1106" s="816" t="n">
        <f aca="false">F1105+1</f>
        <v>891</v>
      </c>
      <c r="G1106" s="775" t="n">
        <f aca="false">C1106</f>
        <v>132890.356949346</v>
      </c>
      <c r="H1106" s="817" t="n">
        <f aca="false">1000*(E1106-E1105)</f>
        <v>9.99999999999979</v>
      </c>
      <c r="I1106" s="5"/>
      <c r="J1106" s="818" t="n">
        <f aca="false">1000*(E1106-$E$215)/(B1106-$B$215)</f>
        <v>11.7664083373419</v>
      </c>
      <c r="K1106" s="732" t="n">
        <f aca="false">AVERAGE($E$216:E1106)</f>
        <v>9.48093885979152</v>
      </c>
      <c r="L1106" s="819" t="n">
        <f aca="false">L1105+1</f>
        <v>891</v>
      </c>
      <c r="M1106" s="820" t="n">
        <f aca="false">IF(B1106&lt;$E$104,$E$105,$E$106)</f>
        <v>3</v>
      </c>
      <c r="N1106" s="821" t="n">
        <f aca="false">IF(B1106&lt;$E$104,$E$105,$E$111)</f>
        <v>2.5</v>
      </c>
      <c r="O1106" s="822" t="n">
        <f aca="false">E1106*$E$205*N1106</f>
        <v>183.16461742574</v>
      </c>
      <c r="P1106" s="823" t="n">
        <f aca="false">P1105+O1106</f>
        <v>110793.644724831</v>
      </c>
      <c r="Q1106" s="606" t="n">
        <f aca="false">Q1105+1</f>
        <v>891</v>
      </c>
      <c r="R1106" s="824" t="n">
        <f aca="false">R1105-1</f>
        <v>-891</v>
      </c>
      <c r="S1106" s="5"/>
      <c r="T1106" s="5"/>
      <c r="U1106" s="5"/>
      <c r="V1106" s="10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02"/>
      <c r="AU1106" s="502"/>
      <c r="AV1106" s="606"/>
      <c r="AW1106" s="502"/>
      <c r="AX1106" s="502"/>
      <c r="AY1106" s="502"/>
      <c r="AZ1106" s="502"/>
      <c r="BA1106" s="502"/>
      <c r="BB1106" s="502"/>
      <c r="BC1106" s="502"/>
      <c r="BD1106" s="502"/>
      <c r="BE1106" s="502"/>
      <c r="BF1106" s="502"/>
      <c r="BG1106" s="502"/>
      <c r="BH1106" s="502"/>
      <c r="BI1106" s="502"/>
      <c r="BJ1106" s="502"/>
      <c r="BK1106" s="502"/>
      <c r="BL1106" s="502"/>
      <c r="BM1106" s="502"/>
      <c r="BN1106" s="502"/>
      <c r="BO1106" s="502"/>
      <c r="BP1106" s="5"/>
      <c r="BQ1106" s="5"/>
      <c r="BR1106" s="5"/>
      <c r="BS1106" s="5"/>
      <c r="BT1106" s="5"/>
      <c r="BU1106" s="5"/>
      <c r="BV1106" s="5"/>
      <c r="BW1106" s="5"/>
      <c r="BX1106" s="5"/>
      <c r="BY1106" s="5"/>
      <c r="BZ1106" s="5"/>
      <c r="CA1106" s="5"/>
      <c r="CB1106" s="5"/>
      <c r="CC1106" s="5"/>
      <c r="CD1106" s="5"/>
      <c r="CE1106" s="5"/>
      <c r="CF1106" s="5"/>
      <c r="CG1106" s="5"/>
      <c r="CH1106" s="5"/>
      <c r="CI1106" s="5"/>
      <c r="CJ1106" s="5"/>
      <c r="CK1106" s="5"/>
      <c r="CL1106" s="5"/>
      <c r="CM1106" s="5"/>
      <c r="CN1106" s="5"/>
      <c r="CO1106" s="5"/>
      <c r="CP1106" s="5"/>
      <c r="CQ1106" s="5"/>
      <c r="CR1106" s="5"/>
      <c r="CS1106" s="5"/>
      <c r="CT1106" s="5"/>
      <c r="CU1106" s="5"/>
      <c r="CV1106" s="5"/>
      <c r="CW1106" s="5"/>
      <c r="CX1106" s="5"/>
      <c r="CY1106" s="5"/>
      <c r="CZ1106" s="5"/>
      <c r="DA1106" s="5"/>
      <c r="DB1106" s="5"/>
      <c r="DC1106" s="5"/>
      <c r="DD1106" s="5"/>
      <c r="DE1106" s="5"/>
      <c r="DF1106" s="5"/>
      <c r="DG1106" s="5"/>
      <c r="DH1106" s="5"/>
      <c r="DI1106" s="5"/>
      <c r="DJ1106" s="5"/>
      <c r="DK1106" s="5"/>
      <c r="DL1106" s="5"/>
      <c r="DM1106" s="5"/>
      <c r="DN1106" s="5"/>
      <c r="DO1106" s="5"/>
      <c r="DP1106" s="5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  <c r="FM1106" s="1"/>
      <c r="FN1106" s="1"/>
      <c r="FO1106" s="1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  <c r="HA1106" s="1"/>
      <c r="HB1106" s="1"/>
      <c r="HC1106" s="1"/>
      <c r="HD1106" s="1"/>
      <c r="HE1106" s="1"/>
      <c r="HF1106" s="1"/>
      <c r="HG1106" s="1"/>
      <c r="HH1106" s="1"/>
      <c r="HI1106" s="1"/>
      <c r="HJ1106" s="1"/>
      <c r="HK1106" s="1"/>
      <c r="HL1106" s="1"/>
      <c r="HM1106" s="1"/>
      <c r="HN1106" s="1"/>
      <c r="HO1106" s="1"/>
      <c r="HP1106" s="1"/>
      <c r="HQ1106" s="1"/>
      <c r="HR1106" s="1"/>
      <c r="HS1106" s="1"/>
      <c r="HT1106" s="1"/>
      <c r="HU1106" s="1"/>
      <c r="HV1106" s="1"/>
      <c r="HW1106" s="1"/>
      <c r="HX1106" s="1"/>
      <c r="HY1106" s="1"/>
      <c r="HZ1106" s="1"/>
      <c r="IA1106" s="1"/>
      <c r="IB1106" s="1"/>
      <c r="IC1106" s="1"/>
      <c r="ID1106" s="1"/>
      <c r="IE1106" s="1"/>
      <c r="IF1106" s="1"/>
      <c r="IG1106" s="1"/>
      <c r="IH1106" s="1"/>
      <c r="II1106" s="1"/>
      <c r="IJ1106" s="1"/>
      <c r="IK1106" s="1"/>
      <c r="IL1106" s="1"/>
      <c r="IM1106" s="1"/>
      <c r="IN1106" s="1"/>
      <c r="IO1106" s="1"/>
      <c r="IP1106" s="1"/>
      <c r="IQ1106" s="1"/>
      <c r="IR1106" s="1"/>
      <c r="IS1106" s="1"/>
      <c r="IT1106" s="1"/>
      <c r="IU1106" s="1"/>
      <c r="IV1106" s="1"/>
      <c r="IW1106" s="1"/>
      <c r="IX1106" s="1"/>
      <c r="IY1106" s="1"/>
      <c r="IZ1106" s="1"/>
      <c r="JA1106" s="1"/>
      <c r="JB1106" s="1"/>
      <c r="JC1106" s="1"/>
      <c r="JD1106" s="1"/>
    </row>
    <row r="1107" s="504" customFormat="true" ht="12.75" hidden="true" customHeight="true" outlineLevel="0" collapsed="false">
      <c r="A1107" s="5"/>
      <c r="B1107" s="813" t="n">
        <f aca="false">B1106+1</f>
        <v>892</v>
      </c>
      <c r="C1107" s="814" t="n">
        <f aca="false">C1106+D1107</f>
        <v>133110.312170256</v>
      </c>
      <c r="D1107" s="815" t="n">
        <f aca="false">E1107*$E$205*M1107</f>
        <v>219.955220910888</v>
      </c>
      <c r="E1107" s="601" t="n">
        <f aca="false">E1106+$C$204</f>
        <v>13.9494686016545</v>
      </c>
      <c r="F1107" s="816" t="n">
        <f aca="false">F1106+1</f>
        <v>892</v>
      </c>
      <c r="G1107" s="775" t="n">
        <f aca="false">C1107</f>
        <v>133110.312170256</v>
      </c>
      <c r="H1107" s="817" t="n">
        <f aca="false">1000*(E1107-E1106)</f>
        <v>9.99999999999979</v>
      </c>
      <c r="I1107" s="5"/>
      <c r="J1107" s="818" t="n">
        <f aca="false">1000*(E1107-$E$215)/(B1107-$B$215)</f>
        <v>11.7644280589368</v>
      </c>
      <c r="K1107" s="732" t="n">
        <f aca="false">AVERAGE($E$216:E1107)</f>
        <v>9.4859484222824</v>
      </c>
      <c r="L1107" s="819" t="n">
        <f aca="false">L1106+1</f>
        <v>892</v>
      </c>
      <c r="M1107" s="820" t="n">
        <f aca="false">IF(B1107&lt;$E$104,$E$105,$E$106)</f>
        <v>3</v>
      </c>
      <c r="N1107" s="821" t="n">
        <f aca="false">IF(B1107&lt;$E$104,$E$105,$E$111)</f>
        <v>2.5</v>
      </c>
      <c r="O1107" s="822" t="n">
        <f aca="false">E1107*$E$205*N1107</f>
        <v>183.29601742574</v>
      </c>
      <c r="P1107" s="823" t="n">
        <f aca="false">P1106+O1107</f>
        <v>110976.940742257</v>
      </c>
      <c r="Q1107" s="606" t="n">
        <f aca="false">Q1106+1</f>
        <v>892</v>
      </c>
      <c r="R1107" s="824" t="n">
        <f aca="false">R1106-1</f>
        <v>-892</v>
      </c>
      <c r="S1107" s="5"/>
      <c r="T1107" s="5"/>
      <c r="U1107" s="5"/>
      <c r="V1107" s="10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02"/>
      <c r="AU1107" s="502"/>
      <c r="AV1107" s="606"/>
      <c r="AW1107" s="502"/>
      <c r="AX1107" s="502"/>
      <c r="AY1107" s="502"/>
      <c r="AZ1107" s="502"/>
      <c r="BA1107" s="502"/>
      <c r="BB1107" s="502"/>
      <c r="BC1107" s="502"/>
      <c r="BD1107" s="502"/>
      <c r="BE1107" s="502"/>
      <c r="BF1107" s="502"/>
      <c r="BG1107" s="502"/>
      <c r="BH1107" s="502"/>
      <c r="BI1107" s="502"/>
      <c r="BJ1107" s="502"/>
      <c r="BK1107" s="502"/>
      <c r="BL1107" s="502"/>
      <c r="BM1107" s="502"/>
      <c r="BN1107" s="502"/>
      <c r="BO1107" s="502"/>
      <c r="BP1107" s="5"/>
      <c r="BQ1107" s="5"/>
      <c r="BR1107" s="5"/>
      <c r="BS1107" s="5"/>
      <c r="BT1107" s="5"/>
      <c r="BU1107" s="5"/>
      <c r="BV1107" s="5"/>
      <c r="BW1107" s="5"/>
      <c r="BX1107" s="5"/>
      <c r="BY1107" s="5"/>
      <c r="BZ1107" s="5"/>
      <c r="CA1107" s="5"/>
      <c r="CB1107" s="5"/>
      <c r="CC1107" s="5"/>
      <c r="CD1107" s="5"/>
      <c r="CE1107" s="5"/>
      <c r="CF1107" s="5"/>
      <c r="CG1107" s="5"/>
      <c r="CH1107" s="5"/>
      <c r="CI1107" s="5"/>
      <c r="CJ1107" s="5"/>
      <c r="CK1107" s="5"/>
      <c r="CL1107" s="5"/>
      <c r="CM1107" s="5"/>
      <c r="CN1107" s="5"/>
      <c r="CO1107" s="5"/>
      <c r="CP1107" s="5"/>
      <c r="CQ1107" s="5"/>
      <c r="CR1107" s="5"/>
      <c r="CS1107" s="5"/>
      <c r="CT1107" s="5"/>
      <c r="CU1107" s="5"/>
      <c r="CV1107" s="5"/>
      <c r="CW1107" s="5"/>
      <c r="CX1107" s="5"/>
      <c r="CY1107" s="5"/>
      <c r="CZ1107" s="5"/>
      <c r="DA1107" s="5"/>
      <c r="DB1107" s="5"/>
      <c r="DC1107" s="5"/>
      <c r="DD1107" s="5"/>
      <c r="DE1107" s="5"/>
      <c r="DF1107" s="5"/>
      <c r="DG1107" s="5"/>
      <c r="DH1107" s="5"/>
      <c r="DI1107" s="5"/>
      <c r="DJ1107" s="5"/>
      <c r="DK1107" s="5"/>
      <c r="DL1107" s="5"/>
      <c r="DM1107" s="5"/>
      <c r="DN1107" s="5"/>
      <c r="DO1107" s="5"/>
      <c r="DP1107" s="5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  <c r="EU1107" s="1"/>
      <c r="EV1107" s="1"/>
      <c r="EW1107" s="1"/>
      <c r="EX1107" s="1"/>
      <c r="EY1107" s="1"/>
      <c r="EZ1107" s="1"/>
      <c r="FA1107" s="1"/>
      <c r="FB1107" s="1"/>
      <c r="FC1107" s="1"/>
      <c r="FD1107" s="1"/>
      <c r="FE1107" s="1"/>
      <c r="FF1107" s="1"/>
      <c r="FG1107" s="1"/>
      <c r="FH1107" s="1"/>
      <c r="FI1107" s="1"/>
      <c r="FJ1107" s="1"/>
      <c r="FK1107" s="1"/>
      <c r="FL1107" s="1"/>
      <c r="FM1107" s="1"/>
      <c r="FN1107" s="1"/>
      <c r="FO1107" s="1"/>
      <c r="FP1107" s="1"/>
      <c r="FQ1107" s="1"/>
      <c r="FR1107" s="1"/>
      <c r="FS1107" s="1"/>
      <c r="FT1107" s="1"/>
      <c r="FU1107" s="1"/>
      <c r="FV1107" s="1"/>
      <c r="FW1107" s="1"/>
      <c r="FX1107" s="1"/>
      <c r="FY1107" s="1"/>
      <c r="FZ1107" s="1"/>
      <c r="GA1107" s="1"/>
      <c r="GB1107" s="1"/>
      <c r="GC1107" s="1"/>
      <c r="GD1107" s="1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  <c r="GT1107" s="1"/>
      <c r="GU1107" s="1"/>
      <c r="GV1107" s="1"/>
      <c r="GW1107" s="1"/>
      <c r="GX1107" s="1"/>
      <c r="GY1107" s="1"/>
      <c r="GZ1107" s="1"/>
      <c r="HA1107" s="1"/>
      <c r="HB1107" s="1"/>
      <c r="HC1107" s="1"/>
      <c r="HD1107" s="1"/>
      <c r="HE1107" s="1"/>
      <c r="HF1107" s="1"/>
      <c r="HG1107" s="1"/>
      <c r="HH1107" s="1"/>
      <c r="HI1107" s="1"/>
      <c r="HJ1107" s="1"/>
      <c r="HK1107" s="1"/>
      <c r="HL1107" s="1"/>
      <c r="HM1107" s="1"/>
      <c r="HN1107" s="1"/>
      <c r="HO1107" s="1"/>
      <c r="HP1107" s="1"/>
      <c r="HQ1107" s="1"/>
      <c r="HR1107" s="1"/>
      <c r="HS1107" s="1"/>
      <c r="HT1107" s="1"/>
      <c r="HU1107" s="1"/>
      <c r="HV1107" s="1"/>
      <c r="HW1107" s="1"/>
      <c r="HX1107" s="1"/>
      <c r="HY1107" s="1"/>
      <c r="HZ1107" s="1"/>
      <c r="IA1107" s="1"/>
      <c r="IB1107" s="1"/>
      <c r="IC1107" s="1"/>
      <c r="ID1107" s="1"/>
      <c r="IE1107" s="1"/>
      <c r="IF1107" s="1"/>
      <c r="IG1107" s="1"/>
      <c r="IH1107" s="1"/>
      <c r="II1107" s="1"/>
      <c r="IJ1107" s="1"/>
      <c r="IK1107" s="1"/>
      <c r="IL1107" s="1"/>
      <c r="IM1107" s="1"/>
      <c r="IN1107" s="1"/>
      <c r="IO1107" s="1"/>
      <c r="IP1107" s="1"/>
      <c r="IQ1107" s="1"/>
      <c r="IR1107" s="1"/>
      <c r="IS1107" s="1"/>
      <c r="IT1107" s="1"/>
      <c r="IU1107" s="1"/>
      <c r="IV1107" s="1"/>
      <c r="IW1107" s="1"/>
      <c r="IX1107" s="1"/>
      <c r="IY1107" s="1"/>
      <c r="IZ1107" s="1"/>
      <c r="JA1107" s="1"/>
      <c r="JB1107" s="1"/>
      <c r="JC1107" s="1"/>
      <c r="JD1107" s="1"/>
    </row>
    <row r="1108" s="504" customFormat="true" ht="12.75" hidden="true" customHeight="true" outlineLevel="0" collapsed="false">
      <c r="A1108" s="5"/>
      <c r="B1108" s="813" t="n">
        <f aca="false">B1107+1</f>
        <v>893</v>
      </c>
      <c r="C1108" s="814" t="n">
        <f aca="false">C1107+D1108</f>
        <v>133330.425071167</v>
      </c>
      <c r="D1108" s="815" t="n">
        <f aca="false">E1108*$E$205*M1108</f>
        <v>220.112900910888</v>
      </c>
      <c r="E1108" s="601" t="n">
        <f aca="false">E1107+$C$204</f>
        <v>13.9594686016545</v>
      </c>
      <c r="F1108" s="816" t="n">
        <f aca="false">F1107+1</f>
        <v>893</v>
      </c>
      <c r="G1108" s="775" t="n">
        <f aca="false">C1108</f>
        <v>133330.425071167</v>
      </c>
      <c r="H1108" s="817" t="n">
        <f aca="false">1000*(E1108-E1107)</f>
        <v>9.99999999999979</v>
      </c>
      <c r="I1108" s="5"/>
      <c r="J1108" s="818" t="n">
        <f aca="false">1000*(E1108-$E$215)/(B1108-$B$215)</f>
        <v>11.7624522156458</v>
      </c>
      <c r="K1108" s="732" t="n">
        <f aca="false">AVERAGE($E$216:E1108)</f>
        <v>9.49095796335673</v>
      </c>
      <c r="L1108" s="819" t="n">
        <f aca="false">L1107+1</f>
        <v>893</v>
      </c>
      <c r="M1108" s="820" t="n">
        <f aca="false">IF(B1108&lt;$E$104,$E$105,$E$106)</f>
        <v>3</v>
      </c>
      <c r="N1108" s="821" t="n">
        <f aca="false">IF(B1108&lt;$E$104,$E$105,$E$111)</f>
        <v>2.5</v>
      </c>
      <c r="O1108" s="822" t="n">
        <f aca="false">E1108*$E$205*N1108</f>
        <v>183.42741742574</v>
      </c>
      <c r="P1108" s="823" t="n">
        <f aca="false">P1107+O1108</f>
        <v>111160.368159682</v>
      </c>
      <c r="Q1108" s="606" t="n">
        <f aca="false">Q1107+1</f>
        <v>893</v>
      </c>
      <c r="R1108" s="824" t="n">
        <f aca="false">R1107-1</f>
        <v>-893</v>
      </c>
      <c r="S1108" s="5"/>
      <c r="T1108" s="5"/>
      <c r="U1108" s="5"/>
      <c r="V1108" s="10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02"/>
      <c r="AU1108" s="502"/>
      <c r="AV1108" s="606"/>
      <c r="AW1108" s="502"/>
      <c r="AX1108" s="502"/>
      <c r="AY1108" s="502"/>
      <c r="AZ1108" s="502"/>
      <c r="BA1108" s="502"/>
      <c r="BB1108" s="502"/>
      <c r="BC1108" s="502"/>
      <c r="BD1108" s="502"/>
      <c r="BE1108" s="502"/>
      <c r="BF1108" s="502"/>
      <c r="BG1108" s="502"/>
      <c r="BH1108" s="502"/>
      <c r="BI1108" s="502"/>
      <c r="BJ1108" s="502"/>
      <c r="BK1108" s="502"/>
      <c r="BL1108" s="502"/>
      <c r="BM1108" s="502"/>
      <c r="BN1108" s="502"/>
      <c r="BO1108" s="502"/>
      <c r="BP1108" s="5"/>
      <c r="BQ1108" s="5"/>
      <c r="BR1108" s="5"/>
      <c r="BS1108" s="5"/>
      <c r="BT1108" s="5"/>
      <c r="BU1108" s="5"/>
      <c r="BV1108" s="5"/>
      <c r="BW1108" s="5"/>
      <c r="BX1108" s="5"/>
      <c r="BY1108" s="5"/>
      <c r="BZ1108" s="5"/>
      <c r="CA1108" s="5"/>
      <c r="CB1108" s="5"/>
      <c r="CC1108" s="5"/>
      <c r="CD1108" s="5"/>
      <c r="CE1108" s="5"/>
      <c r="CF1108" s="5"/>
      <c r="CG1108" s="5"/>
      <c r="CH1108" s="5"/>
      <c r="CI1108" s="5"/>
      <c r="CJ1108" s="5"/>
      <c r="CK1108" s="5"/>
      <c r="CL1108" s="5"/>
      <c r="CM1108" s="5"/>
      <c r="CN1108" s="5"/>
      <c r="CO1108" s="5"/>
      <c r="CP1108" s="5"/>
      <c r="CQ1108" s="5"/>
      <c r="CR1108" s="5"/>
      <c r="CS1108" s="5"/>
      <c r="CT1108" s="5"/>
      <c r="CU1108" s="5"/>
      <c r="CV1108" s="5"/>
      <c r="CW1108" s="5"/>
      <c r="CX1108" s="5"/>
      <c r="CY1108" s="5"/>
      <c r="CZ1108" s="5"/>
      <c r="DA1108" s="5"/>
      <c r="DB1108" s="5"/>
      <c r="DC1108" s="5"/>
      <c r="DD1108" s="5"/>
      <c r="DE1108" s="5"/>
      <c r="DF1108" s="5"/>
      <c r="DG1108" s="5"/>
      <c r="DH1108" s="5"/>
      <c r="DI1108" s="5"/>
      <c r="DJ1108" s="5"/>
      <c r="DK1108" s="5"/>
      <c r="DL1108" s="5"/>
      <c r="DM1108" s="5"/>
      <c r="DN1108" s="5"/>
      <c r="DO1108" s="5"/>
      <c r="DP1108" s="5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  <c r="GY1108" s="1"/>
      <c r="GZ1108" s="1"/>
      <c r="HA1108" s="1"/>
      <c r="HB1108" s="1"/>
      <c r="HC1108" s="1"/>
      <c r="HD1108" s="1"/>
      <c r="HE1108" s="1"/>
      <c r="HF1108" s="1"/>
      <c r="HG1108" s="1"/>
      <c r="HH1108" s="1"/>
      <c r="HI1108" s="1"/>
      <c r="HJ1108" s="1"/>
      <c r="HK1108" s="1"/>
      <c r="HL1108" s="1"/>
      <c r="HM1108" s="1"/>
      <c r="HN1108" s="1"/>
      <c r="HO1108" s="1"/>
      <c r="HP1108" s="1"/>
      <c r="HQ1108" s="1"/>
      <c r="HR1108" s="1"/>
      <c r="HS1108" s="1"/>
      <c r="HT1108" s="1"/>
      <c r="HU1108" s="1"/>
      <c r="HV1108" s="1"/>
      <c r="HW1108" s="1"/>
      <c r="HX1108" s="1"/>
      <c r="HY1108" s="1"/>
      <c r="HZ1108" s="1"/>
      <c r="IA1108" s="1"/>
      <c r="IB1108" s="1"/>
      <c r="IC1108" s="1"/>
      <c r="ID1108" s="1"/>
      <c r="IE1108" s="1"/>
      <c r="IF1108" s="1"/>
      <c r="IG1108" s="1"/>
      <c r="IH1108" s="1"/>
      <c r="II1108" s="1"/>
      <c r="IJ1108" s="1"/>
      <c r="IK1108" s="1"/>
      <c r="IL1108" s="1"/>
      <c r="IM1108" s="1"/>
      <c r="IN1108" s="1"/>
      <c r="IO1108" s="1"/>
      <c r="IP1108" s="1"/>
      <c r="IQ1108" s="1"/>
      <c r="IR1108" s="1"/>
      <c r="IS1108" s="1"/>
      <c r="IT1108" s="1"/>
      <c r="IU1108" s="1"/>
      <c r="IV1108" s="1"/>
      <c r="IW1108" s="1"/>
      <c r="IX1108" s="1"/>
      <c r="IY1108" s="1"/>
      <c r="IZ1108" s="1"/>
      <c r="JA1108" s="1"/>
      <c r="JB1108" s="1"/>
      <c r="JC1108" s="1"/>
      <c r="JD1108" s="1"/>
    </row>
    <row r="1109" s="504" customFormat="true" ht="12.75" hidden="true" customHeight="true" outlineLevel="0" collapsed="false">
      <c r="A1109" s="5"/>
      <c r="B1109" s="813" t="n">
        <f aca="false">B1108+1</f>
        <v>894</v>
      </c>
      <c r="C1109" s="814" t="n">
        <f aca="false">C1108+D1109</f>
        <v>133550.695652078</v>
      </c>
      <c r="D1109" s="815" t="n">
        <f aca="false">E1109*$E$205*M1109</f>
        <v>220.270580910888</v>
      </c>
      <c r="E1109" s="601" t="n">
        <f aca="false">E1108+$C$204</f>
        <v>13.9694686016545</v>
      </c>
      <c r="F1109" s="816" t="n">
        <f aca="false">F1108+1</f>
        <v>894</v>
      </c>
      <c r="G1109" s="775" t="n">
        <f aca="false">C1109</f>
        <v>133550.695652078</v>
      </c>
      <c r="H1109" s="817" t="n">
        <f aca="false">1000*(E1109-E1108)</f>
        <v>9.99999999999979</v>
      </c>
      <c r="I1109" s="5"/>
      <c r="J1109" s="818" t="n">
        <f aca="false">1000*(E1109-$E$215)/(B1109-$B$215)</f>
        <v>11.7604807925857</v>
      </c>
      <c r="K1109" s="732" t="n">
        <f aca="false">AVERAGE($E$216:E1109)</f>
        <v>9.49596748308637</v>
      </c>
      <c r="L1109" s="819" t="n">
        <f aca="false">L1108+1</f>
        <v>894</v>
      </c>
      <c r="M1109" s="820" t="n">
        <f aca="false">IF(B1109&lt;$E$104,$E$105,$E$106)</f>
        <v>3</v>
      </c>
      <c r="N1109" s="821" t="n">
        <f aca="false">IF(B1109&lt;$E$104,$E$105,$E$111)</f>
        <v>2.5</v>
      </c>
      <c r="O1109" s="822" t="n">
        <f aca="false">E1109*$E$205*N1109</f>
        <v>183.55881742574</v>
      </c>
      <c r="P1109" s="823" t="n">
        <f aca="false">P1108+O1109</f>
        <v>111343.926977108</v>
      </c>
      <c r="Q1109" s="606" t="n">
        <f aca="false">Q1108+1</f>
        <v>894</v>
      </c>
      <c r="R1109" s="824" t="n">
        <f aca="false">R1108-1</f>
        <v>-894</v>
      </c>
      <c r="S1109" s="5"/>
      <c r="T1109" s="5"/>
      <c r="U1109" s="5"/>
      <c r="V1109" s="10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02"/>
      <c r="AU1109" s="502"/>
      <c r="AV1109" s="606"/>
      <c r="AW1109" s="502"/>
      <c r="AX1109" s="502"/>
      <c r="AY1109" s="502"/>
      <c r="AZ1109" s="502"/>
      <c r="BA1109" s="502"/>
      <c r="BB1109" s="502"/>
      <c r="BC1109" s="502"/>
      <c r="BD1109" s="502"/>
      <c r="BE1109" s="502"/>
      <c r="BF1109" s="502"/>
      <c r="BG1109" s="502"/>
      <c r="BH1109" s="502"/>
      <c r="BI1109" s="502"/>
      <c r="BJ1109" s="502"/>
      <c r="BK1109" s="502"/>
      <c r="BL1109" s="502"/>
      <c r="BM1109" s="502"/>
      <c r="BN1109" s="502"/>
      <c r="BO1109" s="502"/>
      <c r="BP1109" s="5"/>
      <c r="BQ1109" s="5"/>
      <c r="BR1109" s="5"/>
      <c r="BS1109" s="5"/>
      <c r="BT1109" s="5"/>
      <c r="BU1109" s="5"/>
      <c r="BV1109" s="5"/>
      <c r="BW1109" s="5"/>
      <c r="BX1109" s="5"/>
      <c r="BY1109" s="5"/>
      <c r="BZ1109" s="5"/>
      <c r="CA1109" s="5"/>
      <c r="CB1109" s="5"/>
      <c r="CC1109" s="5"/>
      <c r="CD1109" s="5"/>
      <c r="CE1109" s="5"/>
      <c r="CF1109" s="5"/>
      <c r="CG1109" s="5"/>
      <c r="CH1109" s="5"/>
      <c r="CI1109" s="5"/>
      <c r="CJ1109" s="5"/>
      <c r="CK1109" s="5"/>
      <c r="CL1109" s="5"/>
      <c r="CM1109" s="5"/>
      <c r="CN1109" s="5"/>
      <c r="CO1109" s="5"/>
      <c r="CP1109" s="5"/>
      <c r="CQ1109" s="5"/>
      <c r="CR1109" s="5"/>
      <c r="CS1109" s="5"/>
      <c r="CT1109" s="5"/>
      <c r="CU1109" s="5"/>
      <c r="CV1109" s="5"/>
      <c r="CW1109" s="5"/>
      <c r="CX1109" s="5"/>
      <c r="CY1109" s="5"/>
      <c r="CZ1109" s="5"/>
      <c r="DA1109" s="5"/>
      <c r="DB1109" s="5"/>
      <c r="DC1109" s="5"/>
      <c r="DD1109" s="5"/>
      <c r="DE1109" s="5"/>
      <c r="DF1109" s="5"/>
      <c r="DG1109" s="5"/>
      <c r="DH1109" s="5"/>
      <c r="DI1109" s="5"/>
      <c r="DJ1109" s="5"/>
      <c r="DK1109" s="5"/>
      <c r="DL1109" s="5"/>
      <c r="DM1109" s="5"/>
      <c r="DN1109" s="5"/>
      <c r="DO1109" s="5"/>
      <c r="DP1109" s="5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  <c r="GY1109" s="1"/>
      <c r="GZ1109" s="1"/>
      <c r="HA1109" s="1"/>
      <c r="HB1109" s="1"/>
      <c r="HC1109" s="1"/>
      <c r="HD1109" s="1"/>
      <c r="HE1109" s="1"/>
      <c r="HF1109" s="1"/>
      <c r="HG1109" s="1"/>
      <c r="HH1109" s="1"/>
      <c r="HI1109" s="1"/>
      <c r="HJ1109" s="1"/>
      <c r="HK1109" s="1"/>
      <c r="HL1109" s="1"/>
      <c r="HM1109" s="1"/>
      <c r="HN1109" s="1"/>
      <c r="HO1109" s="1"/>
      <c r="HP1109" s="1"/>
      <c r="HQ1109" s="1"/>
      <c r="HR1109" s="1"/>
      <c r="HS1109" s="1"/>
      <c r="HT1109" s="1"/>
      <c r="HU1109" s="1"/>
      <c r="HV1109" s="1"/>
      <c r="HW1109" s="1"/>
      <c r="HX1109" s="1"/>
      <c r="HY1109" s="1"/>
      <c r="HZ1109" s="1"/>
      <c r="IA1109" s="1"/>
      <c r="IB1109" s="1"/>
      <c r="IC1109" s="1"/>
      <c r="ID1109" s="1"/>
      <c r="IE1109" s="1"/>
      <c r="IF1109" s="1"/>
      <c r="IG1109" s="1"/>
      <c r="IH1109" s="1"/>
      <c r="II1109" s="1"/>
      <c r="IJ1109" s="1"/>
      <c r="IK1109" s="1"/>
      <c r="IL1109" s="1"/>
      <c r="IM1109" s="1"/>
      <c r="IN1109" s="1"/>
      <c r="IO1109" s="1"/>
      <c r="IP1109" s="1"/>
      <c r="IQ1109" s="1"/>
      <c r="IR1109" s="1"/>
      <c r="IS1109" s="1"/>
      <c r="IT1109" s="1"/>
      <c r="IU1109" s="1"/>
      <c r="IV1109" s="1"/>
      <c r="IW1109" s="1"/>
      <c r="IX1109" s="1"/>
      <c r="IY1109" s="1"/>
      <c r="IZ1109" s="1"/>
      <c r="JA1109" s="1"/>
      <c r="JB1109" s="1"/>
      <c r="JC1109" s="1"/>
      <c r="JD1109" s="1"/>
    </row>
    <row r="1110" s="504" customFormat="true" ht="12.75" hidden="true" customHeight="true" outlineLevel="0" collapsed="false">
      <c r="A1110" s="5"/>
      <c r="B1110" s="813" t="n">
        <f aca="false">B1109+1</f>
        <v>895</v>
      </c>
      <c r="C1110" s="814" t="n">
        <f aca="false">C1109+D1110</f>
        <v>133771.123912989</v>
      </c>
      <c r="D1110" s="815" t="n">
        <f aca="false">E1110*$E$205*M1110</f>
        <v>220.428260910888</v>
      </c>
      <c r="E1110" s="601" t="n">
        <f aca="false">E1109+$C$204</f>
        <v>13.9794686016545</v>
      </c>
      <c r="F1110" s="816" t="n">
        <f aca="false">F1109+1</f>
        <v>895</v>
      </c>
      <c r="G1110" s="775" t="n">
        <f aca="false">C1110</f>
        <v>133771.123912989</v>
      </c>
      <c r="H1110" s="817" t="n">
        <f aca="false">1000*(E1110-E1109)</f>
        <v>9.99999999999979</v>
      </c>
      <c r="I1110" s="5"/>
      <c r="J1110" s="818" t="n">
        <f aca="false">1000*(E1110-$E$215)/(B1110-$B$215)</f>
        <v>11.7585137749404</v>
      </c>
      <c r="K1110" s="732" t="n">
        <f aca="false">AVERAGE($E$216:E1110)</f>
        <v>9.50097698154286</v>
      </c>
      <c r="L1110" s="819" t="n">
        <f aca="false">L1109+1</f>
        <v>895</v>
      </c>
      <c r="M1110" s="820" t="n">
        <f aca="false">IF(B1110&lt;$E$104,$E$105,$E$106)</f>
        <v>3</v>
      </c>
      <c r="N1110" s="821" t="n">
        <f aca="false">IF(B1110&lt;$E$104,$E$105,$E$111)</f>
        <v>2.5</v>
      </c>
      <c r="O1110" s="822" t="n">
        <f aca="false">E1110*$E$205*N1110</f>
        <v>183.69021742574</v>
      </c>
      <c r="P1110" s="823" t="n">
        <f aca="false">P1109+O1110</f>
        <v>111527.617194534</v>
      </c>
      <c r="Q1110" s="606" t="n">
        <f aca="false">Q1109+1</f>
        <v>895</v>
      </c>
      <c r="R1110" s="824" t="n">
        <f aca="false">R1109-1</f>
        <v>-895</v>
      </c>
      <c r="S1110" s="5"/>
      <c r="T1110" s="5"/>
      <c r="U1110" s="5"/>
      <c r="V1110" s="10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02"/>
      <c r="AU1110" s="502"/>
      <c r="AV1110" s="606"/>
      <c r="AW1110" s="502"/>
      <c r="AX1110" s="502"/>
      <c r="AY1110" s="502"/>
      <c r="AZ1110" s="502"/>
      <c r="BA1110" s="502"/>
      <c r="BB1110" s="502"/>
      <c r="BC1110" s="502"/>
      <c r="BD1110" s="502"/>
      <c r="BE1110" s="502"/>
      <c r="BF1110" s="502"/>
      <c r="BG1110" s="502"/>
      <c r="BH1110" s="502"/>
      <c r="BI1110" s="502"/>
      <c r="BJ1110" s="502"/>
      <c r="BK1110" s="502"/>
      <c r="BL1110" s="502"/>
      <c r="BM1110" s="502"/>
      <c r="BN1110" s="502"/>
      <c r="BO1110" s="502"/>
      <c r="BP1110" s="5"/>
      <c r="BQ1110" s="5"/>
      <c r="BR1110" s="5"/>
      <c r="BS1110" s="5"/>
      <c r="BT1110" s="5"/>
      <c r="BU1110" s="5"/>
      <c r="BV1110" s="5"/>
      <c r="BW1110" s="5"/>
      <c r="BX1110" s="5"/>
      <c r="BY1110" s="5"/>
      <c r="BZ1110" s="5"/>
      <c r="CA1110" s="5"/>
      <c r="CB1110" s="5"/>
      <c r="CC1110" s="5"/>
      <c r="CD1110" s="5"/>
      <c r="CE1110" s="5"/>
      <c r="CF1110" s="5"/>
      <c r="CG1110" s="5"/>
      <c r="CH1110" s="5"/>
      <c r="CI1110" s="5"/>
      <c r="CJ1110" s="5"/>
      <c r="CK1110" s="5"/>
      <c r="CL1110" s="5"/>
      <c r="CM1110" s="5"/>
      <c r="CN1110" s="5"/>
      <c r="CO1110" s="5"/>
      <c r="CP1110" s="5"/>
      <c r="CQ1110" s="5"/>
      <c r="CR1110" s="5"/>
      <c r="CS1110" s="5"/>
      <c r="CT1110" s="5"/>
      <c r="CU1110" s="5"/>
      <c r="CV1110" s="5"/>
      <c r="CW1110" s="5"/>
      <c r="CX1110" s="5"/>
      <c r="CY1110" s="5"/>
      <c r="CZ1110" s="5"/>
      <c r="DA1110" s="5"/>
      <c r="DB1110" s="5"/>
      <c r="DC1110" s="5"/>
      <c r="DD1110" s="5"/>
      <c r="DE1110" s="5"/>
      <c r="DF1110" s="5"/>
      <c r="DG1110" s="5"/>
      <c r="DH1110" s="5"/>
      <c r="DI1110" s="5"/>
      <c r="DJ1110" s="5"/>
      <c r="DK1110" s="5"/>
      <c r="DL1110" s="5"/>
      <c r="DM1110" s="5"/>
      <c r="DN1110" s="5"/>
      <c r="DO1110" s="5"/>
      <c r="DP1110" s="5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  <c r="GW1110" s="1"/>
      <c r="GX1110" s="1"/>
      <c r="GY1110" s="1"/>
      <c r="GZ1110" s="1"/>
      <c r="HA1110" s="1"/>
      <c r="HB1110" s="1"/>
      <c r="HC1110" s="1"/>
      <c r="HD1110" s="1"/>
      <c r="HE1110" s="1"/>
      <c r="HF1110" s="1"/>
      <c r="HG1110" s="1"/>
      <c r="HH1110" s="1"/>
      <c r="HI1110" s="1"/>
      <c r="HJ1110" s="1"/>
      <c r="HK1110" s="1"/>
      <c r="HL1110" s="1"/>
      <c r="HM1110" s="1"/>
      <c r="HN1110" s="1"/>
      <c r="HO1110" s="1"/>
      <c r="HP1110" s="1"/>
      <c r="HQ1110" s="1"/>
      <c r="HR1110" s="1"/>
      <c r="HS1110" s="1"/>
      <c r="HT1110" s="1"/>
      <c r="HU1110" s="1"/>
      <c r="HV1110" s="1"/>
      <c r="HW1110" s="1"/>
      <c r="HX1110" s="1"/>
      <c r="HY1110" s="1"/>
      <c r="HZ1110" s="1"/>
      <c r="IA1110" s="1"/>
      <c r="IB1110" s="1"/>
      <c r="IC1110" s="1"/>
      <c r="ID1110" s="1"/>
      <c r="IE1110" s="1"/>
      <c r="IF1110" s="1"/>
      <c r="IG1110" s="1"/>
      <c r="IH1110" s="1"/>
      <c r="II1110" s="1"/>
      <c r="IJ1110" s="1"/>
      <c r="IK1110" s="1"/>
      <c r="IL1110" s="1"/>
      <c r="IM1110" s="1"/>
      <c r="IN1110" s="1"/>
      <c r="IO1110" s="1"/>
      <c r="IP1110" s="1"/>
      <c r="IQ1110" s="1"/>
      <c r="IR1110" s="1"/>
      <c r="IS1110" s="1"/>
      <c r="IT1110" s="1"/>
      <c r="IU1110" s="1"/>
      <c r="IV1110" s="1"/>
      <c r="IW1110" s="1"/>
      <c r="IX1110" s="1"/>
      <c r="IY1110" s="1"/>
      <c r="IZ1110" s="1"/>
      <c r="JA1110" s="1"/>
      <c r="JB1110" s="1"/>
      <c r="JC1110" s="1"/>
      <c r="JD1110" s="1"/>
    </row>
    <row r="1111" s="504" customFormat="true" ht="12.75" hidden="true" customHeight="true" outlineLevel="0" collapsed="false">
      <c r="A1111" s="5"/>
      <c r="B1111" s="813" t="n">
        <f aca="false">B1110+1</f>
        <v>896</v>
      </c>
      <c r="C1111" s="814" t="n">
        <f aca="false">C1110+D1111</f>
        <v>133991.7098539</v>
      </c>
      <c r="D1111" s="815" t="n">
        <f aca="false">E1111*$E$205*M1111</f>
        <v>220.585940910888</v>
      </c>
      <c r="E1111" s="601" t="n">
        <f aca="false">E1110+$C$204</f>
        <v>13.9894686016545</v>
      </c>
      <c r="F1111" s="816" t="n">
        <f aca="false">F1110+1</f>
        <v>896</v>
      </c>
      <c r="G1111" s="775" t="n">
        <f aca="false">C1111</f>
        <v>133991.7098539</v>
      </c>
      <c r="H1111" s="817" t="n">
        <f aca="false">1000*(E1111-E1110)</f>
        <v>9.99999999999979</v>
      </c>
      <c r="I1111" s="5"/>
      <c r="J1111" s="818" t="n">
        <f aca="false">1000*(E1111-$E$215)/(B1111-$B$215)</f>
        <v>11.7565511479594</v>
      </c>
      <c r="K1111" s="732" t="n">
        <f aca="false">AVERAGE($E$216:E1111)</f>
        <v>9.50598645879745</v>
      </c>
      <c r="L1111" s="819" t="n">
        <f aca="false">L1110+1</f>
        <v>896</v>
      </c>
      <c r="M1111" s="820" t="n">
        <f aca="false">IF(B1111&lt;$E$104,$E$105,$E$106)</f>
        <v>3</v>
      </c>
      <c r="N1111" s="821" t="n">
        <f aca="false">IF(B1111&lt;$E$104,$E$105,$E$111)</f>
        <v>2.5</v>
      </c>
      <c r="O1111" s="822" t="n">
        <f aca="false">E1111*$E$205*N1111</f>
        <v>183.82161742574</v>
      </c>
      <c r="P1111" s="823" t="n">
        <f aca="false">P1110+O1111</f>
        <v>111711.43881196</v>
      </c>
      <c r="Q1111" s="606" t="n">
        <f aca="false">Q1110+1</f>
        <v>896</v>
      </c>
      <c r="R1111" s="824" t="n">
        <f aca="false">R1110-1</f>
        <v>-896</v>
      </c>
      <c r="S1111" s="5"/>
      <c r="T1111" s="5"/>
      <c r="U1111" s="5"/>
      <c r="V1111" s="10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02"/>
      <c r="AU1111" s="502"/>
      <c r="AV1111" s="606"/>
      <c r="AW1111" s="502"/>
      <c r="AX1111" s="502"/>
      <c r="AY1111" s="502"/>
      <c r="AZ1111" s="502"/>
      <c r="BA1111" s="502"/>
      <c r="BB1111" s="502"/>
      <c r="BC1111" s="502"/>
      <c r="BD1111" s="502"/>
      <c r="BE1111" s="502"/>
      <c r="BF1111" s="502"/>
      <c r="BG1111" s="502"/>
      <c r="BH1111" s="502"/>
      <c r="BI1111" s="502"/>
      <c r="BJ1111" s="502"/>
      <c r="BK1111" s="502"/>
      <c r="BL1111" s="502"/>
      <c r="BM1111" s="502"/>
      <c r="BN1111" s="502"/>
      <c r="BO1111" s="502"/>
      <c r="BP1111" s="5"/>
      <c r="BQ1111" s="5"/>
      <c r="BR1111" s="5"/>
      <c r="BS1111" s="5"/>
      <c r="BT1111" s="5"/>
      <c r="BU1111" s="5"/>
      <c r="BV1111" s="5"/>
      <c r="BW1111" s="5"/>
      <c r="BX1111" s="5"/>
      <c r="BY1111" s="5"/>
      <c r="BZ1111" s="5"/>
      <c r="CA1111" s="5"/>
      <c r="CB1111" s="5"/>
      <c r="CC1111" s="5"/>
      <c r="CD1111" s="5"/>
      <c r="CE1111" s="5"/>
      <c r="CF1111" s="5"/>
      <c r="CG1111" s="5"/>
      <c r="CH1111" s="5"/>
      <c r="CI1111" s="5"/>
      <c r="CJ1111" s="5"/>
      <c r="CK1111" s="5"/>
      <c r="CL1111" s="5"/>
      <c r="CM1111" s="5"/>
      <c r="CN1111" s="5"/>
      <c r="CO1111" s="5"/>
      <c r="CP1111" s="5"/>
      <c r="CQ1111" s="5"/>
      <c r="CR1111" s="5"/>
      <c r="CS1111" s="5"/>
      <c r="CT1111" s="5"/>
      <c r="CU1111" s="5"/>
      <c r="CV1111" s="5"/>
      <c r="CW1111" s="5"/>
      <c r="CX1111" s="5"/>
      <c r="CY1111" s="5"/>
      <c r="CZ1111" s="5"/>
      <c r="DA1111" s="5"/>
      <c r="DB1111" s="5"/>
      <c r="DC1111" s="5"/>
      <c r="DD1111" s="5"/>
      <c r="DE1111" s="5"/>
      <c r="DF1111" s="5"/>
      <c r="DG1111" s="5"/>
      <c r="DH1111" s="5"/>
      <c r="DI1111" s="5"/>
      <c r="DJ1111" s="5"/>
      <c r="DK1111" s="5"/>
      <c r="DL1111" s="5"/>
      <c r="DM1111" s="5"/>
      <c r="DN1111" s="5"/>
      <c r="DO1111" s="5"/>
      <c r="DP1111" s="5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  <c r="GY1111" s="1"/>
      <c r="GZ1111" s="1"/>
      <c r="HA1111" s="1"/>
      <c r="HB1111" s="1"/>
      <c r="HC1111" s="1"/>
      <c r="HD1111" s="1"/>
      <c r="HE1111" s="1"/>
      <c r="HF1111" s="1"/>
      <c r="HG1111" s="1"/>
      <c r="HH1111" s="1"/>
      <c r="HI1111" s="1"/>
      <c r="HJ1111" s="1"/>
      <c r="HK1111" s="1"/>
      <c r="HL1111" s="1"/>
      <c r="HM1111" s="1"/>
      <c r="HN1111" s="1"/>
      <c r="HO1111" s="1"/>
      <c r="HP1111" s="1"/>
      <c r="HQ1111" s="1"/>
      <c r="HR1111" s="1"/>
      <c r="HS1111" s="1"/>
      <c r="HT1111" s="1"/>
      <c r="HU1111" s="1"/>
      <c r="HV1111" s="1"/>
      <c r="HW1111" s="1"/>
      <c r="HX1111" s="1"/>
      <c r="HY1111" s="1"/>
      <c r="HZ1111" s="1"/>
      <c r="IA1111" s="1"/>
      <c r="IB1111" s="1"/>
      <c r="IC1111" s="1"/>
      <c r="ID1111" s="1"/>
      <c r="IE1111" s="1"/>
      <c r="IF1111" s="1"/>
      <c r="IG1111" s="1"/>
      <c r="IH1111" s="1"/>
      <c r="II1111" s="1"/>
      <c r="IJ1111" s="1"/>
      <c r="IK1111" s="1"/>
      <c r="IL1111" s="1"/>
      <c r="IM1111" s="1"/>
      <c r="IN1111" s="1"/>
      <c r="IO1111" s="1"/>
      <c r="IP1111" s="1"/>
      <c r="IQ1111" s="1"/>
      <c r="IR1111" s="1"/>
      <c r="IS1111" s="1"/>
      <c r="IT1111" s="1"/>
      <c r="IU1111" s="1"/>
      <c r="IV1111" s="1"/>
      <c r="IW1111" s="1"/>
      <c r="IX1111" s="1"/>
      <c r="IY1111" s="1"/>
      <c r="IZ1111" s="1"/>
      <c r="JA1111" s="1"/>
      <c r="JB1111" s="1"/>
      <c r="JC1111" s="1"/>
      <c r="JD1111" s="1"/>
    </row>
    <row r="1112" s="504" customFormat="true" ht="12.75" hidden="true" customHeight="true" outlineLevel="0" collapsed="false">
      <c r="A1112" s="5"/>
      <c r="B1112" s="813" t="n">
        <f aca="false">B1111+1</f>
        <v>897</v>
      </c>
      <c r="C1112" s="814" t="n">
        <f aca="false">C1111+D1112</f>
        <v>134212.453474811</v>
      </c>
      <c r="D1112" s="815" t="n">
        <f aca="false">E1112*$E$205*M1112</f>
        <v>220.743620910888</v>
      </c>
      <c r="E1112" s="601" t="n">
        <f aca="false">E1111+$C$204</f>
        <v>13.9994686016545</v>
      </c>
      <c r="F1112" s="816" t="n">
        <f aca="false">F1111+1</f>
        <v>897</v>
      </c>
      <c r="G1112" s="775" t="n">
        <f aca="false">C1112</f>
        <v>134212.453474811</v>
      </c>
      <c r="H1112" s="817" t="n">
        <f aca="false">1000*(E1112-E1111)</f>
        <v>9.99999999999979</v>
      </c>
      <c r="I1112" s="5"/>
      <c r="J1112" s="818" t="n">
        <f aca="false">1000*(E1112-$E$215)/(B1112-$B$215)</f>
        <v>11.7545928969584</v>
      </c>
      <c r="K1112" s="732" t="n">
        <f aca="false">AVERAGE($E$216:E1112)</f>
        <v>9.51099591492104</v>
      </c>
      <c r="L1112" s="819" t="n">
        <f aca="false">L1111+1</f>
        <v>897</v>
      </c>
      <c r="M1112" s="820" t="n">
        <f aca="false">IF(B1112&lt;$E$104,$E$105,$E$106)</f>
        <v>3</v>
      </c>
      <c r="N1112" s="821" t="n">
        <f aca="false">IF(B1112&lt;$E$104,$E$105,$E$111)</f>
        <v>2.5</v>
      </c>
      <c r="O1112" s="822" t="n">
        <f aca="false">E1112*$E$205*N1112</f>
        <v>183.95301742574</v>
      </c>
      <c r="P1112" s="823" t="n">
        <f aca="false">P1111+O1112</f>
        <v>111895.391829385</v>
      </c>
      <c r="Q1112" s="606" t="n">
        <f aca="false">Q1111+1</f>
        <v>897</v>
      </c>
      <c r="R1112" s="824" t="n">
        <f aca="false">R1111-1</f>
        <v>-897</v>
      </c>
      <c r="S1112" s="5"/>
      <c r="T1112" s="5"/>
      <c r="U1112" s="5"/>
      <c r="V1112" s="10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02"/>
      <c r="AU1112" s="502"/>
      <c r="AV1112" s="606"/>
      <c r="AW1112" s="502"/>
      <c r="AX1112" s="502"/>
      <c r="AY1112" s="502"/>
      <c r="AZ1112" s="502"/>
      <c r="BA1112" s="502"/>
      <c r="BB1112" s="502"/>
      <c r="BC1112" s="502"/>
      <c r="BD1112" s="502"/>
      <c r="BE1112" s="502"/>
      <c r="BF1112" s="502"/>
      <c r="BG1112" s="502"/>
      <c r="BH1112" s="502"/>
      <c r="BI1112" s="502"/>
      <c r="BJ1112" s="502"/>
      <c r="BK1112" s="502"/>
      <c r="BL1112" s="502"/>
      <c r="BM1112" s="502"/>
      <c r="BN1112" s="502"/>
      <c r="BO1112" s="502"/>
      <c r="BP1112" s="5"/>
      <c r="BQ1112" s="5"/>
      <c r="BR1112" s="5"/>
      <c r="BS1112" s="5"/>
      <c r="BT1112" s="5"/>
      <c r="BU1112" s="5"/>
      <c r="BV1112" s="5"/>
      <c r="BW1112" s="5"/>
      <c r="BX1112" s="5"/>
      <c r="BY1112" s="5"/>
      <c r="BZ1112" s="5"/>
      <c r="CA1112" s="5"/>
      <c r="CB1112" s="5"/>
      <c r="CC1112" s="5"/>
      <c r="CD1112" s="5"/>
      <c r="CE1112" s="5"/>
      <c r="CF1112" s="5"/>
      <c r="CG1112" s="5"/>
      <c r="CH1112" s="5"/>
      <c r="CI1112" s="5"/>
      <c r="CJ1112" s="5"/>
      <c r="CK1112" s="5"/>
      <c r="CL1112" s="5"/>
      <c r="CM1112" s="5"/>
      <c r="CN1112" s="5"/>
      <c r="CO1112" s="5"/>
      <c r="CP1112" s="5"/>
      <c r="CQ1112" s="5"/>
      <c r="CR1112" s="5"/>
      <c r="CS1112" s="5"/>
      <c r="CT1112" s="5"/>
      <c r="CU1112" s="5"/>
      <c r="CV1112" s="5"/>
      <c r="CW1112" s="5"/>
      <c r="CX1112" s="5"/>
      <c r="CY1112" s="5"/>
      <c r="CZ1112" s="5"/>
      <c r="DA1112" s="5"/>
      <c r="DB1112" s="5"/>
      <c r="DC1112" s="5"/>
      <c r="DD1112" s="5"/>
      <c r="DE1112" s="5"/>
      <c r="DF1112" s="5"/>
      <c r="DG1112" s="5"/>
      <c r="DH1112" s="5"/>
      <c r="DI1112" s="5"/>
      <c r="DJ1112" s="5"/>
      <c r="DK1112" s="5"/>
      <c r="DL1112" s="5"/>
      <c r="DM1112" s="5"/>
      <c r="DN1112" s="5"/>
      <c r="DO1112" s="5"/>
      <c r="DP1112" s="5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1"/>
      <c r="HA1112" s="1"/>
      <c r="HB1112" s="1"/>
      <c r="HC1112" s="1"/>
      <c r="HD1112" s="1"/>
      <c r="HE1112" s="1"/>
      <c r="HF1112" s="1"/>
      <c r="HG1112" s="1"/>
      <c r="HH1112" s="1"/>
      <c r="HI1112" s="1"/>
      <c r="HJ1112" s="1"/>
      <c r="HK1112" s="1"/>
      <c r="HL1112" s="1"/>
      <c r="HM1112" s="1"/>
      <c r="HN1112" s="1"/>
      <c r="HO1112" s="1"/>
      <c r="HP1112" s="1"/>
      <c r="HQ1112" s="1"/>
      <c r="HR1112" s="1"/>
      <c r="HS1112" s="1"/>
      <c r="HT1112" s="1"/>
      <c r="HU1112" s="1"/>
      <c r="HV1112" s="1"/>
      <c r="HW1112" s="1"/>
      <c r="HX1112" s="1"/>
      <c r="HY1112" s="1"/>
      <c r="HZ1112" s="1"/>
      <c r="IA1112" s="1"/>
      <c r="IB1112" s="1"/>
      <c r="IC1112" s="1"/>
      <c r="ID1112" s="1"/>
      <c r="IE1112" s="1"/>
      <c r="IF1112" s="1"/>
      <c r="IG1112" s="1"/>
      <c r="IH1112" s="1"/>
      <c r="II1112" s="1"/>
      <c r="IJ1112" s="1"/>
      <c r="IK1112" s="1"/>
      <c r="IL1112" s="1"/>
      <c r="IM1112" s="1"/>
      <c r="IN1112" s="1"/>
      <c r="IO1112" s="1"/>
      <c r="IP1112" s="1"/>
      <c r="IQ1112" s="1"/>
      <c r="IR1112" s="1"/>
      <c r="IS1112" s="1"/>
      <c r="IT1112" s="1"/>
      <c r="IU1112" s="1"/>
      <c r="IV1112" s="1"/>
      <c r="IW1112" s="1"/>
      <c r="IX1112" s="1"/>
      <c r="IY1112" s="1"/>
      <c r="IZ1112" s="1"/>
      <c r="JA1112" s="1"/>
      <c r="JB1112" s="1"/>
      <c r="JC1112" s="1"/>
      <c r="JD1112" s="1"/>
    </row>
    <row r="1113" s="504" customFormat="true" ht="12.75" hidden="true" customHeight="true" outlineLevel="0" collapsed="false">
      <c r="A1113" s="5"/>
      <c r="B1113" s="813" t="n">
        <f aca="false">B1112+1</f>
        <v>898</v>
      </c>
      <c r="C1113" s="814" t="n">
        <f aca="false">C1112+D1113</f>
        <v>134433.354775722</v>
      </c>
      <c r="D1113" s="815" t="n">
        <f aca="false">E1113*$E$205*M1113</f>
        <v>220.901300910888</v>
      </c>
      <c r="E1113" s="601" t="n">
        <f aca="false">E1112+$C$204</f>
        <v>14.0094686016545</v>
      </c>
      <c r="F1113" s="816" t="n">
        <f aca="false">F1112+1</f>
        <v>898</v>
      </c>
      <c r="G1113" s="775" t="n">
        <f aca="false">C1113</f>
        <v>134433.354775722</v>
      </c>
      <c r="H1113" s="817" t="n">
        <f aca="false">1000*(E1113-E1112)</f>
        <v>9.99999999999979</v>
      </c>
      <c r="I1113" s="5"/>
      <c r="J1113" s="818" t="n">
        <f aca="false">1000*(E1113-$E$215)/(B1113-$B$215)</f>
        <v>11.7526390073181</v>
      </c>
      <c r="K1113" s="732" t="n">
        <f aca="false">AVERAGE($E$216:E1113)</f>
        <v>9.51600534998422</v>
      </c>
      <c r="L1113" s="819" t="n">
        <f aca="false">L1112+1</f>
        <v>898</v>
      </c>
      <c r="M1113" s="820" t="n">
        <f aca="false">IF(B1113&lt;$E$104,$E$105,$E$106)</f>
        <v>3</v>
      </c>
      <c r="N1113" s="821" t="n">
        <f aca="false">IF(B1113&lt;$E$104,$E$105,$E$111)</f>
        <v>2.5</v>
      </c>
      <c r="O1113" s="822" t="n">
        <f aca="false">E1113*$E$205*N1113</f>
        <v>184.08441742574</v>
      </c>
      <c r="P1113" s="823" t="n">
        <f aca="false">P1112+O1113</f>
        <v>112079.476246811</v>
      </c>
      <c r="Q1113" s="606" t="n">
        <f aca="false">Q1112+1</f>
        <v>898</v>
      </c>
      <c r="R1113" s="824" t="n">
        <f aca="false">R1112-1</f>
        <v>-898</v>
      </c>
      <c r="S1113" s="5"/>
      <c r="T1113" s="5"/>
      <c r="U1113" s="5"/>
      <c r="V1113" s="10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02"/>
      <c r="AU1113" s="502"/>
      <c r="AV1113" s="606"/>
      <c r="AW1113" s="502"/>
      <c r="AX1113" s="502"/>
      <c r="AY1113" s="502"/>
      <c r="AZ1113" s="502"/>
      <c r="BA1113" s="502"/>
      <c r="BB1113" s="502"/>
      <c r="BC1113" s="502"/>
      <c r="BD1113" s="502"/>
      <c r="BE1113" s="502"/>
      <c r="BF1113" s="502"/>
      <c r="BG1113" s="502"/>
      <c r="BH1113" s="502"/>
      <c r="BI1113" s="502"/>
      <c r="BJ1113" s="502"/>
      <c r="BK1113" s="502"/>
      <c r="BL1113" s="502"/>
      <c r="BM1113" s="502"/>
      <c r="BN1113" s="502"/>
      <c r="BO1113" s="502"/>
      <c r="BP1113" s="5"/>
      <c r="BQ1113" s="5"/>
      <c r="BR1113" s="5"/>
      <c r="BS1113" s="5"/>
      <c r="BT1113" s="5"/>
      <c r="BU1113" s="5"/>
      <c r="BV1113" s="5"/>
      <c r="BW1113" s="5"/>
      <c r="BX1113" s="5"/>
      <c r="BY1113" s="5"/>
      <c r="BZ1113" s="5"/>
      <c r="CA1113" s="5"/>
      <c r="CB1113" s="5"/>
      <c r="CC1113" s="5"/>
      <c r="CD1113" s="5"/>
      <c r="CE1113" s="5"/>
      <c r="CF1113" s="5"/>
      <c r="CG1113" s="5"/>
      <c r="CH1113" s="5"/>
      <c r="CI1113" s="5"/>
      <c r="CJ1113" s="5"/>
      <c r="CK1113" s="5"/>
      <c r="CL1113" s="5"/>
      <c r="CM1113" s="5"/>
      <c r="CN1113" s="5"/>
      <c r="CO1113" s="5"/>
      <c r="CP1113" s="5"/>
      <c r="CQ1113" s="5"/>
      <c r="CR1113" s="5"/>
      <c r="CS1113" s="5"/>
      <c r="CT1113" s="5"/>
      <c r="CU1113" s="5"/>
      <c r="CV1113" s="5"/>
      <c r="CW1113" s="5"/>
      <c r="CX1113" s="5"/>
      <c r="CY1113" s="5"/>
      <c r="CZ1113" s="5"/>
      <c r="DA1113" s="5"/>
      <c r="DB1113" s="5"/>
      <c r="DC1113" s="5"/>
      <c r="DD1113" s="5"/>
      <c r="DE1113" s="5"/>
      <c r="DF1113" s="5"/>
      <c r="DG1113" s="5"/>
      <c r="DH1113" s="5"/>
      <c r="DI1113" s="5"/>
      <c r="DJ1113" s="5"/>
      <c r="DK1113" s="5"/>
      <c r="DL1113" s="5"/>
      <c r="DM1113" s="5"/>
      <c r="DN1113" s="5"/>
      <c r="DO1113" s="5"/>
      <c r="DP1113" s="5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  <c r="GY1113" s="1"/>
      <c r="GZ1113" s="1"/>
      <c r="HA1113" s="1"/>
      <c r="HB1113" s="1"/>
      <c r="HC1113" s="1"/>
      <c r="HD1113" s="1"/>
      <c r="HE1113" s="1"/>
      <c r="HF1113" s="1"/>
      <c r="HG1113" s="1"/>
      <c r="HH1113" s="1"/>
      <c r="HI1113" s="1"/>
      <c r="HJ1113" s="1"/>
      <c r="HK1113" s="1"/>
      <c r="HL1113" s="1"/>
      <c r="HM1113" s="1"/>
      <c r="HN1113" s="1"/>
      <c r="HO1113" s="1"/>
      <c r="HP1113" s="1"/>
      <c r="HQ1113" s="1"/>
      <c r="HR1113" s="1"/>
      <c r="HS1113" s="1"/>
      <c r="HT1113" s="1"/>
      <c r="HU1113" s="1"/>
      <c r="HV1113" s="1"/>
      <c r="HW1113" s="1"/>
      <c r="HX1113" s="1"/>
      <c r="HY1113" s="1"/>
      <c r="HZ1113" s="1"/>
      <c r="IA1113" s="1"/>
      <c r="IB1113" s="1"/>
      <c r="IC1113" s="1"/>
      <c r="ID1113" s="1"/>
      <c r="IE1113" s="1"/>
      <c r="IF1113" s="1"/>
      <c r="IG1113" s="1"/>
      <c r="IH1113" s="1"/>
      <c r="II1113" s="1"/>
      <c r="IJ1113" s="1"/>
      <c r="IK1113" s="1"/>
      <c r="IL1113" s="1"/>
      <c r="IM1113" s="1"/>
      <c r="IN1113" s="1"/>
      <c r="IO1113" s="1"/>
      <c r="IP1113" s="1"/>
      <c r="IQ1113" s="1"/>
      <c r="IR1113" s="1"/>
      <c r="IS1113" s="1"/>
      <c r="IT1113" s="1"/>
      <c r="IU1113" s="1"/>
      <c r="IV1113" s="1"/>
      <c r="IW1113" s="1"/>
      <c r="IX1113" s="1"/>
      <c r="IY1113" s="1"/>
      <c r="IZ1113" s="1"/>
      <c r="JA1113" s="1"/>
      <c r="JB1113" s="1"/>
      <c r="JC1113" s="1"/>
      <c r="JD1113" s="1"/>
    </row>
    <row r="1114" s="504" customFormat="true" ht="12.75" hidden="true" customHeight="true" outlineLevel="0" collapsed="false">
      <c r="A1114" s="5"/>
      <c r="B1114" s="813" t="n">
        <f aca="false">B1113+1</f>
        <v>899</v>
      </c>
      <c r="C1114" s="814" t="n">
        <f aca="false">C1113+D1114</f>
        <v>134654.413756633</v>
      </c>
      <c r="D1114" s="815" t="n">
        <f aca="false">E1114*$E$205*M1114</f>
        <v>221.058980910888</v>
      </c>
      <c r="E1114" s="601" t="n">
        <f aca="false">E1113+$C$204</f>
        <v>14.0194686016545</v>
      </c>
      <c r="F1114" s="816" t="n">
        <f aca="false">F1113+1</f>
        <v>899</v>
      </c>
      <c r="G1114" s="775" t="n">
        <f aca="false">C1114</f>
        <v>134654.413756633</v>
      </c>
      <c r="H1114" s="817" t="n">
        <f aca="false">1000*(E1114-E1113)</f>
        <v>9.99999999999979</v>
      </c>
      <c r="I1114" s="5"/>
      <c r="J1114" s="818" t="n">
        <f aca="false">1000*(E1114-$E$215)/(B1114-$B$215)</f>
        <v>11.7506894644846</v>
      </c>
      <c r="K1114" s="732" t="n">
        <f aca="false">AVERAGE($E$216:E1114)</f>
        <v>9.52101476405727</v>
      </c>
      <c r="L1114" s="819" t="n">
        <f aca="false">L1113+1</f>
        <v>899</v>
      </c>
      <c r="M1114" s="820" t="n">
        <f aca="false">IF(B1114&lt;$E$104,$E$105,$E$106)</f>
        <v>3</v>
      </c>
      <c r="N1114" s="821" t="n">
        <f aca="false">IF(B1114&lt;$E$104,$E$105,$E$111)</f>
        <v>2.5</v>
      </c>
      <c r="O1114" s="822" t="n">
        <f aca="false">E1114*$E$205*N1114</f>
        <v>184.21581742574</v>
      </c>
      <c r="P1114" s="823" t="n">
        <f aca="false">P1113+O1114</f>
        <v>112263.692064237</v>
      </c>
      <c r="Q1114" s="606" t="n">
        <f aca="false">Q1113+1</f>
        <v>899</v>
      </c>
      <c r="R1114" s="824" t="n">
        <f aca="false">R1113-1</f>
        <v>-899</v>
      </c>
      <c r="S1114" s="5"/>
      <c r="T1114" s="5"/>
      <c r="U1114" s="5"/>
      <c r="V1114" s="10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02"/>
      <c r="AU1114" s="502"/>
      <c r="AV1114" s="606"/>
      <c r="AW1114" s="502"/>
      <c r="AX1114" s="502"/>
      <c r="AY1114" s="502"/>
      <c r="AZ1114" s="502"/>
      <c r="BA1114" s="502"/>
      <c r="BB1114" s="502"/>
      <c r="BC1114" s="502"/>
      <c r="BD1114" s="502"/>
      <c r="BE1114" s="502"/>
      <c r="BF1114" s="502"/>
      <c r="BG1114" s="502"/>
      <c r="BH1114" s="502"/>
      <c r="BI1114" s="502"/>
      <c r="BJ1114" s="502"/>
      <c r="BK1114" s="502"/>
      <c r="BL1114" s="502"/>
      <c r="BM1114" s="502"/>
      <c r="BN1114" s="502"/>
      <c r="BO1114" s="502"/>
      <c r="BP1114" s="5"/>
      <c r="BQ1114" s="5"/>
      <c r="BR1114" s="5"/>
      <c r="BS1114" s="5"/>
      <c r="BT1114" s="5"/>
      <c r="BU1114" s="5"/>
      <c r="BV1114" s="5"/>
      <c r="BW1114" s="5"/>
      <c r="BX1114" s="5"/>
      <c r="BY1114" s="5"/>
      <c r="BZ1114" s="5"/>
      <c r="CA1114" s="5"/>
      <c r="CB1114" s="5"/>
      <c r="CC1114" s="5"/>
      <c r="CD1114" s="5"/>
      <c r="CE1114" s="5"/>
      <c r="CF1114" s="5"/>
      <c r="CG1114" s="5"/>
      <c r="CH1114" s="5"/>
      <c r="CI1114" s="5"/>
      <c r="CJ1114" s="5"/>
      <c r="CK1114" s="5"/>
      <c r="CL1114" s="5"/>
      <c r="CM1114" s="5"/>
      <c r="CN1114" s="5"/>
      <c r="CO1114" s="5"/>
      <c r="CP1114" s="5"/>
      <c r="CQ1114" s="5"/>
      <c r="CR1114" s="5"/>
      <c r="CS1114" s="5"/>
      <c r="CT1114" s="5"/>
      <c r="CU1114" s="5"/>
      <c r="CV1114" s="5"/>
      <c r="CW1114" s="5"/>
      <c r="CX1114" s="5"/>
      <c r="CY1114" s="5"/>
      <c r="CZ1114" s="5"/>
      <c r="DA1114" s="5"/>
      <c r="DB1114" s="5"/>
      <c r="DC1114" s="5"/>
      <c r="DD1114" s="5"/>
      <c r="DE1114" s="5"/>
      <c r="DF1114" s="5"/>
      <c r="DG1114" s="5"/>
      <c r="DH1114" s="5"/>
      <c r="DI1114" s="5"/>
      <c r="DJ1114" s="5"/>
      <c r="DK1114" s="5"/>
      <c r="DL1114" s="5"/>
      <c r="DM1114" s="5"/>
      <c r="DN1114" s="5"/>
      <c r="DO1114" s="5"/>
      <c r="DP1114" s="5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  <c r="HA1114" s="1"/>
      <c r="HB1114" s="1"/>
      <c r="HC1114" s="1"/>
      <c r="HD1114" s="1"/>
      <c r="HE1114" s="1"/>
      <c r="HF1114" s="1"/>
      <c r="HG1114" s="1"/>
      <c r="HH1114" s="1"/>
      <c r="HI1114" s="1"/>
      <c r="HJ1114" s="1"/>
      <c r="HK1114" s="1"/>
      <c r="HL1114" s="1"/>
      <c r="HM1114" s="1"/>
      <c r="HN1114" s="1"/>
      <c r="HO1114" s="1"/>
      <c r="HP1114" s="1"/>
      <c r="HQ1114" s="1"/>
      <c r="HR1114" s="1"/>
      <c r="HS1114" s="1"/>
      <c r="HT1114" s="1"/>
      <c r="HU1114" s="1"/>
      <c r="HV1114" s="1"/>
      <c r="HW1114" s="1"/>
      <c r="HX1114" s="1"/>
      <c r="HY1114" s="1"/>
      <c r="HZ1114" s="1"/>
      <c r="IA1114" s="1"/>
      <c r="IB1114" s="1"/>
      <c r="IC1114" s="1"/>
      <c r="ID1114" s="1"/>
      <c r="IE1114" s="1"/>
      <c r="IF1114" s="1"/>
      <c r="IG1114" s="1"/>
      <c r="IH1114" s="1"/>
      <c r="II1114" s="1"/>
      <c r="IJ1114" s="1"/>
      <c r="IK1114" s="1"/>
      <c r="IL1114" s="1"/>
      <c r="IM1114" s="1"/>
      <c r="IN1114" s="1"/>
      <c r="IO1114" s="1"/>
      <c r="IP1114" s="1"/>
      <c r="IQ1114" s="1"/>
      <c r="IR1114" s="1"/>
      <c r="IS1114" s="1"/>
      <c r="IT1114" s="1"/>
      <c r="IU1114" s="1"/>
      <c r="IV1114" s="1"/>
      <c r="IW1114" s="1"/>
      <c r="IX1114" s="1"/>
      <c r="IY1114" s="1"/>
      <c r="IZ1114" s="1"/>
      <c r="JA1114" s="1"/>
      <c r="JB1114" s="1"/>
      <c r="JC1114" s="1"/>
      <c r="JD1114" s="1"/>
    </row>
    <row r="1115" s="504" customFormat="true" ht="12.75" hidden="true" customHeight="true" outlineLevel="0" collapsed="false">
      <c r="A1115" s="5"/>
      <c r="B1115" s="827" t="n">
        <f aca="false">B1114+1</f>
        <v>900</v>
      </c>
      <c r="C1115" s="768" t="n">
        <f aca="false">C1114+D1115</f>
        <v>134875.630417544</v>
      </c>
      <c r="D1115" s="828" t="n">
        <f aca="false">E1115*$E$205*M1115</f>
        <v>221.216660910888</v>
      </c>
      <c r="E1115" s="787" t="n">
        <f aca="false">E1114+$C$204</f>
        <v>14.0294686016545</v>
      </c>
      <c r="F1115" s="829" t="n">
        <f aca="false">F1114+1</f>
        <v>900</v>
      </c>
      <c r="G1115" s="830" t="n">
        <f aca="false">C1115</f>
        <v>134875.630417544</v>
      </c>
      <c r="H1115" s="831" t="n">
        <f aca="false">1000*(E1115-E1114)</f>
        <v>9.99999999999979</v>
      </c>
      <c r="I1115" s="785"/>
      <c r="J1115" s="832" t="n">
        <f aca="false">1000*(E1115-$E$215)/(B1115-$B$215)</f>
        <v>11.7487442539685</v>
      </c>
      <c r="K1115" s="787" t="n">
        <f aca="false">AVERAGE($E$216:E1115)</f>
        <v>9.52602415721015</v>
      </c>
      <c r="L1115" s="833" t="n">
        <f aca="false">L1114+1</f>
        <v>900</v>
      </c>
      <c r="M1115" s="834" t="n">
        <f aca="false">IF(B1115&lt;$E$104,$E$105,$E$106)</f>
        <v>3</v>
      </c>
      <c r="N1115" s="835" t="n">
        <f aca="false">IF(B1115&lt;$E$104,$E$105,$E$111)</f>
        <v>2.5</v>
      </c>
      <c r="O1115" s="836" t="n">
        <f aca="false">E1115*$E$205*N1115</f>
        <v>184.34721742574</v>
      </c>
      <c r="P1115" s="837" t="n">
        <f aca="false">P1114+O1115</f>
        <v>112448.039281662</v>
      </c>
      <c r="Q1115" s="742" t="n">
        <f aca="false">Q1114+1</f>
        <v>900</v>
      </c>
      <c r="R1115" s="838" t="n">
        <f aca="false">R1114-1</f>
        <v>-900</v>
      </c>
      <c r="S1115" s="5"/>
      <c r="T1115" s="5"/>
      <c r="U1115" s="5"/>
      <c r="V1115" s="10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02"/>
      <c r="AU1115" s="502"/>
      <c r="AV1115" s="606"/>
      <c r="AW1115" s="502"/>
      <c r="AX1115" s="502"/>
      <c r="AY1115" s="502"/>
      <c r="AZ1115" s="502"/>
      <c r="BA1115" s="502"/>
      <c r="BB1115" s="502"/>
      <c r="BC1115" s="502"/>
      <c r="BD1115" s="502"/>
      <c r="BE1115" s="502"/>
      <c r="BF1115" s="502"/>
      <c r="BG1115" s="502"/>
      <c r="BH1115" s="502"/>
      <c r="BI1115" s="502"/>
      <c r="BJ1115" s="502"/>
      <c r="BK1115" s="502"/>
      <c r="BL1115" s="502"/>
      <c r="BM1115" s="502"/>
      <c r="BN1115" s="502"/>
      <c r="BO1115" s="502"/>
      <c r="BP1115" s="5"/>
      <c r="BQ1115" s="5"/>
      <c r="BR1115" s="5"/>
      <c r="BS1115" s="5"/>
      <c r="BT1115" s="5"/>
      <c r="BU1115" s="5"/>
      <c r="BV1115" s="5"/>
      <c r="BW1115" s="5"/>
      <c r="BX1115" s="5"/>
      <c r="BY1115" s="5"/>
      <c r="BZ1115" s="5"/>
      <c r="CA1115" s="5"/>
      <c r="CB1115" s="5"/>
      <c r="CC1115" s="5"/>
      <c r="CD1115" s="5"/>
      <c r="CE1115" s="5"/>
      <c r="CF1115" s="5"/>
      <c r="CG1115" s="5"/>
      <c r="CH1115" s="5"/>
      <c r="CI1115" s="5"/>
      <c r="CJ1115" s="5"/>
      <c r="CK1115" s="5"/>
      <c r="CL1115" s="5"/>
      <c r="CM1115" s="5"/>
      <c r="CN1115" s="5"/>
      <c r="CO1115" s="5"/>
      <c r="CP1115" s="5"/>
      <c r="CQ1115" s="5"/>
      <c r="CR1115" s="5"/>
      <c r="CS1115" s="5"/>
      <c r="CT1115" s="5"/>
      <c r="CU1115" s="5"/>
      <c r="CV1115" s="5"/>
      <c r="CW1115" s="5"/>
      <c r="CX1115" s="5"/>
      <c r="CY1115" s="5"/>
      <c r="CZ1115" s="5"/>
      <c r="DA1115" s="5"/>
      <c r="DB1115" s="5"/>
      <c r="DC1115" s="5"/>
      <c r="DD1115" s="5"/>
      <c r="DE1115" s="5"/>
      <c r="DF1115" s="5"/>
      <c r="DG1115" s="5"/>
      <c r="DH1115" s="5"/>
      <c r="DI1115" s="5"/>
      <c r="DJ1115" s="5"/>
      <c r="DK1115" s="5"/>
      <c r="DL1115" s="5"/>
      <c r="DM1115" s="5"/>
      <c r="DN1115" s="5"/>
      <c r="DO1115" s="5"/>
      <c r="DP1115" s="5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  <c r="GX1115" s="1"/>
      <c r="GY1115" s="1"/>
      <c r="GZ1115" s="1"/>
      <c r="HA1115" s="1"/>
      <c r="HB1115" s="1"/>
      <c r="HC1115" s="1"/>
      <c r="HD1115" s="1"/>
      <c r="HE1115" s="1"/>
      <c r="HF1115" s="1"/>
      <c r="HG1115" s="1"/>
      <c r="HH1115" s="1"/>
      <c r="HI1115" s="1"/>
      <c r="HJ1115" s="1"/>
      <c r="HK1115" s="1"/>
      <c r="HL1115" s="1"/>
      <c r="HM1115" s="1"/>
      <c r="HN1115" s="1"/>
      <c r="HO1115" s="1"/>
      <c r="HP1115" s="1"/>
      <c r="HQ1115" s="1"/>
      <c r="HR1115" s="1"/>
      <c r="HS1115" s="1"/>
      <c r="HT1115" s="1"/>
      <c r="HU1115" s="1"/>
      <c r="HV1115" s="1"/>
      <c r="HW1115" s="1"/>
      <c r="HX1115" s="1"/>
      <c r="HY1115" s="1"/>
      <c r="HZ1115" s="1"/>
      <c r="IA1115" s="1"/>
      <c r="IB1115" s="1"/>
      <c r="IC1115" s="1"/>
      <c r="ID1115" s="1"/>
      <c r="IE1115" s="1"/>
      <c r="IF1115" s="1"/>
      <c r="IG1115" s="1"/>
      <c r="IH1115" s="1"/>
      <c r="II1115" s="1"/>
      <c r="IJ1115" s="1"/>
      <c r="IK1115" s="1"/>
      <c r="IL1115" s="1"/>
      <c r="IM1115" s="1"/>
      <c r="IN1115" s="1"/>
      <c r="IO1115" s="1"/>
      <c r="IP1115" s="1"/>
      <c r="IQ1115" s="1"/>
      <c r="IR1115" s="1"/>
      <c r="IS1115" s="1"/>
      <c r="IT1115" s="1"/>
      <c r="IU1115" s="1"/>
      <c r="IV1115" s="1"/>
      <c r="IW1115" s="1"/>
      <c r="IX1115" s="1"/>
      <c r="IY1115" s="1"/>
      <c r="IZ1115" s="1"/>
      <c r="JA1115" s="1"/>
      <c r="JB1115" s="1"/>
      <c r="JC1115" s="1"/>
      <c r="JD1115" s="1"/>
    </row>
    <row r="1116" s="504" customFormat="true" ht="12.75" hidden="true" customHeight="true" outlineLevel="0" collapsed="false">
      <c r="A1116" s="5"/>
      <c r="B1116" s="813" t="n">
        <f aca="false">B1115+1</f>
        <v>901</v>
      </c>
      <c r="C1116" s="814" t="n">
        <f aca="false">C1115+D1116</f>
        <v>135097.004758454</v>
      </c>
      <c r="D1116" s="815" t="n">
        <f aca="false">E1116*$E$205*M1116</f>
        <v>221.374340910888</v>
      </c>
      <c r="E1116" s="601" t="n">
        <f aca="false">E1115+$C$204</f>
        <v>14.0394686016545</v>
      </c>
      <c r="F1116" s="816" t="n">
        <f aca="false">F1115+1</f>
        <v>901</v>
      </c>
      <c r="G1116" s="775" t="n">
        <f aca="false">C1116</f>
        <v>135097.004758454</v>
      </c>
      <c r="H1116" s="817" t="n">
        <f aca="false">1000*(E1116-E1115)</f>
        <v>9.99999999999979</v>
      </c>
      <c r="I1116" s="5"/>
      <c r="J1116" s="818" t="n">
        <f aca="false">1000*(E1116-$E$215)/(B1116-$B$215)</f>
        <v>11.7468033613448</v>
      </c>
      <c r="K1116" s="732" t="n">
        <f aca="false">AVERAGE($E$216:E1116)</f>
        <v>9.53103352951253</v>
      </c>
      <c r="L1116" s="819" t="n">
        <f aca="false">L1115+1</f>
        <v>901</v>
      </c>
      <c r="M1116" s="820" t="n">
        <f aca="false">IF(B1116&lt;$E$104,$E$105,$E$106)</f>
        <v>3</v>
      </c>
      <c r="N1116" s="821" t="n">
        <f aca="false">IF(B1116&lt;$E$104,$E$105,$E$111)</f>
        <v>2.5</v>
      </c>
      <c r="O1116" s="822" t="n">
        <f aca="false">E1116*$E$205*N1116</f>
        <v>184.47861742574</v>
      </c>
      <c r="P1116" s="823" t="n">
        <f aca="false">P1115+O1116</f>
        <v>112632.517899088</v>
      </c>
      <c r="Q1116" s="606" t="n">
        <f aca="false">Q1115+1</f>
        <v>901</v>
      </c>
      <c r="R1116" s="824" t="n">
        <f aca="false">R1115-1</f>
        <v>-901</v>
      </c>
      <c r="S1116" s="5"/>
      <c r="T1116" s="5"/>
      <c r="U1116" s="5"/>
      <c r="V1116" s="10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02"/>
      <c r="AU1116" s="502"/>
      <c r="AV1116" s="606"/>
      <c r="AW1116" s="502"/>
      <c r="AX1116" s="502"/>
      <c r="AY1116" s="502"/>
      <c r="AZ1116" s="502"/>
      <c r="BA1116" s="502"/>
      <c r="BB1116" s="502"/>
      <c r="BC1116" s="502"/>
      <c r="BD1116" s="502"/>
      <c r="BE1116" s="502"/>
      <c r="BF1116" s="502"/>
      <c r="BG1116" s="502"/>
      <c r="BH1116" s="502"/>
      <c r="BI1116" s="502"/>
      <c r="BJ1116" s="502"/>
      <c r="BK1116" s="502"/>
      <c r="BL1116" s="502"/>
      <c r="BM1116" s="502"/>
      <c r="BN1116" s="502"/>
      <c r="BO1116" s="502"/>
      <c r="BP1116" s="5"/>
      <c r="BQ1116" s="5"/>
      <c r="BR1116" s="5"/>
      <c r="BS1116" s="5"/>
      <c r="BT1116" s="5"/>
      <c r="BU1116" s="5"/>
      <c r="BV1116" s="5"/>
      <c r="BW1116" s="5"/>
      <c r="BX1116" s="5"/>
      <c r="BY1116" s="5"/>
      <c r="BZ1116" s="5"/>
      <c r="CA1116" s="5"/>
      <c r="CB1116" s="5"/>
      <c r="CC1116" s="5"/>
      <c r="CD1116" s="5"/>
      <c r="CE1116" s="5"/>
      <c r="CF1116" s="5"/>
      <c r="CG1116" s="5"/>
      <c r="CH1116" s="5"/>
      <c r="CI1116" s="5"/>
      <c r="CJ1116" s="5"/>
      <c r="CK1116" s="5"/>
      <c r="CL1116" s="5"/>
      <c r="CM1116" s="5"/>
      <c r="CN1116" s="5"/>
      <c r="CO1116" s="5"/>
      <c r="CP1116" s="5"/>
      <c r="CQ1116" s="5"/>
      <c r="CR1116" s="5"/>
      <c r="CS1116" s="5"/>
      <c r="CT1116" s="5"/>
      <c r="CU1116" s="5"/>
      <c r="CV1116" s="5"/>
      <c r="CW1116" s="5"/>
      <c r="CX1116" s="5"/>
      <c r="CY1116" s="5"/>
      <c r="CZ1116" s="5"/>
      <c r="DA1116" s="5"/>
      <c r="DB1116" s="5"/>
      <c r="DC1116" s="5"/>
      <c r="DD1116" s="5"/>
      <c r="DE1116" s="5"/>
      <c r="DF1116" s="5"/>
      <c r="DG1116" s="5"/>
      <c r="DH1116" s="5"/>
      <c r="DI1116" s="5"/>
      <c r="DJ1116" s="5"/>
      <c r="DK1116" s="5"/>
      <c r="DL1116" s="5"/>
      <c r="DM1116" s="5"/>
      <c r="DN1116" s="5"/>
      <c r="DO1116" s="5"/>
      <c r="DP1116" s="5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  <c r="HA1116" s="1"/>
      <c r="HB1116" s="1"/>
      <c r="HC1116" s="1"/>
      <c r="HD1116" s="1"/>
      <c r="HE1116" s="1"/>
      <c r="HF1116" s="1"/>
      <c r="HG1116" s="1"/>
      <c r="HH1116" s="1"/>
      <c r="HI1116" s="1"/>
      <c r="HJ1116" s="1"/>
      <c r="HK1116" s="1"/>
      <c r="HL1116" s="1"/>
      <c r="HM1116" s="1"/>
      <c r="HN1116" s="1"/>
      <c r="HO1116" s="1"/>
      <c r="HP1116" s="1"/>
      <c r="HQ1116" s="1"/>
      <c r="HR1116" s="1"/>
      <c r="HS1116" s="1"/>
      <c r="HT1116" s="1"/>
      <c r="HU1116" s="1"/>
      <c r="HV1116" s="1"/>
      <c r="HW1116" s="1"/>
      <c r="HX1116" s="1"/>
      <c r="HY1116" s="1"/>
      <c r="HZ1116" s="1"/>
      <c r="IA1116" s="1"/>
      <c r="IB1116" s="1"/>
      <c r="IC1116" s="1"/>
      <c r="ID1116" s="1"/>
      <c r="IE1116" s="1"/>
      <c r="IF1116" s="1"/>
      <c r="IG1116" s="1"/>
      <c r="IH1116" s="1"/>
      <c r="II1116" s="1"/>
      <c r="IJ1116" s="1"/>
      <c r="IK1116" s="1"/>
      <c r="IL1116" s="1"/>
      <c r="IM1116" s="1"/>
      <c r="IN1116" s="1"/>
      <c r="IO1116" s="1"/>
      <c r="IP1116" s="1"/>
      <c r="IQ1116" s="1"/>
      <c r="IR1116" s="1"/>
      <c r="IS1116" s="1"/>
      <c r="IT1116" s="1"/>
      <c r="IU1116" s="1"/>
      <c r="IV1116" s="1"/>
      <c r="IW1116" s="1"/>
      <c r="IX1116" s="1"/>
      <c r="IY1116" s="1"/>
      <c r="IZ1116" s="1"/>
      <c r="JA1116" s="1"/>
      <c r="JB1116" s="1"/>
      <c r="JC1116" s="1"/>
      <c r="JD1116" s="1"/>
    </row>
    <row r="1117" s="504" customFormat="true" ht="12.75" hidden="true" customHeight="true" outlineLevel="0" collapsed="false">
      <c r="A1117" s="5"/>
      <c r="B1117" s="813" t="n">
        <f aca="false">B1116+1</f>
        <v>902</v>
      </c>
      <c r="C1117" s="814" t="n">
        <f aca="false">C1116+D1117</f>
        <v>135318.536779365</v>
      </c>
      <c r="D1117" s="815" t="n">
        <f aca="false">E1117*$E$205*M1117</f>
        <v>221.532020910888</v>
      </c>
      <c r="E1117" s="601" t="n">
        <f aca="false">E1116+$C$204</f>
        <v>14.0494686016545</v>
      </c>
      <c r="F1117" s="816" t="n">
        <f aca="false">F1116+1</f>
        <v>902</v>
      </c>
      <c r="G1117" s="775" t="n">
        <f aca="false">C1117</f>
        <v>135318.536779365</v>
      </c>
      <c r="H1117" s="817" t="n">
        <f aca="false">1000*(E1117-E1116)</f>
        <v>9.99999999999979</v>
      </c>
      <c r="I1117" s="5"/>
      <c r="J1117" s="818" t="n">
        <f aca="false">1000*(E1117-$E$215)/(B1117-$B$215)</f>
        <v>11.7448667722524</v>
      </c>
      <c r="K1117" s="732" t="n">
        <f aca="false">AVERAGE($E$216:E1117)</f>
        <v>9.53604288103375</v>
      </c>
      <c r="L1117" s="819" t="n">
        <f aca="false">L1116+1</f>
        <v>902</v>
      </c>
      <c r="M1117" s="820" t="n">
        <f aca="false">IF(B1117&lt;$E$104,$E$105,$E$106)</f>
        <v>3</v>
      </c>
      <c r="N1117" s="821" t="n">
        <f aca="false">IF(B1117&lt;$E$104,$E$105,$E$111)</f>
        <v>2.5</v>
      </c>
      <c r="O1117" s="822" t="n">
        <f aca="false">E1117*$E$205*N1117</f>
        <v>184.61001742574</v>
      </c>
      <c r="P1117" s="823" t="n">
        <f aca="false">P1116+O1117</f>
        <v>112817.127916514</v>
      </c>
      <c r="Q1117" s="606" t="n">
        <f aca="false">Q1116+1</f>
        <v>902</v>
      </c>
      <c r="R1117" s="824" t="n">
        <f aca="false">R1116-1</f>
        <v>-902</v>
      </c>
      <c r="S1117" s="5"/>
      <c r="T1117" s="5"/>
      <c r="U1117" s="5"/>
      <c r="V1117" s="10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02"/>
      <c r="AU1117" s="502"/>
      <c r="AV1117" s="606"/>
      <c r="AW1117" s="502"/>
      <c r="AX1117" s="502"/>
      <c r="AY1117" s="502"/>
      <c r="AZ1117" s="502"/>
      <c r="BA1117" s="502"/>
      <c r="BB1117" s="502"/>
      <c r="BC1117" s="502"/>
      <c r="BD1117" s="502"/>
      <c r="BE1117" s="502"/>
      <c r="BF1117" s="502"/>
      <c r="BG1117" s="502"/>
      <c r="BH1117" s="502"/>
      <c r="BI1117" s="502"/>
      <c r="BJ1117" s="502"/>
      <c r="BK1117" s="502"/>
      <c r="BL1117" s="502"/>
      <c r="BM1117" s="502"/>
      <c r="BN1117" s="502"/>
      <c r="BO1117" s="502"/>
      <c r="BP1117" s="5"/>
      <c r="BQ1117" s="5"/>
      <c r="BR1117" s="5"/>
      <c r="BS1117" s="5"/>
      <c r="BT1117" s="5"/>
      <c r="BU1117" s="5"/>
      <c r="BV1117" s="5"/>
      <c r="BW1117" s="5"/>
      <c r="BX1117" s="5"/>
      <c r="BY1117" s="5"/>
      <c r="BZ1117" s="5"/>
      <c r="CA1117" s="5"/>
      <c r="CB1117" s="5"/>
      <c r="CC1117" s="5"/>
      <c r="CD1117" s="5"/>
      <c r="CE1117" s="5"/>
      <c r="CF1117" s="5"/>
      <c r="CG1117" s="5"/>
      <c r="CH1117" s="5"/>
      <c r="CI1117" s="5"/>
      <c r="CJ1117" s="5"/>
      <c r="CK1117" s="5"/>
      <c r="CL1117" s="5"/>
      <c r="CM1117" s="5"/>
      <c r="CN1117" s="5"/>
      <c r="CO1117" s="5"/>
      <c r="CP1117" s="5"/>
      <c r="CQ1117" s="5"/>
      <c r="CR1117" s="5"/>
      <c r="CS1117" s="5"/>
      <c r="CT1117" s="5"/>
      <c r="CU1117" s="5"/>
      <c r="CV1117" s="5"/>
      <c r="CW1117" s="5"/>
      <c r="CX1117" s="5"/>
      <c r="CY1117" s="5"/>
      <c r="CZ1117" s="5"/>
      <c r="DA1117" s="5"/>
      <c r="DB1117" s="5"/>
      <c r="DC1117" s="5"/>
      <c r="DD1117" s="5"/>
      <c r="DE1117" s="5"/>
      <c r="DF1117" s="5"/>
      <c r="DG1117" s="5"/>
      <c r="DH1117" s="5"/>
      <c r="DI1117" s="5"/>
      <c r="DJ1117" s="5"/>
      <c r="DK1117" s="5"/>
      <c r="DL1117" s="5"/>
      <c r="DM1117" s="5"/>
      <c r="DN1117" s="5"/>
      <c r="DO1117" s="5"/>
      <c r="DP1117" s="5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  <c r="HA1117" s="1"/>
      <c r="HB1117" s="1"/>
      <c r="HC1117" s="1"/>
      <c r="HD1117" s="1"/>
      <c r="HE1117" s="1"/>
      <c r="HF1117" s="1"/>
      <c r="HG1117" s="1"/>
      <c r="HH1117" s="1"/>
      <c r="HI1117" s="1"/>
      <c r="HJ1117" s="1"/>
      <c r="HK1117" s="1"/>
      <c r="HL1117" s="1"/>
      <c r="HM1117" s="1"/>
      <c r="HN1117" s="1"/>
      <c r="HO1117" s="1"/>
      <c r="HP1117" s="1"/>
      <c r="HQ1117" s="1"/>
      <c r="HR1117" s="1"/>
      <c r="HS1117" s="1"/>
      <c r="HT1117" s="1"/>
      <c r="HU1117" s="1"/>
      <c r="HV1117" s="1"/>
      <c r="HW1117" s="1"/>
      <c r="HX1117" s="1"/>
      <c r="HY1117" s="1"/>
      <c r="HZ1117" s="1"/>
      <c r="IA1117" s="1"/>
      <c r="IB1117" s="1"/>
      <c r="IC1117" s="1"/>
      <c r="ID1117" s="1"/>
      <c r="IE1117" s="1"/>
      <c r="IF1117" s="1"/>
      <c r="IG1117" s="1"/>
      <c r="IH1117" s="1"/>
      <c r="II1117" s="1"/>
      <c r="IJ1117" s="1"/>
      <c r="IK1117" s="1"/>
      <c r="IL1117" s="1"/>
      <c r="IM1117" s="1"/>
      <c r="IN1117" s="1"/>
      <c r="IO1117" s="1"/>
      <c r="IP1117" s="1"/>
      <c r="IQ1117" s="1"/>
      <c r="IR1117" s="1"/>
      <c r="IS1117" s="1"/>
      <c r="IT1117" s="1"/>
      <c r="IU1117" s="1"/>
      <c r="IV1117" s="1"/>
      <c r="IW1117" s="1"/>
      <c r="IX1117" s="1"/>
      <c r="IY1117" s="1"/>
      <c r="IZ1117" s="1"/>
      <c r="JA1117" s="1"/>
      <c r="JB1117" s="1"/>
      <c r="JC1117" s="1"/>
      <c r="JD1117" s="1"/>
    </row>
    <row r="1118" s="504" customFormat="true" ht="12.75" hidden="true" customHeight="true" outlineLevel="0" collapsed="false">
      <c r="A1118" s="5"/>
      <c r="B1118" s="813" t="n">
        <f aca="false">B1117+1</f>
        <v>903</v>
      </c>
      <c r="C1118" s="814" t="n">
        <f aca="false">C1117+D1118</f>
        <v>135540.226480276</v>
      </c>
      <c r="D1118" s="815" t="n">
        <f aca="false">E1118*$E$205*M1118</f>
        <v>221.689700910888</v>
      </c>
      <c r="E1118" s="601" t="n">
        <f aca="false">E1117+$C$204</f>
        <v>14.0594686016545</v>
      </c>
      <c r="F1118" s="816" t="n">
        <f aca="false">F1117+1</f>
        <v>903</v>
      </c>
      <c r="G1118" s="775" t="n">
        <f aca="false">C1118</f>
        <v>135540.226480276</v>
      </c>
      <c r="H1118" s="817" t="n">
        <f aca="false">1000*(E1118-E1117)</f>
        <v>9.99999999999979</v>
      </c>
      <c r="I1118" s="5"/>
      <c r="J1118" s="818" t="n">
        <f aca="false">1000*(E1118-$E$215)/(B1118-$B$215)</f>
        <v>11.7429344723939</v>
      </c>
      <c r="K1118" s="732" t="n">
        <f aca="false">AVERAGE($E$216:E1118)</f>
        <v>9.54105221184286</v>
      </c>
      <c r="L1118" s="819" t="n">
        <f aca="false">L1117+1</f>
        <v>903</v>
      </c>
      <c r="M1118" s="820" t="n">
        <f aca="false">IF(B1118&lt;$E$104,$E$105,$E$106)</f>
        <v>3</v>
      </c>
      <c r="N1118" s="821" t="n">
        <f aca="false">IF(B1118&lt;$E$104,$E$105,$E$111)</f>
        <v>2.5</v>
      </c>
      <c r="O1118" s="822" t="n">
        <f aca="false">E1118*$E$205*N1118</f>
        <v>184.74141742574</v>
      </c>
      <c r="P1118" s="823" t="n">
        <f aca="false">P1117+O1118</f>
        <v>113001.86933394</v>
      </c>
      <c r="Q1118" s="606" t="n">
        <f aca="false">Q1117+1</f>
        <v>903</v>
      </c>
      <c r="R1118" s="824" t="n">
        <f aca="false">R1117-1</f>
        <v>-903</v>
      </c>
      <c r="S1118" s="5"/>
      <c r="T1118" s="5"/>
      <c r="U1118" s="5"/>
      <c r="V1118" s="10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02"/>
      <c r="AU1118" s="502"/>
      <c r="AV1118" s="606"/>
      <c r="AW1118" s="502"/>
      <c r="AX1118" s="502"/>
      <c r="AY1118" s="502"/>
      <c r="AZ1118" s="502"/>
      <c r="BA1118" s="502"/>
      <c r="BB1118" s="502"/>
      <c r="BC1118" s="502"/>
      <c r="BD1118" s="502"/>
      <c r="BE1118" s="502"/>
      <c r="BF1118" s="502"/>
      <c r="BG1118" s="502"/>
      <c r="BH1118" s="502"/>
      <c r="BI1118" s="502"/>
      <c r="BJ1118" s="502"/>
      <c r="BK1118" s="502"/>
      <c r="BL1118" s="502"/>
      <c r="BM1118" s="502"/>
      <c r="BN1118" s="502"/>
      <c r="BO1118" s="502"/>
      <c r="BP1118" s="5"/>
      <c r="BQ1118" s="5"/>
      <c r="BR1118" s="5"/>
      <c r="BS1118" s="5"/>
      <c r="BT1118" s="5"/>
      <c r="BU1118" s="5"/>
      <c r="BV1118" s="5"/>
      <c r="BW1118" s="5"/>
      <c r="BX1118" s="5"/>
      <c r="BY1118" s="5"/>
      <c r="BZ1118" s="5"/>
      <c r="CA1118" s="5"/>
      <c r="CB1118" s="5"/>
      <c r="CC1118" s="5"/>
      <c r="CD1118" s="5"/>
      <c r="CE1118" s="5"/>
      <c r="CF1118" s="5"/>
      <c r="CG1118" s="5"/>
      <c r="CH1118" s="5"/>
      <c r="CI1118" s="5"/>
      <c r="CJ1118" s="5"/>
      <c r="CK1118" s="5"/>
      <c r="CL1118" s="5"/>
      <c r="CM1118" s="5"/>
      <c r="CN1118" s="5"/>
      <c r="CO1118" s="5"/>
      <c r="CP1118" s="5"/>
      <c r="CQ1118" s="5"/>
      <c r="CR1118" s="5"/>
      <c r="CS1118" s="5"/>
      <c r="CT1118" s="5"/>
      <c r="CU1118" s="5"/>
      <c r="CV1118" s="5"/>
      <c r="CW1118" s="5"/>
      <c r="CX1118" s="5"/>
      <c r="CY1118" s="5"/>
      <c r="CZ1118" s="5"/>
      <c r="DA1118" s="5"/>
      <c r="DB1118" s="5"/>
      <c r="DC1118" s="5"/>
      <c r="DD1118" s="5"/>
      <c r="DE1118" s="5"/>
      <c r="DF1118" s="5"/>
      <c r="DG1118" s="5"/>
      <c r="DH1118" s="5"/>
      <c r="DI1118" s="5"/>
      <c r="DJ1118" s="5"/>
      <c r="DK1118" s="5"/>
      <c r="DL1118" s="5"/>
      <c r="DM1118" s="5"/>
      <c r="DN1118" s="5"/>
      <c r="DO1118" s="5"/>
      <c r="DP1118" s="5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  <c r="GY1118" s="1"/>
      <c r="GZ1118" s="1"/>
      <c r="HA1118" s="1"/>
      <c r="HB1118" s="1"/>
      <c r="HC1118" s="1"/>
      <c r="HD1118" s="1"/>
      <c r="HE1118" s="1"/>
      <c r="HF1118" s="1"/>
      <c r="HG1118" s="1"/>
      <c r="HH1118" s="1"/>
      <c r="HI1118" s="1"/>
      <c r="HJ1118" s="1"/>
      <c r="HK1118" s="1"/>
      <c r="HL1118" s="1"/>
      <c r="HM1118" s="1"/>
      <c r="HN1118" s="1"/>
      <c r="HO1118" s="1"/>
      <c r="HP1118" s="1"/>
      <c r="HQ1118" s="1"/>
      <c r="HR1118" s="1"/>
      <c r="HS1118" s="1"/>
      <c r="HT1118" s="1"/>
      <c r="HU1118" s="1"/>
      <c r="HV1118" s="1"/>
      <c r="HW1118" s="1"/>
      <c r="HX1118" s="1"/>
      <c r="HY1118" s="1"/>
      <c r="HZ1118" s="1"/>
      <c r="IA1118" s="1"/>
      <c r="IB1118" s="1"/>
      <c r="IC1118" s="1"/>
      <c r="ID1118" s="1"/>
      <c r="IE1118" s="1"/>
      <c r="IF1118" s="1"/>
      <c r="IG1118" s="1"/>
      <c r="IH1118" s="1"/>
      <c r="II1118" s="1"/>
      <c r="IJ1118" s="1"/>
      <c r="IK1118" s="1"/>
      <c r="IL1118" s="1"/>
      <c r="IM1118" s="1"/>
      <c r="IN1118" s="1"/>
      <c r="IO1118" s="1"/>
      <c r="IP1118" s="1"/>
      <c r="IQ1118" s="1"/>
      <c r="IR1118" s="1"/>
      <c r="IS1118" s="1"/>
      <c r="IT1118" s="1"/>
      <c r="IU1118" s="1"/>
      <c r="IV1118" s="1"/>
      <c r="IW1118" s="1"/>
      <c r="IX1118" s="1"/>
      <c r="IY1118" s="1"/>
      <c r="IZ1118" s="1"/>
      <c r="JA1118" s="1"/>
      <c r="JB1118" s="1"/>
      <c r="JC1118" s="1"/>
      <c r="JD1118" s="1"/>
    </row>
    <row r="1119" s="504" customFormat="true" ht="12.75" hidden="true" customHeight="true" outlineLevel="0" collapsed="false">
      <c r="A1119" s="5"/>
      <c r="B1119" s="813" t="n">
        <f aca="false">B1118+1</f>
        <v>904</v>
      </c>
      <c r="C1119" s="814" t="n">
        <f aca="false">C1118+D1119</f>
        <v>135762.073861187</v>
      </c>
      <c r="D1119" s="815" t="n">
        <f aca="false">E1119*$E$205*M1119</f>
        <v>221.847380910888</v>
      </c>
      <c r="E1119" s="601" t="n">
        <f aca="false">E1118+$C$204</f>
        <v>14.0694686016545</v>
      </c>
      <c r="F1119" s="816" t="n">
        <f aca="false">F1118+1</f>
        <v>904</v>
      </c>
      <c r="G1119" s="775" t="n">
        <f aca="false">C1119</f>
        <v>135762.073861187</v>
      </c>
      <c r="H1119" s="817" t="n">
        <f aca="false">1000*(E1119-E1118)</f>
        <v>9.99999999999979</v>
      </c>
      <c r="I1119" s="5"/>
      <c r="J1119" s="818" t="n">
        <f aca="false">1000*(E1119-$E$215)/(B1119-$B$215)</f>
        <v>11.741006447535</v>
      </c>
      <c r="K1119" s="732" t="n">
        <f aca="false">AVERAGE($E$216:E1119)</f>
        <v>9.54606152200858</v>
      </c>
      <c r="L1119" s="819" t="n">
        <f aca="false">L1118+1</f>
        <v>904</v>
      </c>
      <c r="M1119" s="820" t="n">
        <f aca="false">IF(B1119&lt;$E$104,$E$105,$E$106)</f>
        <v>3</v>
      </c>
      <c r="N1119" s="821" t="n">
        <f aca="false">IF(B1119&lt;$E$104,$E$105,$E$111)</f>
        <v>2.5</v>
      </c>
      <c r="O1119" s="822" t="n">
        <f aca="false">E1119*$E$205*N1119</f>
        <v>184.87281742574</v>
      </c>
      <c r="P1119" s="823" t="n">
        <f aca="false">P1118+O1119</f>
        <v>113186.742151365</v>
      </c>
      <c r="Q1119" s="606" t="n">
        <f aca="false">Q1118+1</f>
        <v>904</v>
      </c>
      <c r="R1119" s="824" t="n">
        <f aca="false">R1118-1</f>
        <v>-904</v>
      </c>
      <c r="S1119" s="5"/>
      <c r="T1119" s="5"/>
      <c r="U1119" s="5"/>
      <c r="V1119" s="10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02"/>
      <c r="AU1119" s="502"/>
      <c r="AV1119" s="606"/>
      <c r="AW1119" s="502"/>
      <c r="AX1119" s="502"/>
      <c r="AY1119" s="502"/>
      <c r="AZ1119" s="502"/>
      <c r="BA1119" s="502"/>
      <c r="BB1119" s="502"/>
      <c r="BC1119" s="502"/>
      <c r="BD1119" s="502"/>
      <c r="BE1119" s="502"/>
      <c r="BF1119" s="502"/>
      <c r="BG1119" s="502"/>
      <c r="BH1119" s="502"/>
      <c r="BI1119" s="502"/>
      <c r="BJ1119" s="502"/>
      <c r="BK1119" s="502"/>
      <c r="BL1119" s="502"/>
      <c r="BM1119" s="502"/>
      <c r="BN1119" s="502"/>
      <c r="BO1119" s="502"/>
      <c r="BP1119" s="5"/>
      <c r="BQ1119" s="5"/>
      <c r="BR1119" s="5"/>
      <c r="BS1119" s="5"/>
      <c r="BT1119" s="5"/>
      <c r="BU1119" s="5"/>
      <c r="BV1119" s="5"/>
      <c r="BW1119" s="5"/>
      <c r="BX1119" s="5"/>
      <c r="BY1119" s="5"/>
      <c r="BZ1119" s="5"/>
      <c r="CA1119" s="5"/>
      <c r="CB1119" s="5"/>
      <c r="CC1119" s="5"/>
      <c r="CD1119" s="5"/>
      <c r="CE1119" s="5"/>
      <c r="CF1119" s="5"/>
      <c r="CG1119" s="5"/>
      <c r="CH1119" s="5"/>
      <c r="CI1119" s="5"/>
      <c r="CJ1119" s="5"/>
      <c r="CK1119" s="5"/>
      <c r="CL1119" s="5"/>
      <c r="CM1119" s="5"/>
      <c r="CN1119" s="5"/>
      <c r="CO1119" s="5"/>
      <c r="CP1119" s="5"/>
      <c r="CQ1119" s="5"/>
      <c r="CR1119" s="5"/>
      <c r="CS1119" s="5"/>
      <c r="CT1119" s="5"/>
      <c r="CU1119" s="5"/>
      <c r="CV1119" s="5"/>
      <c r="CW1119" s="5"/>
      <c r="CX1119" s="5"/>
      <c r="CY1119" s="5"/>
      <c r="CZ1119" s="5"/>
      <c r="DA1119" s="5"/>
      <c r="DB1119" s="5"/>
      <c r="DC1119" s="5"/>
      <c r="DD1119" s="5"/>
      <c r="DE1119" s="5"/>
      <c r="DF1119" s="5"/>
      <c r="DG1119" s="5"/>
      <c r="DH1119" s="5"/>
      <c r="DI1119" s="5"/>
      <c r="DJ1119" s="5"/>
      <c r="DK1119" s="5"/>
      <c r="DL1119" s="5"/>
      <c r="DM1119" s="5"/>
      <c r="DN1119" s="5"/>
      <c r="DO1119" s="5"/>
      <c r="DP1119" s="5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  <c r="HA1119" s="1"/>
      <c r="HB1119" s="1"/>
      <c r="HC1119" s="1"/>
      <c r="HD1119" s="1"/>
      <c r="HE1119" s="1"/>
      <c r="HF1119" s="1"/>
      <c r="HG1119" s="1"/>
      <c r="HH1119" s="1"/>
      <c r="HI1119" s="1"/>
      <c r="HJ1119" s="1"/>
      <c r="HK1119" s="1"/>
      <c r="HL1119" s="1"/>
      <c r="HM1119" s="1"/>
      <c r="HN1119" s="1"/>
      <c r="HO1119" s="1"/>
      <c r="HP1119" s="1"/>
      <c r="HQ1119" s="1"/>
      <c r="HR1119" s="1"/>
      <c r="HS1119" s="1"/>
      <c r="HT1119" s="1"/>
      <c r="HU1119" s="1"/>
      <c r="HV1119" s="1"/>
      <c r="HW1119" s="1"/>
      <c r="HX1119" s="1"/>
      <c r="HY1119" s="1"/>
      <c r="HZ1119" s="1"/>
      <c r="IA1119" s="1"/>
      <c r="IB1119" s="1"/>
      <c r="IC1119" s="1"/>
      <c r="ID1119" s="1"/>
      <c r="IE1119" s="1"/>
      <c r="IF1119" s="1"/>
      <c r="IG1119" s="1"/>
      <c r="IH1119" s="1"/>
      <c r="II1119" s="1"/>
      <c r="IJ1119" s="1"/>
      <c r="IK1119" s="1"/>
      <c r="IL1119" s="1"/>
      <c r="IM1119" s="1"/>
      <c r="IN1119" s="1"/>
      <c r="IO1119" s="1"/>
      <c r="IP1119" s="1"/>
      <c r="IQ1119" s="1"/>
      <c r="IR1119" s="1"/>
      <c r="IS1119" s="1"/>
      <c r="IT1119" s="1"/>
      <c r="IU1119" s="1"/>
      <c r="IV1119" s="1"/>
      <c r="IW1119" s="1"/>
      <c r="IX1119" s="1"/>
      <c r="IY1119" s="1"/>
      <c r="IZ1119" s="1"/>
      <c r="JA1119" s="1"/>
      <c r="JB1119" s="1"/>
      <c r="JC1119" s="1"/>
      <c r="JD1119" s="1"/>
    </row>
    <row r="1120" s="504" customFormat="true" ht="12.75" hidden="true" customHeight="true" outlineLevel="0" collapsed="false">
      <c r="A1120" s="5"/>
      <c r="B1120" s="813" t="n">
        <f aca="false">B1119+1</f>
        <v>905</v>
      </c>
      <c r="C1120" s="814" t="n">
        <f aca="false">C1119+D1120</f>
        <v>135984.078922098</v>
      </c>
      <c r="D1120" s="815" t="n">
        <f aca="false">E1120*$E$205*M1120</f>
        <v>222.005060910888</v>
      </c>
      <c r="E1120" s="601" t="n">
        <f aca="false">E1119+$C$204</f>
        <v>14.0794686016545</v>
      </c>
      <c r="F1120" s="816" t="n">
        <f aca="false">F1119+1</f>
        <v>905</v>
      </c>
      <c r="G1120" s="775" t="n">
        <f aca="false">C1120</f>
        <v>135984.078922098</v>
      </c>
      <c r="H1120" s="817" t="n">
        <f aca="false">1000*(E1120-E1119)</f>
        <v>9.99999999999979</v>
      </c>
      <c r="I1120" s="5"/>
      <c r="J1120" s="818" t="n">
        <f aca="false">1000*(E1120-$E$215)/(B1120-$B$215)</f>
        <v>11.7390826835046</v>
      </c>
      <c r="K1120" s="732" t="n">
        <f aca="false">AVERAGE($E$216:E1120)</f>
        <v>9.55107081159935</v>
      </c>
      <c r="L1120" s="819" t="n">
        <f aca="false">L1119+1</f>
        <v>905</v>
      </c>
      <c r="M1120" s="820" t="n">
        <f aca="false">IF(B1120&lt;$E$104,$E$105,$E$106)</f>
        <v>3</v>
      </c>
      <c r="N1120" s="821" t="n">
        <f aca="false">IF(B1120&lt;$E$104,$E$105,$E$111)</f>
        <v>2.5</v>
      </c>
      <c r="O1120" s="822" t="n">
        <f aca="false">E1120*$E$205*N1120</f>
        <v>185.00421742574</v>
      </c>
      <c r="P1120" s="823" t="n">
        <f aca="false">P1119+O1120</f>
        <v>113371.746368791</v>
      </c>
      <c r="Q1120" s="606" t="n">
        <f aca="false">Q1119+1</f>
        <v>905</v>
      </c>
      <c r="R1120" s="824" t="n">
        <f aca="false">R1119-1</f>
        <v>-905</v>
      </c>
      <c r="S1120" s="5"/>
      <c r="T1120" s="5"/>
      <c r="U1120" s="5"/>
      <c r="V1120" s="10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02"/>
      <c r="AU1120" s="502"/>
      <c r="AV1120" s="606"/>
      <c r="AW1120" s="502"/>
      <c r="AX1120" s="502"/>
      <c r="AY1120" s="502"/>
      <c r="AZ1120" s="502"/>
      <c r="BA1120" s="502"/>
      <c r="BB1120" s="502"/>
      <c r="BC1120" s="502"/>
      <c r="BD1120" s="502"/>
      <c r="BE1120" s="502"/>
      <c r="BF1120" s="502"/>
      <c r="BG1120" s="502"/>
      <c r="BH1120" s="502"/>
      <c r="BI1120" s="502"/>
      <c r="BJ1120" s="502"/>
      <c r="BK1120" s="502"/>
      <c r="BL1120" s="502"/>
      <c r="BM1120" s="502"/>
      <c r="BN1120" s="502"/>
      <c r="BO1120" s="502"/>
      <c r="BP1120" s="5"/>
      <c r="BQ1120" s="5"/>
      <c r="BR1120" s="5"/>
      <c r="BS1120" s="5"/>
      <c r="BT1120" s="5"/>
      <c r="BU1120" s="5"/>
      <c r="BV1120" s="5"/>
      <c r="BW1120" s="5"/>
      <c r="BX1120" s="5"/>
      <c r="BY1120" s="5"/>
      <c r="BZ1120" s="5"/>
      <c r="CA1120" s="5"/>
      <c r="CB1120" s="5"/>
      <c r="CC1120" s="5"/>
      <c r="CD1120" s="5"/>
      <c r="CE1120" s="5"/>
      <c r="CF1120" s="5"/>
      <c r="CG1120" s="5"/>
      <c r="CH1120" s="5"/>
      <c r="CI1120" s="5"/>
      <c r="CJ1120" s="5"/>
      <c r="CK1120" s="5"/>
      <c r="CL1120" s="5"/>
      <c r="CM1120" s="5"/>
      <c r="CN1120" s="5"/>
      <c r="CO1120" s="5"/>
      <c r="CP1120" s="5"/>
      <c r="CQ1120" s="5"/>
      <c r="CR1120" s="5"/>
      <c r="CS1120" s="5"/>
      <c r="CT1120" s="5"/>
      <c r="CU1120" s="5"/>
      <c r="CV1120" s="5"/>
      <c r="CW1120" s="5"/>
      <c r="CX1120" s="5"/>
      <c r="CY1120" s="5"/>
      <c r="CZ1120" s="5"/>
      <c r="DA1120" s="5"/>
      <c r="DB1120" s="5"/>
      <c r="DC1120" s="5"/>
      <c r="DD1120" s="5"/>
      <c r="DE1120" s="5"/>
      <c r="DF1120" s="5"/>
      <c r="DG1120" s="5"/>
      <c r="DH1120" s="5"/>
      <c r="DI1120" s="5"/>
      <c r="DJ1120" s="5"/>
      <c r="DK1120" s="5"/>
      <c r="DL1120" s="5"/>
      <c r="DM1120" s="5"/>
      <c r="DN1120" s="5"/>
      <c r="DO1120" s="5"/>
      <c r="DP1120" s="5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1"/>
      <c r="HA1120" s="1"/>
      <c r="HB1120" s="1"/>
      <c r="HC1120" s="1"/>
      <c r="HD1120" s="1"/>
      <c r="HE1120" s="1"/>
      <c r="HF1120" s="1"/>
      <c r="HG1120" s="1"/>
      <c r="HH1120" s="1"/>
      <c r="HI1120" s="1"/>
      <c r="HJ1120" s="1"/>
      <c r="HK1120" s="1"/>
      <c r="HL1120" s="1"/>
      <c r="HM1120" s="1"/>
      <c r="HN1120" s="1"/>
      <c r="HO1120" s="1"/>
      <c r="HP1120" s="1"/>
      <c r="HQ1120" s="1"/>
      <c r="HR1120" s="1"/>
      <c r="HS1120" s="1"/>
      <c r="HT1120" s="1"/>
      <c r="HU1120" s="1"/>
      <c r="HV1120" s="1"/>
      <c r="HW1120" s="1"/>
      <c r="HX1120" s="1"/>
      <c r="HY1120" s="1"/>
      <c r="HZ1120" s="1"/>
      <c r="IA1120" s="1"/>
      <c r="IB1120" s="1"/>
      <c r="IC1120" s="1"/>
      <c r="ID1120" s="1"/>
      <c r="IE1120" s="1"/>
      <c r="IF1120" s="1"/>
      <c r="IG1120" s="1"/>
      <c r="IH1120" s="1"/>
      <c r="II1120" s="1"/>
      <c r="IJ1120" s="1"/>
      <c r="IK1120" s="1"/>
      <c r="IL1120" s="1"/>
      <c r="IM1120" s="1"/>
      <c r="IN1120" s="1"/>
      <c r="IO1120" s="1"/>
      <c r="IP1120" s="1"/>
      <c r="IQ1120" s="1"/>
      <c r="IR1120" s="1"/>
      <c r="IS1120" s="1"/>
      <c r="IT1120" s="1"/>
      <c r="IU1120" s="1"/>
      <c r="IV1120" s="1"/>
      <c r="IW1120" s="1"/>
      <c r="IX1120" s="1"/>
      <c r="IY1120" s="1"/>
      <c r="IZ1120" s="1"/>
      <c r="JA1120" s="1"/>
      <c r="JB1120" s="1"/>
      <c r="JC1120" s="1"/>
      <c r="JD1120" s="1"/>
    </row>
    <row r="1121" s="504" customFormat="true" ht="12.75" hidden="true" customHeight="true" outlineLevel="0" collapsed="false">
      <c r="A1121" s="5"/>
      <c r="B1121" s="813" t="n">
        <f aca="false">B1120+1</f>
        <v>906</v>
      </c>
      <c r="C1121" s="814" t="n">
        <f aca="false">C1120+D1121</f>
        <v>136206.241663009</v>
      </c>
      <c r="D1121" s="815" t="n">
        <f aca="false">E1121*$E$205*M1121</f>
        <v>222.162740910888</v>
      </c>
      <c r="E1121" s="601" t="n">
        <f aca="false">E1120+$C$204</f>
        <v>14.0894686016545</v>
      </c>
      <c r="F1121" s="816" t="n">
        <f aca="false">F1120+1</f>
        <v>906</v>
      </c>
      <c r="G1121" s="775" t="n">
        <f aca="false">C1121</f>
        <v>136206.241663009</v>
      </c>
      <c r="H1121" s="817" t="n">
        <f aca="false">1000*(E1121-E1120)</f>
        <v>9.99999999999979</v>
      </c>
      <c r="I1121" s="5"/>
      <c r="J1121" s="818" t="n">
        <f aca="false">1000*(E1121-$E$215)/(B1121-$B$215)</f>
        <v>11.7371631661939</v>
      </c>
      <c r="K1121" s="732" t="n">
        <f aca="false">AVERAGE($E$216:E1121)</f>
        <v>9.55608008068329</v>
      </c>
      <c r="L1121" s="819" t="n">
        <f aca="false">L1120+1</f>
        <v>906</v>
      </c>
      <c r="M1121" s="820" t="n">
        <f aca="false">IF(B1121&lt;$E$104,$E$105,$E$106)</f>
        <v>3</v>
      </c>
      <c r="N1121" s="821" t="n">
        <f aca="false">IF(B1121&lt;$E$104,$E$105,$E$111)</f>
        <v>2.5</v>
      </c>
      <c r="O1121" s="822" t="n">
        <f aca="false">E1121*$E$205*N1121</f>
        <v>185.13561742574</v>
      </c>
      <c r="P1121" s="823" t="n">
        <f aca="false">P1120+O1121</f>
        <v>113556.881986217</v>
      </c>
      <c r="Q1121" s="606" t="n">
        <f aca="false">Q1120+1</f>
        <v>906</v>
      </c>
      <c r="R1121" s="824" t="n">
        <f aca="false">R1120-1</f>
        <v>-906</v>
      </c>
      <c r="S1121" s="5"/>
      <c r="T1121" s="5"/>
      <c r="U1121" s="5"/>
      <c r="V1121" s="10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02"/>
      <c r="AU1121" s="502"/>
      <c r="AV1121" s="606"/>
      <c r="AW1121" s="502"/>
      <c r="AX1121" s="502"/>
      <c r="AY1121" s="502"/>
      <c r="AZ1121" s="502"/>
      <c r="BA1121" s="502"/>
      <c r="BB1121" s="502"/>
      <c r="BC1121" s="502"/>
      <c r="BD1121" s="502"/>
      <c r="BE1121" s="502"/>
      <c r="BF1121" s="502"/>
      <c r="BG1121" s="502"/>
      <c r="BH1121" s="502"/>
      <c r="BI1121" s="502"/>
      <c r="BJ1121" s="502"/>
      <c r="BK1121" s="502"/>
      <c r="BL1121" s="502"/>
      <c r="BM1121" s="502"/>
      <c r="BN1121" s="502"/>
      <c r="BO1121" s="502"/>
      <c r="BP1121" s="5"/>
      <c r="BQ1121" s="5"/>
      <c r="BR1121" s="5"/>
      <c r="BS1121" s="5"/>
      <c r="BT1121" s="5"/>
      <c r="BU1121" s="5"/>
      <c r="BV1121" s="5"/>
      <c r="BW1121" s="5"/>
      <c r="BX1121" s="5"/>
      <c r="BY1121" s="5"/>
      <c r="BZ1121" s="5"/>
      <c r="CA1121" s="5"/>
      <c r="CB1121" s="5"/>
      <c r="CC1121" s="5"/>
      <c r="CD1121" s="5"/>
      <c r="CE1121" s="5"/>
      <c r="CF1121" s="5"/>
      <c r="CG1121" s="5"/>
      <c r="CH1121" s="5"/>
      <c r="CI1121" s="5"/>
      <c r="CJ1121" s="5"/>
      <c r="CK1121" s="5"/>
      <c r="CL1121" s="5"/>
      <c r="CM1121" s="5"/>
      <c r="CN1121" s="5"/>
      <c r="CO1121" s="5"/>
      <c r="CP1121" s="5"/>
      <c r="CQ1121" s="5"/>
      <c r="CR1121" s="5"/>
      <c r="CS1121" s="5"/>
      <c r="CT1121" s="5"/>
      <c r="CU1121" s="5"/>
      <c r="CV1121" s="5"/>
      <c r="CW1121" s="5"/>
      <c r="CX1121" s="5"/>
      <c r="CY1121" s="5"/>
      <c r="CZ1121" s="5"/>
      <c r="DA1121" s="5"/>
      <c r="DB1121" s="5"/>
      <c r="DC1121" s="5"/>
      <c r="DD1121" s="5"/>
      <c r="DE1121" s="5"/>
      <c r="DF1121" s="5"/>
      <c r="DG1121" s="5"/>
      <c r="DH1121" s="5"/>
      <c r="DI1121" s="5"/>
      <c r="DJ1121" s="5"/>
      <c r="DK1121" s="5"/>
      <c r="DL1121" s="5"/>
      <c r="DM1121" s="5"/>
      <c r="DN1121" s="5"/>
      <c r="DO1121" s="5"/>
      <c r="DP1121" s="5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1"/>
      <c r="HA1121" s="1"/>
      <c r="HB1121" s="1"/>
      <c r="HC1121" s="1"/>
      <c r="HD1121" s="1"/>
      <c r="HE1121" s="1"/>
      <c r="HF1121" s="1"/>
      <c r="HG1121" s="1"/>
      <c r="HH1121" s="1"/>
      <c r="HI1121" s="1"/>
      <c r="HJ1121" s="1"/>
      <c r="HK1121" s="1"/>
      <c r="HL1121" s="1"/>
      <c r="HM1121" s="1"/>
      <c r="HN1121" s="1"/>
      <c r="HO1121" s="1"/>
      <c r="HP1121" s="1"/>
      <c r="HQ1121" s="1"/>
      <c r="HR1121" s="1"/>
      <c r="HS1121" s="1"/>
      <c r="HT1121" s="1"/>
      <c r="HU1121" s="1"/>
      <c r="HV1121" s="1"/>
      <c r="HW1121" s="1"/>
      <c r="HX1121" s="1"/>
      <c r="HY1121" s="1"/>
      <c r="HZ1121" s="1"/>
      <c r="IA1121" s="1"/>
      <c r="IB1121" s="1"/>
      <c r="IC1121" s="1"/>
      <c r="ID1121" s="1"/>
      <c r="IE1121" s="1"/>
      <c r="IF1121" s="1"/>
      <c r="IG1121" s="1"/>
      <c r="IH1121" s="1"/>
      <c r="II1121" s="1"/>
      <c r="IJ1121" s="1"/>
      <c r="IK1121" s="1"/>
      <c r="IL1121" s="1"/>
      <c r="IM1121" s="1"/>
      <c r="IN1121" s="1"/>
      <c r="IO1121" s="1"/>
      <c r="IP1121" s="1"/>
      <c r="IQ1121" s="1"/>
      <c r="IR1121" s="1"/>
      <c r="IS1121" s="1"/>
      <c r="IT1121" s="1"/>
      <c r="IU1121" s="1"/>
      <c r="IV1121" s="1"/>
      <c r="IW1121" s="1"/>
      <c r="IX1121" s="1"/>
      <c r="IY1121" s="1"/>
      <c r="IZ1121" s="1"/>
      <c r="JA1121" s="1"/>
      <c r="JB1121" s="1"/>
      <c r="JC1121" s="1"/>
      <c r="JD1121" s="1"/>
    </row>
    <row r="1122" s="504" customFormat="true" ht="12.75" hidden="true" customHeight="true" outlineLevel="0" collapsed="false">
      <c r="A1122" s="5"/>
      <c r="B1122" s="813" t="n">
        <f aca="false">B1121+1</f>
        <v>907</v>
      </c>
      <c r="C1122" s="814" t="n">
        <f aca="false">C1121+D1122</f>
        <v>136428.56208392</v>
      </c>
      <c r="D1122" s="815" t="n">
        <f aca="false">E1122*$E$205*M1122</f>
        <v>222.320420910888</v>
      </c>
      <c r="E1122" s="601" t="n">
        <f aca="false">E1121+$C$204</f>
        <v>14.0994686016545</v>
      </c>
      <c r="F1122" s="816" t="n">
        <f aca="false">F1121+1</f>
        <v>907</v>
      </c>
      <c r="G1122" s="775" t="n">
        <f aca="false">C1122</f>
        <v>136428.56208392</v>
      </c>
      <c r="H1122" s="817" t="n">
        <f aca="false">1000*(E1122-E1121)</f>
        <v>9.99999999999979</v>
      </c>
      <c r="I1122" s="5"/>
      <c r="J1122" s="818" t="n">
        <f aca="false">1000*(E1122-$E$215)/(B1122-$B$215)</f>
        <v>11.7352478815564</v>
      </c>
      <c r="K1122" s="732" t="n">
        <f aca="false">AVERAGE($E$216:E1122)</f>
        <v>9.56108932932824</v>
      </c>
      <c r="L1122" s="819" t="n">
        <f aca="false">L1121+1</f>
        <v>907</v>
      </c>
      <c r="M1122" s="820" t="n">
        <f aca="false">IF(B1122&lt;$E$104,$E$105,$E$106)</f>
        <v>3</v>
      </c>
      <c r="N1122" s="821" t="n">
        <f aca="false">IF(B1122&lt;$E$104,$E$105,$E$111)</f>
        <v>2.5</v>
      </c>
      <c r="O1122" s="822" t="n">
        <f aca="false">E1122*$E$205*N1122</f>
        <v>185.26701742574</v>
      </c>
      <c r="P1122" s="823" t="n">
        <f aca="false">P1121+O1122</f>
        <v>113742.149003643</v>
      </c>
      <c r="Q1122" s="606" t="n">
        <f aca="false">Q1121+1</f>
        <v>907</v>
      </c>
      <c r="R1122" s="824" t="n">
        <f aca="false">R1121-1</f>
        <v>-907</v>
      </c>
      <c r="S1122" s="5"/>
      <c r="T1122" s="5"/>
      <c r="U1122" s="5"/>
      <c r="V1122" s="10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02"/>
      <c r="AU1122" s="502"/>
      <c r="AV1122" s="606"/>
      <c r="AW1122" s="502"/>
      <c r="AX1122" s="502"/>
      <c r="AY1122" s="502"/>
      <c r="AZ1122" s="502"/>
      <c r="BA1122" s="502"/>
      <c r="BB1122" s="502"/>
      <c r="BC1122" s="502"/>
      <c r="BD1122" s="502"/>
      <c r="BE1122" s="502"/>
      <c r="BF1122" s="502"/>
      <c r="BG1122" s="502"/>
      <c r="BH1122" s="502"/>
      <c r="BI1122" s="502"/>
      <c r="BJ1122" s="502"/>
      <c r="BK1122" s="502"/>
      <c r="BL1122" s="502"/>
      <c r="BM1122" s="502"/>
      <c r="BN1122" s="502"/>
      <c r="BO1122" s="502"/>
      <c r="BP1122" s="5"/>
      <c r="BQ1122" s="5"/>
      <c r="BR1122" s="5"/>
      <c r="BS1122" s="5"/>
      <c r="BT1122" s="5"/>
      <c r="BU1122" s="5"/>
      <c r="BV1122" s="5"/>
      <c r="BW1122" s="5"/>
      <c r="BX1122" s="5"/>
      <c r="BY1122" s="5"/>
      <c r="BZ1122" s="5"/>
      <c r="CA1122" s="5"/>
      <c r="CB1122" s="5"/>
      <c r="CC1122" s="5"/>
      <c r="CD1122" s="5"/>
      <c r="CE1122" s="5"/>
      <c r="CF1122" s="5"/>
      <c r="CG1122" s="5"/>
      <c r="CH1122" s="5"/>
      <c r="CI1122" s="5"/>
      <c r="CJ1122" s="5"/>
      <c r="CK1122" s="5"/>
      <c r="CL1122" s="5"/>
      <c r="CM1122" s="5"/>
      <c r="CN1122" s="5"/>
      <c r="CO1122" s="5"/>
      <c r="CP1122" s="5"/>
      <c r="CQ1122" s="5"/>
      <c r="CR1122" s="5"/>
      <c r="CS1122" s="5"/>
      <c r="CT1122" s="5"/>
      <c r="CU1122" s="5"/>
      <c r="CV1122" s="5"/>
      <c r="CW1122" s="5"/>
      <c r="CX1122" s="5"/>
      <c r="CY1122" s="5"/>
      <c r="CZ1122" s="5"/>
      <c r="DA1122" s="5"/>
      <c r="DB1122" s="5"/>
      <c r="DC1122" s="5"/>
      <c r="DD1122" s="5"/>
      <c r="DE1122" s="5"/>
      <c r="DF1122" s="5"/>
      <c r="DG1122" s="5"/>
      <c r="DH1122" s="5"/>
      <c r="DI1122" s="5"/>
      <c r="DJ1122" s="5"/>
      <c r="DK1122" s="5"/>
      <c r="DL1122" s="5"/>
      <c r="DM1122" s="5"/>
      <c r="DN1122" s="5"/>
      <c r="DO1122" s="5"/>
      <c r="DP1122" s="5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1"/>
      <c r="HA1122" s="1"/>
      <c r="HB1122" s="1"/>
      <c r="HC1122" s="1"/>
      <c r="HD1122" s="1"/>
      <c r="HE1122" s="1"/>
      <c r="HF1122" s="1"/>
      <c r="HG1122" s="1"/>
      <c r="HH1122" s="1"/>
      <c r="HI1122" s="1"/>
      <c r="HJ1122" s="1"/>
      <c r="HK1122" s="1"/>
      <c r="HL1122" s="1"/>
      <c r="HM1122" s="1"/>
      <c r="HN1122" s="1"/>
      <c r="HO1122" s="1"/>
      <c r="HP1122" s="1"/>
      <c r="HQ1122" s="1"/>
      <c r="HR1122" s="1"/>
      <c r="HS1122" s="1"/>
      <c r="HT1122" s="1"/>
      <c r="HU1122" s="1"/>
      <c r="HV1122" s="1"/>
      <c r="HW1122" s="1"/>
      <c r="HX1122" s="1"/>
      <c r="HY1122" s="1"/>
      <c r="HZ1122" s="1"/>
      <c r="IA1122" s="1"/>
      <c r="IB1122" s="1"/>
      <c r="IC1122" s="1"/>
      <c r="ID1122" s="1"/>
      <c r="IE1122" s="1"/>
      <c r="IF1122" s="1"/>
      <c r="IG1122" s="1"/>
      <c r="IH1122" s="1"/>
      <c r="II1122" s="1"/>
      <c r="IJ1122" s="1"/>
      <c r="IK1122" s="1"/>
      <c r="IL1122" s="1"/>
      <c r="IM1122" s="1"/>
      <c r="IN1122" s="1"/>
      <c r="IO1122" s="1"/>
      <c r="IP1122" s="1"/>
      <c r="IQ1122" s="1"/>
      <c r="IR1122" s="1"/>
      <c r="IS1122" s="1"/>
      <c r="IT1122" s="1"/>
      <c r="IU1122" s="1"/>
      <c r="IV1122" s="1"/>
      <c r="IW1122" s="1"/>
      <c r="IX1122" s="1"/>
      <c r="IY1122" s="1"/>
      <c r="IZ1122" s="1"/>
      <c r="JA1122" s="1"/>
      <c r="JB1122" s="1"/>
      <c r="JC1122" s="1"/>
      <c r="JD1122" s="1"/>
    </row>
    <row r="1123" s="504" customFormat="true" ht="12.75" hidden="true" customHeight="true" outlineLevel="0" collapsed="false">
      <c r="A1123" s="5"/>
      <c r="B1123" s="813" t="n">
        <f aca="false">B1122+1</f>
        <v>908</v>
      </c>
      <c r="C1123" s="814" t="n">
        <f aca="false">C1122+D1123</f>
        <v>136651.040184831</v>
      </c>
      <c r="D1123" s="815" t="n">
        <f aca="false">E1123*$E$205*M1123</f>
        <v>222.478100910888</v>
      </c>
      <c r="E1123" s="601" t="n">
        <f aca="false">E1122+$C$204</f>
        <v>14.1094686016545</v>
      </c>
      <c r="F1123" s="816" t="n">
        <f aca="false">F1122+1</f>
        <v>908</v>
      </c>
      <c r="G1123" s="775" t="n">
        <f aca="false">C1123</f>
        <v>136651.040184831</v>
      </c>
      <c r="H1123" s="817" t="n">
        <f aca="false">1000*(E1123-E1122)</f>
        <v>9.99999999999979</v>
      </c>
      <c r="I1123" s="5"/>
      <c r="J1123" s="818" t="n">
        <f aca="false">1000*(E1123-$E$215)/(B1123-$B$215)</f>
        <v>11.7333368156075</v>
      </c>
      <c r="K1123" s="732" t="n">
        <f aca="false">AVERAGE($E$216:E1123)</f>
        <v>9.56609855760173</v>
      </c>
      <c r="L1123" s="819" t="n">
        <f aca="false">L1122+1</f>
        <v>908</v>
      </c>
      <c r="M1123" s="820" t="n">
        <f aca="false">IF(B1123&lt;$E$104,$E$105,$E$106)</f>
        <v>3</v>
      </c>
      <c r="N1123" s="821" t="n">
        <f aca="false">IF(B1123&lt;$E$104,$E$105,$E$111)</f>
        <v>2.5</v>
      </c>
      <c r="O1123" s="822" t="n">
        <f aca="false">E1123*$E$205*N1123</f>
        <v>185.39841742574</v>
      </c>
      <c r="P1123" s="823" t="n">
        <f aca="false">P1122+O1123</f>
        <v>113927.547421068</v>
      </c>
      <c r="Q1123" s="606" t="n">
        <f aca="false">Q1122+1</f>
        <v>908</v>
      </c>
      <c r="R1123" s="824" t="n">
        <f aca="false">R1122-1</f>
        <v>-908</v>
      </c>
      <c r="S1123" s="5"/>
      <c r="T1123" s="5"/>
      <c r="U1123" s="5"/>
      <c r="V1123" s="10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02"/>
      <c r="AU1123" s="502"/>
      <c r="AV1123" s="606"/>
      <c r="AW1123" s="502"/>
      <c r="AX1123" s="502"/>
      <c r="AY1123" s="502"/>
      <c r="AZ1123" s="502"/>
      <c r="BA1123" s="502"/>
      <c r="BB1123" s="502"/>
      <c r="BC1123" s="502"/>
      <c r="BD1123" s="502"/>
      <c r="BE1123" s="502"/>
      <c r="BF1123" s="502"/>
      <c r="BG1123" s="502"/>
      <c r="BH1123" s="502"/>
      <c r="BI1123" s="502"/>
      <c r="BJ1123" s="502"/>
      <c r="BK1123" s="502"/>
      <c r="BL1123" s="502"/>
      <c r="BM1123" s="502"/>
      <c r="BN1123" s="502"/>
      <c r="BO1123" s="502"/>
      <c r="BP1123" s="5"/>
      <c r="BQ1123" s="5"/>
      <c r="BR1123" s="5"/>
      <c r="BS1123" s="5"/>
      <c r="BT1123" s="5"/>
      <c r="BU1123" s="5"/>
      <c r="BV1123" s="5"/>
      <c r="BW1123" s="5"/>
      <c r="BX1123" s="5"/>
      <c r="BY1123" s="5"/>
      <c r="BZ1123" s="5"/>
      <c r="CA1123" s="5"/>
      <c r="CB1123" s="5"/>
      <c r="CC1123" s="5"/>
      <c r="CD1123" s="5"/>
      <c r="CE1123" s="5"/>
      <c r="CF1123" s="5"/>
      <c r="CG1123" s="5"/>
      <c r="CH1123" s="5"/>
      <c r="CI1123" s="5"/>
      <c r="CJ1123" s="5"/>
      <c r="CK1123" s="5"/>
      <c r="CL1123" s="5"/>
      <c r="CM1123" s="5"/>
      <c r="CN1123" s="5"/>
      <c r="CO1123" s="5"/>
      <c r="CP1123" s="5"/>
      <c r="CQ1123" s="5"/>
      <c r="CR1123" s="5"/>
      <c r="CS1123" s="5"/>
      <c r="CT1123" s="5"/>
      <c r="CU1123" s="5"/>
      <c r="CV1123" s="5"/>
      <c r="CW1123" s="5"/>
      <c r="CX1123" s="5"/>
      <c r="CY1123" s="5"/>
      <c r="CZ1123" s="5"/>
      <c r="DA1123" s="5"/>
      <c r="DB1123" s="5"/>
      <c r="DC1123" s="5"/>
      <c r="DD1123" s="5"/>
      <c r="DE1123" s="5"/>
      <c r="DF1123" s="5"/>
      <c r="DG1123" s="5"/>
      <c r="DH1123" s="5"/>
      <c r="DI1123" s="5"/>
      <c r="DJ1123" s="5"/>
      <c r="DK1123" s="5"/>
      <c r="DL1123" s="5"/>
      <c r="DM1123" s="5"/>
      <c r="DN1123" s="5"/>
      <c r="DO1123" s="5"/>
      <c r="DP1123" s="5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  <c r="HA1123" s="1"/>
      <c r="HB1123" s="1"/>
      <c r="HC1123" s="1"/>
      <c r="HD1123" s="1"/>
      <c r="HE1123" s="1"/>
      <c r="HF1123" s="1"/>
      <c r="HG1123" s="1"/>
      <c r="HH1123" s="1"/>
      <c r="HI1123" s="1"/>
      <c r="HJ1123" s="1"/>
      <c r="HK1123" s="1"/>
      <c r="HL1123" s="1"/>
      <c r="HM1123" s="1"/>
      <c r="HN1123" s="1"/>
      <c r="HO1123" s="1"/>
      <c r="HP1123" s="1"/>
      <c r="HQ1123" s="1"/>
      <c r="HR1123" s="1"/>
      <c r="HS1123" s="1"/>
      <c r="HT1123" s="1"/>
      <c r="HU1123" s="1"/>
      <c r="HV1123" s="1"/>
      <c r="HW1123" s="1"/>
      <c r="HX1123" s="1"/>
      <c r="HY1123" s="1"/>
      <c r="HZ1123" s="1"/>
      <c r="IA1123" s="1"/>
      <c r="IB1123" s="1"/>
      <c r="IC1123" s="1"/>
      <c r="ID1123" s="1"/>
      <c r="IE1123" s="1"/>
      <c r="IF1123" s="1"/>
      <c r="IG1123" s="1"/>
      <c r="IH1123" s="1"/>
      <c r="II1123" s="1"/>
      <c r="IJ1123" s="1"/>
      <c r="IK1123" s="1"/>
      <c r="IL1123" s="1"/>
      <c r="IM1123" s="1"/>
      <c r="IN1123" s="1"/>
      <c r="IO1123" s="1"/>
      <c r="IP1123" s="1"/>
      <c r="IQ1123" s="1"/>
      <c r="IR1123" s="1"/>
      <c r="IS1123" s="1"/>
      <c r="IT1123" s="1"/>
      <c r="IU1123" s="1"/>
      <c r="IV1123" s="1"/>
      <c r="IW1123" s="1"/>
      <c r="IX1123" s="1"/>
      <c r="IY1123" s="1"/>
      <c r="IZ1123" s="1"/>
      <c r="JA1123" s="1"/>
      <c r="JB1123" s="1"/>
      <c r="JC1123" s="1"/>
      <c r="JD1123" s="1"/>
    </row>
    <row r="1124" s="504" customFormat="true" ht="12.75" hidden="true" customHeight="true" outlineLevel="0" collapsed="false">
      <c r="A1124" s="5"/>
      <c r="B1124" s="813" t="n">
        <f aca="false">B1123+1</f>
        <v>909</v>
      </c>
      <c r="C1124" s="814" t="n">
        <f aca="false">C1123+D1124</f>
        <v>136873.675965742</v>
      </c>
      <c r="D1124" s="815" t="n">
        <f aca="false">E1124*$E$205*M1124</f>
        <v>222.635780910888</v>
      </c>
      <c r="E1124" s="601" t="n">
        <f aca="false">E1123+$C$204</f>
        <v>14.1194686016545</v>
      </c>
      <c r="F1124" s="816" t="n">
        <f aca="false">F1123+1</f>
        <v>909</v>
      </c>
      <c r="G1124" s="775" t="n">
        <f aca="false">C1124</f>
        <v>136873.675965742</v>
      </c>
      <c r="H1124" s="817" t="n">
        <f aca="false">1000*(E1124-E1123)</f>
        <v>9.99999999999979</v>
      </c>
      <c r="I1124" s="5"/>
      <c r="J1124" s="818" t="n">
        <f aca="false">1000*(E1124-$E$215)/(B1124-$B$215)</f>
        <v>11.7314299544243</v>
      </c>
      <c r="K1124" s="732" t="n">
        <f aca="false">AVERAGE($E$216:E1124)</f>
        <v>9.57110776557099</v>
      </c>
      <c r="L1124" s="819" t="n">
        <f aca="false">L1123+1</f>
        <v>909</v>
      </c>
      <c r="M1124" s="820" t="n">
        <f aca="false">IF(B1124&lt;$E$104,$E$105,$E$106)</f>
        <v>3</v>
      </c>
      <c r="N1124" s="821" t="n">
        <f aca="false">IF(B1124&lt;$E$104,$E$105,$E$111)</f>
        <v>2.5</v>
      </c>
      <c r="O1124" s="822" t="n">
        <f aca="false">E1124*$E$205*N1124</f>
        <v>185.52981742574</v>
      </c>
      <c r="P1124" s="823" t="n">
        <f aca="false">P1123+O1124</f>
        <v>114113.077238494</v>
      </c>
      <c r="Q1124" s="606" t="n">
        <f aca="false">Q1123+1</f>
        <v>909</v>
      </c>
      <c r="R1124" s="824" t="n">
        <f aca="false">R1123-1</f>
        <v>-909</v>
      </c>
      <c r="S1124" s="5"/>
      <c r="T1124" s="5"/>
      <c r="U1124" s="5"/>
      <c r="V1124" s="10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02"/>
      <c r="AU1124" s="502"/>
      <c r="AV1124" s="606"/>
      <c r="AW1124" s="502"/>
      <c r="AX1124" s="502"/>
      <c r="AY1124" s="502"/>
      <c r="AZ1124" s="502"/>
      <c r="BA1124" s="502"/>
      <c r="BB1124" s="502"/>
      <c r="BC1124" s="502"/>
      <c r="BD1124" s="502"/>
      <c r="BE1124" s="502"/>
      <c r="BF1124" s="502"/>
      <c r="BG1124" s="502"/>
      <c r="BH1124" s="502"/>
      <c r="BI1124" s="502"/>
      <c r="BJ1124" s="502"/>
      <c r="BK1124" s="502"/>
      <c r="BL1124" s="502"/>
      <c r="BM1124" s="502"/>
      <c r="BN1124" s="502"/>
      <c r="BO1124" s="502"/>
      <c r="BP1124" s="5"/>
      <c r="BQ1124" s="5"/>
      <c r="BR1124" s="5"/>
      <c r="BS1124" s="5"/>
      <c r="BT1124" s="5"/>
      <c r="BU1124" s="5"/>
      <c r="BV1124" s="5"/>
      <c r="BW1124" s="5"/>
      <c r="BX1124" s="5"/>
      <c r="BY1124" s="5"/>
      <c r="BZ1124" s="5"/>
      <c r="CA1124" s="5"/>
      <c r="CB1124" s="5"/>
      <c r="CC1124" s="5"/>
      <c r="CD1124" s="5"/>
      <c r="CE1124" s="5"/>
      <c r="CF1124" s="5"/>
      <c r="CG1124" s="5"/>
      <c r="CH1124" s="5"/>
      <c r="CI1124" s="5"/>
      <c r="CJ1124" s="5"/>
      <c r="CK1124" s="5"/>
      <c r="CL1124" s="5"/>
      <c r="CM1124" s="5"/>
      <c r="CN1124" s="5"/>
      <c r="CO1124" s="5"/>
      <c r="CP1124" s="5"/>
      <c r="CQ1124" s="5"/>
      <c r="CR1124" s="5"/>
      <c r="CS1124" s="5"/>
      <c r="CT1124" s="5"/>
      <c r="CU1124" s="5"/>
      <c r="CV1124" s="5"/>
      <c r="CW1124" s="5"/>
      <c r="CX1124" s="5"/>
      <c r="CY1124" s="5"/>
      <c r="CZ1124" s="5"/>
      <c r="DA1124" s="5"/>
      <c r="DB1124" s="5"/>
      <c r="DC1124" s="5"/>
      <c r="DD1124" s="5"/>
      <c r="DE1124" s="5"/>
      <c r="DF1124" s="5"/>
      <c r="DG1124" s="5"/>
      <c r="DH1124" s="5"/>
      <c r="DI1124" s="5"/>
      <c r="DJ1124" s="5"/>
      <c r="DK1124" s="5"/>
      <c r="DL1124" s="5"/>
      <c r="DM1124" s="5"/>
      <c r="DN1124" s="5"/>
      <c r="DO1124" s="5"/>
      <c r="DP1124" s="5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  <c r="HE1124" s="1"/>
      <c r="HF1124" s="1"/>
      <c r="HG1124" s="1"/>
      <c r="HH1124" s="1"/>
      <c r="HI1124" s="1"/>
      <c r="HJ1124" s="1"/>
      <c r="HK1124" s="1"/>
      <c r="HL1124" s="1"/>
      <c r="HM1124" s="1"/>
      <c r="HN1124" s="1"/>
      <c r="HO1124" s="1"/>
      <c r="HP1124" s="1"/>
      <c r="HQ1124" s="1"/>
      <c r="HR1124" s="1"/>
      <c r="HS1124" s="1"/>
      <c r="HT1124" s="1"/>
      <c r="HU1124" s="1"/>
      <c r="HV1124" s="1"/>
      <c r="HW1124" s="1"/>
      <c r="HX1124" s="1"/>
      <c r="HY1124" s="1"/>
      <c r="HZ1124" s="1"/>
      <c r="IA1124" s="1"/>
      <c r="IB1124" s="1"/>
      <c r="IC1124" s="1"/>
      <c r="ID1124" s="1"/>
      <c r="IE1124" s="1"/>
      <c r="IF1124" s="1"/>
      <c r="IG1124" s="1"/>
      <c r="IH1124" s="1"/>
      <c r="II1124" s="1"/>
      <c r="IJ1124" s="1"/>
      <c r="IK1124" s="1"/>
      <c r="IL1124" s="1"/>
      <c r="IM1124" s="1"/>
      <c r="IN1124" s="1"/>
      <c r="IO1124" s="1"/>
      <c r="IP1124" s="1"/>
      <c r="IQ1124" s="1"/>
      <c r="IR1124" s="1"/>
      <c r="IS1124" s="1"/>
      <c r="IT1124" s="1"/>
      <c r="IU1124" s="1"/>
      <c r="IV1124" s="1"/>
      <c r="IW1124" s="1"/>
      <c r="IX1124" s="1"/>
      <c r="IY1124" s="1"/>
      <c r="IZ1124" s="1"/>
      <c r="JA1124" s="1"/>
      <c r="JB1124" s="1"/>
      <c r="JC1124" s="1"/>
      <c r="JD1124" s="1"/>
    </row>
    <row r="1125" s="504" customFormat="true" ht="12.75" hidden="true" customHeight="true" outlineLevel="0" collapsed="false">
      <c r="A1125" s="5"/>
      <c r="B1125" s="813" t="n">
        <f aca="false">B1124+1</f>
        <v>910</v>
      </c>
      <c r="C1125" s="814" t="n">
        <f aca="false">C1124+D1125</f>
        <v>137096.469426652</v>
      </c>
      <c r="D1125" s="815" t="n">
        <f aca="false">E1125*$E$205*M1125</f>
        <v>222.793460910888</v>
      </c>
      <c r="E1125" s="601" t="n">
        <f aca="false">E1124+$C$204</f>
        <v>14.1294686016545</v>
      </c>
      <c r="F1125" s="816" t="n">
        <f aca="false">F1124+1</f>
        <v>910</v>
      </c>
      <c r="G1125" s="775" t="n">
        <f aca="false">C1125</f>
        <v>137096.469426652</v>
      </c>
      <c r="H1125" s="817" t="n">
        <f aca="false">1000*(E1125-E1124)</f>
        <v>9.99999999999979</v>
      </c>
      <c r="I1125" s="5"/>
      <c r="J1125" s="818" t="n">
        <f aca="false">1000*(E1125-$E$215)/(B1125-$B$215)</f>
        <v>11.7295272841447</v>
      </c>
      <c r="K1125" s="732" t="n">
        <f aca="false">AVERAGE($E$216:E1125)</f>
        <v>9.57611695330295</v>
      </c>
      <c r="L1125" s="819" t="n">
        <f aca="false">L1124+1</f>
        <v>910</v>
      </c>
      <c r="M1125" s="820" t="n">
        <f aca="false">IF(B1125&lt;$E$104,$E$105,$E$106)</f>
        <v>3</v>
      </c>
      <c r="N1125" s="821" t="n">
        <f aca="false">IF(B1125&lt;$E$104,$E$105,$E$111)</f>
        <v>2.5</v>
      </c>
      <c r="O1125" s="822" t="n">
        <f aca="false">E1125*$E$205*N1125</f>
        <v>185.66121742574</v>
      </c>
      <c r="P1125" s="823" t="n">
        <f aca="false">P1124+O1125</f>
        <v>114298.73845592</v>
      </c>
      <c r="Q1125" s="606" t="n">
        <f aca="false">Q1124+1</f>
        <v>910</v>
      </c>
      <c r="R1125" s="824" t="n">
        <f aca="false">R1124-1</f>
        <v>-910</v>
      </c>
      <c r="S1125" s="5"/>
      <c r="T1125" s="5"/>
      <c r="U1125" s="5"/>
      <c r="V1125" s="10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02"/>
      <c r="AU1125" s="502"/>
      <c r="AV1125" s="606"/>
      <c r="AW1125" s="502"/>
      <c r="AX1125" s="502"/>
      <c r="AY1125" s="502"/>
      <c r="AZ1125" s="502"/>
      <c r="BA1125" s="502"/>
      <c r="BB1125" s="502"/>
      <c r="BC1125" s="502"/>
      <c r="BD1125" s="502"/>
      <c r="BE1125" s="502"/>
      <c r="BF1125" s="502"/>
      <c r="BG1125" s="502"/>
      <c r="BH1125" s="502"/>
      <c r="BI1125" s="502"/>
      <c r="BJ1125" s="502"/>
      <c r="BK1125" s="502"/>
      <c r="BL1125" s="502"/>
      <c r="BM1125" s="502"/>
      <c r="BN1125" s="502"/>
      <c r="BO1125" s="502"/>
      <c r="BP1125" s="5"/>
      <c r="BQ1125" s="5"/>
      <c r="BR1125" s="5"/>
      <c r="BS1125" s="5"/>
      <c r="BT1125" s="5"/>
      <c r="BU1125" s="5"/>
      <c r="BV1125" s="5"/>
      <c r="BW1125" s="5"/>
      <c r="BX1125" s="5"/>
      <c r="BY1125" s="5"/>
      <c r="BZ1125" s="5"/>
      <c r="CA1125" s="5"/>
      <c r="CB1125" s="5"/>
      <c r="CC1125" s="5"/>
      <c r="CD1125" s="5"/>
      <c r="CE1125" s="5"/>
      <c r="CF1125" s="5"/>
      <c r="CG1125" s="5"/>
      <c r="CH1125" s="5"/>
      <c r="CI1125" s="5"/>
      <c r="CJ1125" s="5"/>
      <c r="CK1125" s="5"/>
      <c r="CL1125" s="5"/>
      <c r="CM1125" s="5"/>
      <c r="CN1125" s="5"/>
      <c r="CO1125" s="5"/>
      <c r="CP1125" s="5"/>
      <c r="CQ1125" s="5"/>
      <c r="CR1125" s="5"/>
      <c r="CS1125" s="5"/>
      <c r="CT1125" s="5"/>
      <c r="CU1125" s="5"/>
      <c r="CV1125" s="5"/>
      <c r="CW1125" s="5"/>
      <c r="CX1125" s="5"/>
      <c r="CY1125" s="5"/>
      <c r="CZ1125" s="5"/>
      <c r="DA1125" s="5"/>
      <c r="DB1125" s="5"/>
      <c r="DC1125" s="5"/>
      <c r="DD1125" s="5"/>
      <c r="DE1125" s="5"/>
      <c r="DF1125" s="5"/>
      <c r="DG1125" s="5"/>
      <c r="DH1125" s="5"/>
      <c r="DI1125" s="5"/>
      <c r="DJ1125" s="5"/>
      <c r="DK1125" s="5"/>
      <c r="DL1125" s="5"/>
      <c r="DM1125" s="5"/>
      <c r="DN1125" s="5"/>
      <c r="DO1125" s="5"/>
      <c r="DP1125" s="5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  <c r="GY1125" s="1"/>
      <c r="GZ1125" s="1"/>
      <c r="HA1125" s="1"/>
      <c r="HB1125" s="1"/>
      <c r="HC1125" s="1"/>
      <c r="HD1125" s="1"/>
      <c r="HE1125" s="1"/>
      <c r="HF1125" s="1"/>
      <c r="HG1125" s="1"/>
      <c r="HH1125" s="1"/>
      <c r="HI1125" s="1"/>
      <c r="HJ1125" s="1"/>
      <c r="HK1125" s="1"/>
      <c r="HL1125" s="1"/>
      <c r="HM1125" s="1"/>
      <c r="HN1125" s="1"/>
      <c r="HO1125" s="1"/>
      <c r="HP1125" s="1"/>
      <c r="HQ1125" s="1"/>
      <c r="HR1125" s="1"/>
      <c r="HS1125" s="1"/>
      <c r="HT1125" s="1"/>
      <c r="HU1125" s="1"/>
      <c r="HV1125" s="1"/>
      <c r="HW1125" s="1"/>
      <c r="HX1125" s="1"/>
      <c r="HY1125" s="1"/>
      <c r="HZ1125" s="1"/>
      <c r="IA1125" s="1"/>
      <c r="IB1125" s="1"/>
      <c r="IC1125" s="1"/>
      <c r="ID1125" s="1"/>
      <c r="IE1125" s="1"/>
      <c r="IF1125" s="1"/>
      <c r="IG1125" s="1"/>
      <c r="IH1125" s="1"/>
      <c r="II1125" s="1"/>
      <c r="IJ1125" s="1"/>
      <c r="IK1125" s="1"/>
      <c r="IL1125" s="1"/>
      <c r="IM1125" s="1"/>
      <c r="IN1125" s="1"/>
      <c r="IO1125" s="1"/>
      <c r="IP1125" s="1"/>
      <c r="IQ1125" s="1"/>
      <c r="IR1125" s="1"/>
      <c r="IS1125" s="1"/>
      <c r="IT1125" s="1"/>
      <c r="IU1125" s="1"/>
      <c r="IV1125" s="1"/>
      <c r="IW1125" s="1"/>
      <c r="IX1125" s="1"/>
      <c r="IY1125" s="1"/>
      <c r="IZ1125" s="1"/>
      <c r="JA1125" s="1"/>
      <c r="JB1125" s="1"/>
      <c r="JC1125" s="1"/>
      <c r="JD1125" s="1"/>
    </row>
    <row r="1126" s="504" customFormat="true" ht="12.75" hidden="true" customHeight="true" outlineLevel="0" collapsed="false">
      <c r="A1126" s="5"/>
      <c r="B1126" s="813" t="n">
        <f aca="false">B1125+1</f>
        <v>911</v>
      </c>
      <c r="C1126" s="814" t="n">
        <f aca="false">C1125+D1126</f>
        <v>137319.420567563</v>
      </c>
      <c r="D1126" s="815" t="n">
        <f aca="false">E1126*$E$205*M1126</f>
        <v>222.951140910888</v>
      </c>
      <c r="E1126" s="601" t="n">
        <f aca="false">E1125+$C$204</f>
        <v>14.1394686016545</v>
      </c>
      <c r="F1126" s="816" t="n">
        <f aca="false">F1125+1</f>
        <v>911</v>
      </c>
      <c r="G1126" s="775" t="n">
        <f aca="false">C1126</f>
        <v>137319.420567563</v>
      </c>
      <c r="H1126" s="817" t="n">
        <f aca="false">1000*(E1126-E1125)</f>
        <v>9.99999999999979</v>
      </c>
      <c r="I1126" s="5"/>
      <c r="J1126" s="818" t="n">
        <f aca="false">1000*(E1126-$E$215)/(B1126-$B$215)</f>
        <v>11.7276287909678</v>
      </c>
      <c r="K1126" s="732" t="n">
        <f aca="false">AVERAGE($E$216:E1126)</f>
        <v>9.58112612086426</v>
      </c>
      <c r="L1126" s="819" t="n">
        <f aca="false">L1125+1</f>
        <v>911</v>
      </c>
      <c r="M1126" s="820" t="n">
        <f aca="false">IF(B1126&lt;$E$104,$E$105,$E$106)</f>
        <v>3</v>
      </c>
      <c r="N1126" s="821" t="n">
        <f aca="false">IF(B1126&lt;$E$104,$E$105,$E$111)</f>
        <v>2.5</v>
      </c>
      <c r="O1126" s="822" t="n">
        <f aca="false">E1126*$E$205*N1126</f>
        <v>185.79261742574</v>
      </c>
      <c r="P1126" s="823" t="n">
        <f aca="false">P1125+O1126</f>
        <v>114484.531073346</v>
      </c>
      <c r="Q1126" s="606" t="n">
        <f aca="false">Q1125+1</f>
        <v>911</v>
      </c>
      <c r="R1126" s="824" t="n">
        <f aca="false">R1125-1</f>
        <v>-911</v>
      </c>
      <c r="S1126" s="5"/>
      <c r="T1126" s="5"/>
      <c r="U1126" s="5"/>
      <c r="V1126" s="10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02"/>
      <c r="AU1126" s="502"/>
      <c r="AV1126" s="606"/>
      <c r="AW1126" s="502"/>
      <c r="AX1126" s="502"/>
      <c r="AY1126" s="502"/>
      <c r="AZ1126" s="502"/>
      <c r="BA1126" s="502"/>
      <c r="BB1126" s="502"/>
      <c r="BC1126" s="502"/>
      <c r="BD1126" s="502"/>
      <c r="BE1126" s="502"/>
      <c r="BF1126" s="502"/>
      <c r="BG1126" s="502"/>
      <c r="BH1126" s="502"/>
      <c r="BI1126" s="502"/>
      <c r="BJ1126" s="502"/>
      <c r="BK1126" s="502"/>
      <c r="BL1126" s="502"/>
      <c r="BM1126" s="502"/>
      <c r="BN1126" s="502"/>
      <c r="BO1126" s="502"/>
      <c r="BP1126" s="5"/>
      <c r="BQ1126" s="5"/>
      <c r="BR1126" s="5"/>
      <c r="BS1126" s="5"/>
      <c r="BT1126" s="5"/>
      <c r="BU1126" s="5"/>
      <c r="BV1126" s="5"/>
      <c r="BW1126" s="5"/>
      <c r="BX1126" s="5"/>
      <c r="BY1126" s="5"/>
      <c r="BZ1126" s="5"/>
      <c r="CA1126" s="5"/>
      <c r="CB1126" s="5"/>
      <c r="CC1126" s="5"/>
      <c r="CD1126" s="5"/>
      <c r="CE1126" s="5"/>
      <c r="CF1126" s="5"/>
      <c r="CG1126" s="5"/>
      <c r="CH1126" s="5"/>
      <c r="CI1126" s="5"/>
      <c r="CJ1126" s="5"/>
      <c r="CK1126" s="5"/>
      <c r="CL1126" s="5"/>
      <c r="CM1126" s="5"/>
      <c r="CN1126" s="5"/>
      <c r="CO1126" s="5"/>
      <c r="CP1126" s="5"/>
      <c r="CQ1126" s="5"/>
      <c r="CR1126" s="5"/>
      <c r="CS1126" s="5"/>
      <c r="CT1126" s="5"/>
      <c r="CU1126" s="5"/>
      <c r="CV1126" s="5"/>
      <c r="CW1126" s="5"/>
      <c r="CX1126" s="5"/>
      <c r="CY1126" s="5"/>
      <c r="CZ1126" s="5"/>
      <c r="DA1126" s="5"/>
      <c r="DB1126" s="5"/>
      <c r="DC1126" s="5"/>
      <c r="DD1126" s="5"/>
      <c r="DE1126" s="5"/>
      <c r="DF1126" s="5"/>
      <c r="DG1126" s="5"/>
      <c r="DH1126" s="5"/>
      <c r="DI1126" s="5"/>
      <c r="DJ1126" s="5"/>
      <c r="DK1126" s="5"/>
      <c r="DL1126" s="5"/>
      <c r="DM1126" s="5"/>
      <c r="DN1126" s="5"/>
      <c r="DO1126" s="5"/>
      <c r="DP1126" s="5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1"/>
      <c r="HA1126" s="1"/>
      <c r="HB1126" s="1"/>
      <c r="HC1126" s="1"/>
      <c r="HD1126" s="1"/>
      <c r="HE1126" s="1"/>
      <c r="HF1126" s="1"/>
      <c r="HG1126" s="1"/>
      <c r="HH1126" s="1"/>
      <c r="HI1126" s="1"/>
      <c r="HJ1126" s="1"/>
      <c r="HK1126" s="1"/>
      <c r="HL1126" s="1"/>
      <c r="HM1126" s="1"/>
      <c r="HN1126" s="1"/>
      <c r="HO1126" s="1"/>
      <c r="HP1126" s="1"/>
      <c r="HQ1126" s="1"/>
      <c r="HR1126" s="1"/>
      <c r="HS1126" s="1"/>
      <c r="HT1126" s="1"/>
      <c r="HU1126" s="1"/>
      <c r="HV1126" s="1"/>
      <c r="HW1126" s="1"/>
      <c r="HX1126" s="1"/>
      <c r="HY1126" s="1"/>
      <c r="HZ1126" s="1"/>
      <c r="IA1126" s="1"/>
      <c r="IB1126" s="1"/>
      <c r="IC1126" s="1"/>
      <c r="ID1126" s="1"/>
      <c r="IE1126" s="1"/>
      <c r="IF1126" s="1"/>
      <c r="IG1126" s="1"/>
      <c r="IH1126" s="1"/>
      <c r="II1126" s="1"/>
      <c r="IJ1126" s="1"/>
      <c r="IK1126" s="1"/>
      <c r="IL1126" s="1"/>
      <c r="IM1126" s="1"/>
      <c r="IN1126" s="1"/>
      <c r="IO1126" s="1"/>
      <c r="IP1126" s="1"/>
      <c r="IQ1126" s="1"/>
      <c r="IR1126" s="1"/>
      <c r="IS1126" s="1"/>
      <c r="IT1126" s="1"/>
      <c r="IU1126" s="1"/>
      <c r="IV1126" s="1"/>
      <c r="IW1126" s="1"/>
      <c r="IX1126" s="1"/>
      <c r="IY1126" s="1"/>
      <c r="IZ1126" s="1"/>
      <c r="JA1126" s="1"/>
      <c r="JB1126" s="1"/>
      <c r="JC1126" s="1"/>
      <c r="JD1126" s="1"/>
    </row>
    <row r="1127" s="504" customFormat="true" ht="12.75" hidden="true" customHeight="true" outlineLevel="0" collapsed="false">
      <c r="A1127" s="5"/>
      <c r="B1127" s="813" t="n">
        <f aca="false">B1126+1</f>
        <v>912</v>
      </c>
      <c r="C1127" s="814" t="n">
        <f aca="false">C1126+D1127</f>
        <v>137542.529388474</v>
      </c>
      <c r="D1127" s="815" t="n">
        <f aca="false">E1127*$E$205*M1127</f>
        <v>223.108820910888</v>
      </c>
      <c r="E1127" s="601" t="n">
        <f aca="false">E1126+$C$204</f>
        <v>14.1494686016545</v>
      </c>
      <c r="F1127" s="816" t="n">
        <f aca="false">F1126+1</f>
        <v>912</v>
      </c>
      <c r="G1127" s="775" t="n">
        <f aca="false">C1127</f>
        <v>137542.529388474</v>
      </c>
      <c r="H1127" s="817" t="n">
        <f aca="false">1000*(E1127-E1126)</f>
        <v>9.99999999999979</v>
      </c>
      <c r="I1127" s="5"/>
      <c r="J1127" s="818" t="n">
        <f aca="false">1000*(E1127-$E$215)/(B1127-$B$215)</f>
        <v>11.7257344611531</v>
      </c>
      <c r="K1127" s="732" t="n">
        <f aca="false">AVERAGE($E$216:E1127)</f>
        <v>9.58613526832126</v>
      </c>
      <c r="L1127" s="819" t="n">
        <f aca="false">L1126+1</f>
        <v>912</v>
      </c>
      <c r="M1127" s="820" t="n">
        <f aca="false">IF(B1127&lt;$E$104,$E$105,$E$106)</f>
        <v>3</v>
      </c>
      <c r="N1127" s="821" t="n">
        <f aca="false">IF(B1127&lt;$E$104,$E$105,$E$111)</f>
        <v>2.5</v>
      </c>
      <c r="O1127" s="822" t="n">
        <f aca="false">E1127*$E$205*N1127</f>
        <v>185.92401742574</v>
      </c>
      <c r="P1127" s="823" t="n">
        <f aca="false">P1126+O1127</f>
        <v>114670.455090771</v>
      </c>
      <c r="Q1127" s="606" t="n">
        <f aca="false">Q1126+1</f>
        <v>912</v>
      </c>
      <c r="R1127" s="824" t="n">
        <f aca="false">R1126-1</f>
        <v>-912</v>
      </c>
      <c r="S1127" s="5"/>
      <c r="T1127" s="5"/>
      <c r="U1127" s="5"/>
      <c r="V1127" s="10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02"/>
      <c r="AU1127" s="502"/>
      <c r="AV1127" s="606"/>
      <c r="AW1127" s="502"/>
      <c r="AX1127" s="502"/>
      <c r="AY1127" s="502"/>
      <c r="AZ1127" s="502"/>
      <c r="BA1127" s="502"/>
      <c r="BB1127" s="502"/>
      <c r="BC1127" s="502"/>
      <c r="BD1127" s="502"/>
      <c r="BE1127" s="502"/>
      <c r="BF1127" s="502"/>
      <c r="BG1127" s="502"/>
      <c r="BH1127" s="502"/>
      <c r="BI1127" s="502"/>
      <c r="BJ1127" s="502"/>
      <c r="BK1127" s="502"/>
      <c r="BL1127" s="502"/>
      <c r="BM1127" s="502"/>
      <c r="BN1127" s="502"/>
      <c r="BO1127" s="502"/>
      <c r="BP1127" s="5"/>
      <c r="BQ1127" s="5"/>
      <c r="BR1127" s="5"/>
      <c r="BS1127" s="5"/>
      <c r="BT1127" s="5"/>
      <c r="BU1127" s="5"/>
      <c r="BV1127" s="5"/>
      <c r="BW1127" s="5"/>
      <c r="BX1127" s="5"/>
      <c r="BY1127" s="5"/>
      <c r="BZ1127" s="5"/>
      <c r="CA1127" s="5"/>
      <c r="CB1127" s="5"/>
      <c r="CC1127" s="5"/>
      <c r="CD1127" s="5"/>
      <c r="CE1127" s="5"/>
      <c r="CF1127" s="5"/>
      <c r="CG1127" s="5"/>
      <c r="CH1127" s="5"/>
      <c r="CI1127" s="5"/>
      <c r="CJ1127" s="5"/>
      <c r="CK1127" s="5"/>
      <c r="CL1127" s="5"/>
      <c r="CM1127" s="5"/>
      <c r="CN1127" s="5"/>
      <c r="CO1127" s="5"/>
      <c r="CP1127" s="5"/>
      <c r="CQ1127" s="5"/>
      <c r="CR1127" s="5"/>
      <c r="CS1127" s="5"/>
      <c r="CT1127" s="5"/>
      <c r="CU1127" s="5"/>
      <c r="CV1127" s="5"/>
      <c r="CW1127" s="5"/>
      <c r="CX1127" s="5"/>
      <c r="CY1127" s="5"/>
      <c r="CZ1127" s="5"/>
      <c r="DA1127" s="5"/>
      <c r="DB1127" s="5"/>
      <c r="DC1127" s="5"/>
      <c r="DD1127" s="5"/>
      <c r="DE1127" s="5"/>
      <c r="DF1127" s="5"/>
      <c r="DG1127" s="5"/>
      <c r="DH1127" s="5"/>
      <c r="DI1127" s="5"/>
      <c r="DJ1127" s="5"/>
      <c r="DK1127" s="5"/>
      <c r="DL1127" s="5"/>
      <c r="DM1127" s="5"/>
      <c r="DN1127" s="5"/>
      <c r="DO1127" s="5"/>
      <c r="DP1127" s="5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  <c r="GY1127" s="1"/>
      <c r="GZ1127" s="1"/>
      <c r="HA1127" s="1"/>
      <c r="HB1127" s="1"/>
      <c r="HC1127" s="1"/>
      <c r="HD1127" s="1"/>
      <c r="HE1127" s="1"/>
      <c r="HF1127" s="1"/>
      <c r="HG1127" s="1"/>
      <c r="HH1127" s="1"/>
      <c r="HI1127" s="1"/>
      <c r="HJ1127" s="1"/>
      <c r="HK1127" s="1"/>
      <c r="HL1127" s="1"/>
      <c r="HM1127" s="1"/>
      <c r="HN1127" s="1"/>
      <c r="HO1127" s="1"/>
      <c r="HP1127" s="1"/>
      <c r="HQ1127" s="1"/>
      <c r="HR1127" s="1"/>
      <c r="HS1127" s="1"/>
      <c r="HT1127" s="1"/>
      <c r="HU1127" s="1"/>
      <c r="HV1127" s="1"/>
      <c r="HW1127" s="1"/>
      <c r="HX1127" s="1"/>
      <c r="HY1127" s="1"/>
      <c r="HZ1127" s="1"/>
      <c r="IA1127" s="1"/>
      <c r="IB1127" s="1"/>
      <c r="IC1127" s="1"/>
      <c r="ID1127" s="1"/>
      <c r="IE1127" s="1"/>
      <c r="IF1127" s="1"/>
      <c r="IG1127" s="1"/>
      <c r="IH1127" s="1"/>
      <c r="II1127" s="1"/>
      <c r="IJ1127" s="1"/>
      <c r="IK1127" s="1"/>
      <c r="IL1127" s="1"/>
      <c r="IM1127" s="1"/>
      <c r="IN1127" s="1"/>
      <c r="IO1127" s="1"/>
      <c r="IP1127" s="1"/>
      <c r="IQ1127" s="1"/>
      <c r="IR1127" s="1"/>
      <c r="IS1127" s="1"/>
      <c r="IT1127" s="1"/>
      <c r="IU1127" s="1"/>
      <c r="IV1127" s="1"/>
      <c r="IW1127" s="1"/>
      <c r="IX1127" s="1"/>
      <c r="IY1127" s="1"/>
      <c r="IZ1127" s="1"/>
      <c r="JA1127" s="1"/>
      <c r="JB1127" s="1"/>
      <c r="JC1127" s="1"/>
      <c r="JD1127" s="1"/>
    </row>
    <row r="1128" s="504" customFormat="true" ht="12.75" hidden="true" customHeight="true" outlineLevel="0" collapsed="false">
      <c r="A1128" s="5"/>
      <c r="B1128" s="813" t="n">
        <f aca="false">B1127+1</f>
        <v>913</v>
      </c>
      <c r="C1128" s="814" t="n">
        <f aca="false">C1127+D1128</f>
        <v>137765.795889385</v>
      </c>
      <c r="D1128" s="815" t="n">
        <f aca="false">E1128*$E$205*M1128</f>
        <v>223.266500910888</v>
      </c>
      <c r="E1128" s="601" t="n">
        <f aca="false">E1127+$C$204</f>
        <v>14.1594686016545</v>
      </c>
      <c r="F1128" s="816" t="n">
        <f aca="false">F1127+1</f>
        <v>913</v>
      </c>
      <c r="G1128" s="775" t="n">
        <f aca="false">C1128</f>
        <v>137765.795889385</v>
      </c>
      <c r="H1128" s="817" t="n">
        <f aca="false">1000*(E1128-E1127)</f>
        <v>9.99999999999979</v>
      </c>
      <c r="I1128" s="5"/>
      <c r="J1128" s="818" t="n">
        <f aca="false">1000*(E1128-$E$215)/(B1128-$B$215)</f>
        <v>11.7238442810204</v>
      </c>
      <c r="K1128" s="732" t="n">
        <f aca="false">AVERAGE($E$216:E1128)</f>
        <v>9.59114439574003</v>
      </c>
      <c r="L1128" s="819" t="n">
        <f aca="false">L1127+1</f>
        <v>913</v>
      </c>
      <c r="M1128" s="820" t="n">
        <f aca="false">IF(B1128&lt;$E$104,$E$105,$E$106)</f>
        <v>3</v>
      </c>
      <c r="N1128" s="821" t="n">
        <f aca="false">IF(B1128&lt;$E$104,$E$105,$E$111)</f>
        <v>2.5</v>
      </c>
      <c r="O1128" s="822" t="n">
        <f aca="false">E1128*$E$205*N1128</f>
        <v>186.05541742574</v>
      </c>
      <c r="P1128" s="823" t="n">
        <f aca="false">P1127+O1128</f>
        <v>114856.510508197</v>
      </c>
      <c r="Q1128" s="606" t="n">
        <f aca="false">Q1127+1</f>
        <v>913</v>
      </c>
      <c r="R1128" s="824" t="n">
        <f aca="false">R1127-1</f>
        <v>-913</v>
      </c>
      <c r="S1128" s="5"/>
      <c r="T1128" s="5"/>
      <c r="U1128" s="5"/>
      <c r="V1128" s="10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02"/>
      <c r="AU1128" s="502"/>
      <c r="AV1128" s="606"/>
      <c r="AW1128" s="502"/>
      <c r="AX1128" s="502"/>
      <c r="AY1128" s="502"/>
      <c r="AZ1128" s="502"/>
      <c r="BA1128" s="502"/>
      <c r="BB1128" s="502"/>
      <c r="BC1128" s="502"/>
      <c r="BD1128" s="502"/>
      <c r="BE1128" s="502"/>
      <c r="BF1128" s="502"/>
      <c r="BG1128" s="502"/>
      <c r="BH1128" s="502"/>
      <c r="BI1128" s="502"/>
      <c r="BJ1128" s="502"/>
      <c r="BK1128" s="502"/>
      <c r="BL1128" s="502"/>
      <c r="BM1128" s="502"/>
      <c r="BN1128" s="502"/>
      <c r="BO1128" s="502"/>
      <c r="BP1128" s="5"/>
      <c r="BQ1128" s="5"/>
      <c r="BR1128" s="5"/>
      <c r="BS1128" s="5"/>
      <c r="BT1128" s="5"/>
      <c r="BU1128" s="5"/>
      <c r="BV1128" s="5"/>
      <c r="BW1128" s="5"/>
      <c r="BX1128" s="5"/>
      <c r="BY1128" s="5"/>
      <c r="BZ1128" s="5"/>
      <c r="CA1128" s="5"/>
      <c r="CB1128" s="5"/>
      <c r="CC1128" s="5"/>
      <c r="CD1128" s="5"/>
      <c r="CE1128" s="5"/>
      <c r="CF1128" s="5"/>
      <c r="CG1128" s="5"/>
      <c r="CH1128" s="5"/>
      <c r="CI1128" s="5"/>
      <c r="CJ1128" s="5"/>
      <c r="CK1128" s="5"/>
      <c r="CL1128" s="5"/>
      <c r="CM1128" s="5"/>
      <c r="CN1128" s="5"/>
      <c r="CO1128" s="5"/>
      <c r="CP1128" s="5"/>
      <c r="CQ1128" s="5"/>
      <c r="CR1128" s="5"/>
      <c r="CS1128" s="5"/>
      <c r="CT1128" s="5"/>
      <c r="CU1128" s="5"/>
      <c r="CV1128" s="5"/>
      <c r="CW1128" s="5"/>
      <c r="CX1128" s="5"/>
      <c r="CY1128" s="5"/>
      <c r="CZ1128" s="5"/>
      <c r="DA1128" s="5"/>
      <c r="DB1128" s="5"/>
      <c r="DC1128" s="5"/>
      <c r="DD1128" s="5"/>
      <c r="DE1128" s="5"/>
      <c r="DF1128" s="5"/>
      <c r="DG1128" s="5"/>
      <c r="DH1128" s="5"/>
      <c r="DI1128" s="5"/>
      <c r="DJ1128" s="5"/>
      <c r="DK1128" s="5"/>
      <c r="DL1128" s="5"/>
      <c r="DM1128" s="5"/>
      <c r="DN1128" s="5"/>
      <c r="DO1128" s="5"/>
      <c r="DP1128" s="5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  <c r="HA1128" s="1"/>
      <c r="HB1128" s="1"/>
      <c r="HC1128" s="1"/>
      <c r="HD1128" s="1"/>
      <c r="HE1128" s="1"/>
      <c r="HF1128" s="1"/>
      <c r="HG1128" s="1"/>
      <c r="HH1128" s="1"/>
      <c r="HI1128" s="1"/>
      <c r="HJ1128" s="1"/>
      <c r="HK1128" s="1"/>
      <c r="HL1128" s="1"/>
      <c r="HM1128" s="1"/>
      <c r="HN1128" s="1"/>
      <c r="HO1128" s="1"/>
      <c r="HP1128" s="1"/>
      <c r="HQ1128" s="1"/>
      <c r="HR1128" s="1"/>
      <c r="HS1128" s="1"/>
      <c r="HT1128" s="1"/>
      <c r="HU1128" s="1"/>
      <c r="HV1128" s="1"/>
      <c r="HW1128" s="1"/>
      <c r="HX1128" s="1"/>
      <c r="HY1128" s="1"/>
      <c r="HZ1128" s="1"/>
      <c r="IA1128" s="1"/>
      <c r="IB1128" s="1"/>
      <c r="IC1128" s="1"/>
      <c r="ID1128" s="1"/>
      <c r="IE1128" s="1"/>
      <c r="IF1128" s="1"/>
      <c r="IG1128" s="1"/>
      <c r="IH1128" s="1"/>
      <c r="II1128" s="1"/>
      <c r="IJ1128" s="1"/>
      <c r="IK1128" s="1"/>
      <c r="IL1128" s="1"/>
      <c r="IM1128" s="1"/>
      <c r="IN1128" s="1"/>
      <c r="IO1128" s="1"/>
      <c r="IP1128" s="1"/>
      <c r="IQ1128" s="1"/>
      <c r="IR1128" s="1"/>
      <c r="IS1128" s="1"/>
      <c r="IT1128" s="1"/>
      <c r="IU1128" s="1"/>
      <c r="IV1128" s="1"/>
      <c r="IW1128" s="1"/>
      <c r="IX1128" s="1"/>
      <c r="IY1128" s="1"/>
      <c r="IZ1128" s="1"/>
      <c r="JA1128" s="1"/>
      <c r="JB1128" s="1"/>
      <c r="JC1128" s="1"/>
      <c r="JD1128" s="1"/>
    </row>
    <row r="1129" s="504" customFormat="true" ht="12.75" hidden="true" customHeight="true" outlineLevel="0" collapsed="false">
      <c r="A1129" s="5"/>
      <c r="B1129" s="813" t="n">
        <f aca="false">B1128+1</f>
        <v>914</v>
      </c>
      <c r="C1129" s="814" t="n">
        <f aca="false">C1128+D1129</f>
        <v>137989.220070296</v>
      </c>
      <c r="D1129" s="815" t="n">
        <f aca="false">E1129*$E$205*M1129</f>
        <v>223.424180910888</v>
      </c>
      <c r="E1129" s="601" t="n">
        <f aca="false">E1128+$C$204</f>
        <v>14.1694686016545</v>
      </c>
      <c r="F1129" s="816" t="n">
        <f aca="false">F1128+1</f>
        <v>914</v>
      </c>
      <c r="G1129" s="775" t="n">
        <f aca="false">C1129</f>
        <v>137989.220070296</v>
      </c>
      <c r="H1129" s="817" t="n">
        <f aca="false">1000*(E1129-E1128)</f>
        <v>9.99999999999979</v>
      </c>
      <c r="I1129" s="5"/>
      <c r="J1129" s="818" t="n">
        <f aca="false">1000*(E1129-$E$215)/(B1129-$B$215)</f>
        <v>11.7219582369493</v>
      </c>
      <c r="K1129" s="732" t="n">
        <f aca="false">AVERAGE($E$216:E1129)</f>
        <v>9.59615350318632</v>
      </c>
      <c r="L1129" s="819" t="n">
        <f aca="false">L1128+1</f>
        <v>914</v>
      </c>
      <c r="M1129" s="820" t="n">
        <f aca="false">IF(B1129&lt;$E$104,$E$105,$E$106)</f>
        <v>3</v>
      </c>
      <c r="N1129" s="821" t="n">
        <f aca="false">IF(B1129&lt;$E$104,$E$105,$E$111)</f>
        <v>2.5</v>
      </c>
      <c r="O1129" s="822" t="n">
        <f aca="false">E1129*$E$205*N1129</f>
        <v>186.18681742574</v>
      </c>
      <c r="P1129" s="823" t="n">
        <f aca="false">P1128+O1129</f>
        <v>115042.697325623</v>
      </c>
      <c r="Q1129" s="606" t="n">
        <f aca="false">Q1128+1</f>
        <v>914</v>
      </c>
      <c r="R1129" s="824" t="n">
        <f aca="false">R1128-1</f>
        <v>-914</v>
      </c>
      <c r="S1129" s="5"/>
      <c r="T1129" s="5"/>
      <c r="U1129" s="5"/>
      <c r="V1129" s="10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02"/>
      <c r="AU1129" s="502"/>
      <c r="AV1129" s="606"/>
      <c r="AW1129" s="502"/>
      <c r="AX1129" s="502"/>
      <c r="AY1129" s="502"/>
      <c r="AZ1129" s="502"/>
      <c r="BA1129" s="502"/>
      <c r="BB1129" s="502"/>
      <c r="BC1129" s="502"/>
      <c r="BD1129" s="502"/>
      <c r="BE1129" s="502"/>
      <c r="BF1129" s="502"/>
      <c r="BG1129" s="502"/>
      <c r="BH1129" s="502"/>
      <c r="BI1129" s="502"/>
      <c r="BJ1129" s="502"/>
      <c r="BK1129" s="502"/>
      <c r="BL1129" s="502"/>
      <c r="BM1129" s="502"/>
      <c r="BN1129" s="502"/>
      <c r="BO1129" s="502"/>
      <c r="BP1129" s="5"/>
      <c r="BQ1129" s="5"/>
      <c r="BR1129" s="5"/>
      <c r="BS1129" s="5"/>
      <c r="BT1129" s="5"/>
      <c r="BU1129" s="5"/>
      <c r="BV1129" s="5"/>
      <c r="BW1129" s="5"/>
      <c r="BX1129" s="5"/>
      <c r="BY1129" s="5"/>
      <c r="BZ1129" s="5"/>
      <c r="CA1129" s="5"/>
      <c r="CB1129" s="5"/>
      <c r="CC1129" s="5"/>
      <c r="CD1129" s="5"/>
      <c r="CE1129" s="5"/>
      <c r="CF1129" s="5"/>
      <c r="CG1129" s="5"/>
      <c r="CH1129" s="5"/>
      <c r="CI1129" s="5"/>
      <c r="CJ1129" s="5"/>
      <c r="CK1129" s="5"/>
      <c r="CL1129" s="5"/>
      <c r="CM1129" s="5"/>
      <c r="CN1129" s="5"/>
      <c r="CO1129" s="5"/>
      <c r="CP1129" s="5"/>
      <c r="CQ1129" s="5"/>
      <c r="CR1129" s="5"/>
      <c r="CS1129" s="5"/>
      <c r="CT1129" s="5"/>
      <c r="CU1129" s="5"/>
      <c r="CV1129" s="5"/>
      <c r="CW1129" s="5"/>
      <c r="CX1129" s="5"/>
      <c r="CY1129" s="5"/>
      <c r="CZ1129" s="5"/>
      <c r="DA1129" s="5"/>
      <c r="DB1129" s="5"/>
      <c r="DC1129" s="5"/>
      <c r="DD1129" s="5"/>
      <c r="DE1129" s="5"/>
      <c r="DF1129" s="5"/>
      <c r="DG1129" s="5"/>
      <c r="DH1129" s="5"/>
      <c r="DI1129" s="5"/>
      <c r="DJ1129" s="5"/>
      <c r="DK1129" s="5"/>
      <c r="DL1129" s="5"/>
      <c r="DM1129" s="5"/>
      <c r="DN1129" s="5"/>
      <c r="DO1129" s="5"/>
      <c r="DP1129" s="5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  <c r="HA1129" s="1"/>
      <c r="HB1129" s="1"/>
      <c r="HC1129" s="1"/>
      <c r="HD1129" s="1"/>
      <c r="HE1129" s="1"/>
      <c r="HF1129" s="1"/>
      <c r="HG1129" s="1"/>
      <c r="HH1129" s="1"/>
      <c r="HI1129" s="1"/>
      <c r="HJ1129" s="1"/>
      <c r="HK1129" s="1"/>
      <c r="HL1129" s="1"/>
      <c r="HM1129" s="1"/>
      <c r="HN1129" s="1"/>
      <c r="HO1129" s="1"/>
      <c r="HP1129" s="1"/>
      <c r="HQ1129" s="1"/>
      <c r="HR1129" s="1"/>
      <c r="HS1129" s="1"/>
      <c r="HT1129" s="1"/>
      <c r="HU1129" s="1"/>
      <c r="HV1129" s="1"/>
      <c r="HW1129" s="1"/>
      <c r="HX1129" s="1"/>
      <c r="HY1129" s="1"/>
      <c r="HZ1129" s="1"/>
      <c r="IA1129" s="1"/>
      <c r="IB1129" s="1"/>
      <c r="IC1129" s="1"/>
      <c r="ID1129" s="1"/>
      <c r="IE1129" s="1"/>
      <c r="IF1129" s="1"/>
      <c r="IG1129" s="1"/>
      <c r="IH1129" s="1"/>
      <c r="II1129" s="1"/>
      <c r="IJ1129" s="1"/>
      <c r="IK1129" s="1"/>
      <c r="IL1129" s="1"/>
      <c r="IM1129" s="1"/>
      <c r="IN1129" s="1"/>
      <c r="IO1129" s="1"/>
      <c r="IP1129" s="1"/>
      <c r="IQ1129" s="1"/>
      <c r="IR1129" s="1"/>
      <c r="IS1129" s="1"/>
      <c r="IT1129" s="1"/>
      <c r="IU1129" s="1"/>
      <c r="IV1129" s="1"/>
      <c r="IW1129" s="1"/>
      <c r="IX1129" s="1"/>
      <c r="IY1129" s="1"/>
      <c r="IZ1129" s="1"/>
      <c r="JA1129" s="1"/>
      <c r="JB1129" s="1"/>
      <c r="JC1129" s="1"/>
      <c r="JD1129" s="1"/>
    </row>
    <row r="1130" s="504" customFormat="true" ht="12.75" hidden="true" customHeight="true" outlineLevel="0" collapsed="false">
      <c r="A1130" s="5"/>
      <c r="B1130" s="813" t="n">
        <f aca="false">B1129+1</f>
        <v>915</v>
      </c>
      <c r="C1130" s="814" t="n">
        <f aca="false">C1129+D1130</f>
        <v>138212.801931207</v>
      </c>
      <c r="D1130" s="815" t="n">
        <f aca="false">E1130*$E$205*M1130</f>
        <v>223.581860910888</v>
      </c>
      <c r="E1130" s="601" t="n">
        <f aca="false">E1129+$C$204</f>
        <v>14.1794686016545</v>
      </c>
      <c r="F1130" s="816" t="n">
        <f aca="false">F1129+1</f>
        <v>915</v>
      </c>
      <c r="G1130" s="775" t="n">
        <f aca="false">C1130</f>
        <v>138212.801931207</v>
      </c>
      <c r="H1130" s="817" t="n">
        <f aca="false">1000*(E1130-E1129)</f>
        <v>9.99999999999979</v>
      </c>
      <c r="I1130" s="5"/>
      <c r="J1130" s="818" t="n">
        <f aca="false">1000*(E1130-$E$215)/(B1130-$B$215)</f>
        <v>11.7200763153789</v>
      </c>
      <c r="K1130" s="732" t="n">
        <f aca="false">AVERAGE($E$216:E1130)</f>
        <v>9.60116259072563</v>
      </c>
      <c r="L1130" s="819" t="n">
        <f aca="false">L1129+1</f>
        <v>915</v>
      </c>
      <c r="M1130" s="820" t="n">
        <f aca="false">IF(B1130&lt;$E$104,$E$105,$E$106)</f>
        <v>3</v>
      </c>
      <c r="N1130" s="821" t="n">
        <f aca="false">IF(B1130&lt;$E$104,$E$105,$E$111)</f>
        <v>2.5</v>
      </c>
      <c r="O1130" s="822" t="n">
        <f aca="false">E1130*$E$205*N1130</f>
        <v>186.31821742574</v>
      </c>
      <c r="P1130" s="823" t="n">
        <f aca="false">P1129+O1130</f>
        <v>115229.015543049</v>
      </c>
      <c r="Q1130" s="606" t="n">
        <f aca="false">Q1129+1</f>
        <v>915</v>
      </c>
      <c r="R1130" s="824" t="n">
        <f aca="false">R1129-1</f>
        <v>-915</v>
      </c>
      <c r="S1130" s="5"/>
      <c r="T1130" s="5"/>
      <c r="U1130" s="5"/>
      <c r="V1130" s="10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02"/>
      <c r="AU1130" s="502"/>
      <c r="AV1130" s="606"/>
      <c r="AW1130" s="502"/>
      <c r="AX1130" s="502"/>
      <c r="AY1130" s="502"/>
      <c r="AZ1130" s="502"/>
      <c r="BA1130" s="502"/>
      <c r="BB1130" s="502"/>
      <c r="BC1130" s="502"/>
      <c r="BD1130" s="502"/>
      <c r="BE1130" s="502"/>
      <c r="BF1130" s="502"/>
      <c r="BG1130" s="502"/>
      <c r="BH1130" s="502"/>
      <c r="BI1130" s="502"/>
      <c r="BJ1130" s="502"/>
      <c r="BK1130" s="502"/>
      <c r="BL1130" s="502"/>
      <c r="BM1130" s="502"/>
      <c r="BN1130" s="502"/>
      <c r="BO1130" s="502"/>
      <c r="BP1130" s="5"/>
      <c r="BQ1130" s="5"/>
      <c r="BR1130" s="5"/>
      <c r="BS1130" s="5"/>
      <c r="BT1130" s="5"/>
      <c r="BU1130" s="5"/>
      <c r="BV1130" s="5"/>
      <c r="BW1130" s="5"/>
      <c r="BX1130" s="5"/>
      <c r="BY1130" s="5"/>
      <c r="BZ1130" s="5"/>
      <c r="CA1130" s="5"/>
      <c r="CB1130" s="5"/>
      <c r="CC1130" s="5"/>
      <c r="CD1130" s="5"/>
      <c r="CE1130" s="5"/>
      <c r="CF1130" s="5"/>
      <c r="CG1130" s="5"/>
      <c r="CH1130" s="5"/>
      <c r="CI1130" s="5"/>
      <c r="CJ1130" s="5"/>
      <c r="CK1130" s="5"/>
      <c r="CL1130" s="5"/>
      <c r="CM1130" s="5"/>
      <c r="CN1130" s="5"/>
      <c r="CO1130" s="5"/>
      <c r="CP1130" s="5"/>
      <c r="CQ1130" s="5"/>
      <c r="CR1130" s="5"/>
      <c r="CS1130" s="5"/>
      <c r="CT1130" s="5"/>
      <c r="CU1130" s="5"/>
      <c r="CV1130" s="5"/>
      <c r="CW1130" s="5"/>
      <c r="CX1130" s="5"/>
      <c r="CY1130" s="5"/>
      <c r="CZ1130" s="5"/>
      <c r="DA1130" s="5"/>
      <c r="DB1130" s="5"/>
      <c r="DC1130" s="5"/>
      <c r="DD1130" s="5"/>
      <c r="DE1130" s="5"/>
      <c r="DF1130" s="5"/>
      <c r="DG1130" s="5"/>
      <c r="DH1130" s="5"/>
      <c r="DI1130" s="5"/>
      <c r="DJ1130" s="5"/>
      <c r="DK1130" s="5"/>
      <c r="DL1130" s="5"/>
      <c r="DM1130" s="5"/>
      <c r="DN1130" s="5"/>
      <c r="DO1130" s="5"/>
      <c r="DP1130" s="5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  <c r="HA1130" s="1"/>
      <c r="HB1130" s="1"/>
      <c r="HC1130" s="1"/>
      <c r="HD1130" s="1"/>
      <c r="HE1130" s="1"/>
      <c r="HF1130" s="1"/>
      <c r="HG1130" s="1"/>
      <c r="HH1130" s="1"/>
      <c r="HI1130" s="1"/>
      <c r="HJ1130" s="1"/>
      <c r="HK1130" s="1"/>
      <c r="HL1130" s="1"/>
      <c r="HM1130" s="1"/>
      <c r="HN1130" s="1"/>
      <c r="HO1130" s="1"/>
      <c r="HP1130" s="1"/>
      <c r="HQ1130" s="1"/>
      <c r="HR1130" s="1"/>
      <c r="HS1130" s="1"/>
      <c r="HT1130" s="1"/>
      <c r="HU1130" s="1"/>
      <c r="HV1130" s="1"/>
      <c r="HW1130" s="1"/>
      <c r="HX1130" s="1"/>
      <c r="HY1130" s="1"/>
      <c r="HZ1130" s="1"/>
      <c r="IA1130" s="1"/>
      <c r="IB1130" s="1"/>
      <c r="IC1130" s="1"/>
      <c r="ID1130" s="1"/>
      <c r="IE1130" s="1"/>
      <c r="IF1130" s="1"/>
      <c r="IG1130" s="1"/>
      <c r="IH1130" s="1"/>
      <c r="II1130" s="1"/>
      <c r="IJ1130" s="1"/>
      <c r="IK1130" s="1"/>
      <c r="IL1130" s="1"/>
      <c r="IM1130" s="1"/>
      <c r="IN1130" s="1"/>
      <c r="IO1130" s="1"/>
      <c r="IP1130" s="1"/>
      <c r="IQ1130" s="1"/>
      <c r="IR1130" s="1"/>
      <c r="IS1130" s="1"/>
      <c r="IT1130" s="1"/>
      <c r="IU1130" s="1"/>
      <c r="IV1130" s="1"/>
      <c r="IW1130" s="1"/>
      <c r="IX1130" s="1"/>
      <c r="IY1130" s="1"/>
      <c r="IZ1130" s="1"/>
      <c r="JA1130" s="1"/>
      <c r="JB1130" s="1"/>
      <c r="JC1130" s="1"/>
      <c r="JD1130" s="1"/>
    </row>
    <row r="1131" s="504" customFormat="true" ht="12.75" hidden="true" customHeight="true" outlineLevel="0" collapsed="false">
      <c r="A1131" s="5"/>
      <c r="B1131" s="813" t="n">
        <f aca="false">B1130+1</f>
        <v>916</v>
      </c>
      <c r="C1131" s="814" t="n">
        <f aca="false">C1130+D1131</f>
        <v>138436.541472118</v>
      </c>
      <c r="D1131" s="815" t="n">
        <f aca="false">E1131*$E$205*M1131</f>
        <v>223.739540910888</v>
      </c>
      <c r="E1131" s="601" t="n">
        <f aca="false">E1130+$C$204</f>
        <v>14.1894686016545</v>
      </c>
      <c r="F1131" s="816" t="n">
        <f aca="false">F1130+1</f>
        <v>916</v>
      </c>
      <c r="G1131" s="775" t="n">
        <f aca="false">C1131</f>
        <v>138436.541472118</v>
      </c>
      <c r="H1131" s="817" t="n">
        <f aca="false">1000*(E1131-E1130)</f>
        <v>9.99999999999979</v>
      </c>
      <c r="I1131" s="5"/>
      <c r="J1131" s="818" t="n">
        <f aca="false">1000*(E1131-$E$215)/(B1131-$B$215)</f>
        <v>11.7181985028075</v>
      </c>
      <c r="K1131" s="732" t="n">
        <f aca="false">AVERAGE($E$216:E1131)</f>
        <v>9.60617165842315</v>
      </c>
      <c r="L1131" s="819" t="n">
        <f aca="false">L1130+1</f>
        <v>916</v>
      </c>
      <c r="M1131" s="820" t="n">
        <f aca="false">IF(B1131&lt;$E$104,$E$105,$E$106)</f>
        <v>3</v>
      </c>
      <c r="N1131" s="821" t="n">
        <f aca="false">IF(B1131&lt;$E$104,$E$105,$E$111)</f>
        <v>2.5</v>
      </c>
      <c r="O1131" s="822" t="n">
        <f aca="false">E1131*$E$205*N1131</f>
        <v>186.44961742574</v>
      </c>
      <c r="P1131" s="823" t="n">
        <f aca="false">P1130+O1131</f>
        <v>115415.465160474</v>
      </c>
      <c r="Q1131" s="606" t="n">
        <f aca="false">Q1130+1</f>
        <v>916</v>
      </c>
      <c r="R1131" s="824" t="n">
        <f aca="false">R1130-1</f>
        <v>-916</v>
      </c>
      <c r="S1131" s="5"/>
      <c r="T1131" s="5"/>
      <c r="U1131" s="5"/>
      <c r="V1131" s="10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02"/>
      <c r="AU1131" s="502"/>
      <c r="AV1131" s="606"/>
      <c r="AW1131" s="502"/>
      <c r="AX1131" s="502"/>
      <c r="AY1131" s="502"/>
      <c r="AZ1131" s="502"/>
      <c r="BA1131" s="502"/>
      <c r="BB1131" s="502"/>
      <c r="BC1131" s="502"/>
      <c r="BD1131" s="502"/>
      <c r="BE1131" s="502"/>
      <c r="BF1131" s="502"/>
      <c r="BG1131" s="502"/>
      <c r="BH1131" s="502"/>
      <c r="BI1131" s="502"/>
      <c r="BJ1131" s="502"/>
      <c r="BK1131" s="502"/>
      <c r="BL1131" s="502"/>
      <c r="BM1131" s="502"/>
      <c r="BN1131" s="502"/>
      <c r="BO1131" s="502"/>
      <c r="BP1131" s="5"/>
      <c r="BQ1131" s="5"/>
      <c r="BR1131" s="5"/>
      <c r="BS1131" s="5"/>
      <c r="BT1131" s="5"/>
      <c r="BU1131" s="5"/>
      <c r="BV1131" s="5"/>
      <c r="BW1131" s="5"/>
      <c r="BX1131" s="5"/>
      <c r="BY1131" s="5"/>
      <c r="BZ1131" s="5"/>
      <c r="CA1131" s="5"/>
      <c r="CB1131" s="5"/>
      <c r="CC1131" s="5"/>
      <c r="CD1131" s="5"/>
      <c r="CE1131" s="5"/>
      <c r="CF1131" s="5"/>
      <c r="CG1131" s="5"/>
      <c r="CH1131" s="5"/>
      <c r="CI1131" s="5"/>
      <c r="CJ1131" s="5"/>
      <c r="CK1131" s="5"/>
      <c r="CL1131" s="5"/>
      <c r="CM1131" s="5"/>
      <c r="CN1131" s="5"/>
      <c r="CO1131" s="5"/>
      <c r="CP1131" s="5"/>
      <c r="CQ1131" s="5"/>
      <c r="CR1131" s="5"/>
      <c r="CS1131" s="5"/>
      <c r="CT1131" s="5"/>
      <c r="CU1131" s="5"/>
      <c r="CV1131" s="5"/>
      <c r="CW1131" s="5"/>
      <c r="CX1131" s="5"/>
      <c r="CY1131" s="5"/>
      <c r="CZ1131" s="5"/>
      <c r="DA1131" s="5"/>
      <c r="DB1131" s="5"/>
      <c r="DC1131" s="5"/>
      <c r="DD1131" s="5"/>
      <c r="DE1131" s="5"/>
      <c r="DF1131" s="5"/>
      <c r="DG1131" s="5"/>
      <c r="DH1131" s="5"/>
      <c r="DI1131" s="5"/>
      <c r="DJ1131" s="5"/>
      <c r="DK1131" s="5"/>
      <c r="DL1131" s="5"/>
      <c r="DM1131" s="5"/>
      <c r="DN1131" s="5"/>
      <c r="DO1131" s="5"/>
      <c r="DP1131" s="5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  <c r="HA1131" s="1"/>
      <c r="HB1131" s="1"/>
      <c r="HC1131" s="1"/>
      <c r="HD1131" s="1"/>
      <c r="HE1131" s="1"/>
      <c r="HF1131" s="1"/>
      <c r="HG1131" s="1"/>
      <c r="HH1131" s="1"/>
      <c r="HI1131" s="1"/>
      <c r="HJ1131" s="1"/>
      <c r="HK1131" s="1"/>
      <c r="HL1131" s="1"/>
      <c r="HM1131" s="1"/>
      <c r="HN1131" s="1"/>
      <c r="HO1131" s="1"/>
      <c r="HP1131" s="1"/>
      <c r="HQ1131" s="1"/>
      <c r="HR1131" s="1"/>
      <c r="HS1131" s="1"/>
      <c r="HT1131" s="1"/>
      <c r="HU1131" s="1"/>
      <c r="HV1131" s="1"/>
      <c r="HW1131" s="1"/>
      <c r="HX1131" s="1"/>
      <c r="HY1131" s="1"/>
      <c r="HZ1131" s="1"/>
      <c r="IA1131" s="1"/>
      <c r="IB1131" s="1"/>
      <c r="IC1131" s="1"/>
      <c r="ID1131" s="1"/>
      <c r="IE1131" s="1"/>
      <c r="IF1131" s="1"/>
      <c r="IG1131" s="1"/>
      <c r="IH1131" s="1"/>
      <c r="II1131" s="1"/>
      <c r="IJ1131" s="1"/>
      <c r="IK1131" s="1"/>
      <c r="IL1131" s="1"/>
      <c r="IM1131" s="1"/>
      <c r="IN1131" s="1"/>
      <c r="IO1131" s="1"/>
      <c r="IP1131" s="1"/>
      <c r="IQ1131" s="1"/>
      <c r="IR1131" s="1"/>
      <c r="IS1131" s="1"/>
      <c r="IT1131" s="1"/>
      <c r="IU1131" s="1"/>
      <c r="IV1131" s="1"/>
      <c r="IW1131" s="1"/>
      <c r="IX1131" s="1"/>
      <c r="IY1131" s="1"/>
      <c r="IZ1131" s="1"/>
      <c r="JA1131" s="1"/>
      <c r="JB1131" s="1"/>
      <c r="JC1131" s="1"/>
      <c r="JD1131" s="1"/>
    </row>
    <row r="1132" s="504" customFormat="true" ht="12.75" hidden="true" customHeight="true" outlineLevel="0" collapsed="false">
      <c r="A1132" s="5"/>
      <c r="B1132" s="813" t="n">
        <f aca="false">B1131+1</f>
        <v>917</v>
      </c>
      <c r="C1132" s="814" t="n">
        <f aca="false">C1131+D1132</f>
        <v>138660.438693029</v>
      </c>
      <c r="D1132" s="815" t="n">
        <f aca="false">E1132*$E$205*M1132</f>
        <v>223.897220910888</v>
      </c>
      <c r="E1132" s="601" t="n">
        <f aca="false">E1131+$C$204</f>
        <v>14.1994686016545</v>
      </c>
      <c r="F1132" s="816" t="n">
        <f aca="false">F1131+1</f>
        <v>917</v>
      </c>
      <c r="G1132" s="775" t="n">
        <f aca="false">C1132</f>
        <v>138660.438693029</v>
      </c>
      <c r="H1132" s="817" t="n">
        <f aca="false">1000*(E1132-E1131)</f>
        <v>9.99999999999979</v>
      </c>
      <c r="I1132" s="5"/>
      <c r="J1132" s="818" t="n">
        <f aca="false">1000*(E1132-$E$215)/(B1132-$B$215)</f>
        <v>11.7163247857924</v>
      </c>
      <c r="K1132" s="732" t="n">
        <f aca="false">AVERAGE($E$216:E1132)</f>
        <v>9.6111807063438</v>
      </c>
      <c r="L1132" s="819" t="n">
        <f aca="false">L1131+1</f>
        <v>917</v>
      </c>
      <c r="M1132" s="820" t="n">
        <f aca="false">IF(B1132&lt;$E$104,$E$105,$E$106)</f>
        <v>3</v>
      </c>
      <c r="N1132" s="821" t="n">
        <f aca="false">IF(B1132&lt;$E$104,$E$105,$E$111)</f>
        <v>2.5</v>
      </c>
      <c r="O1132" s="822" t="n">
        <f aca="false">E1132*$E$205*N1132</f>
        <v>186.58101742574</v>
      </c>
      <c r="P1132" s="823" t="n">
        <f aca="false">P1131+O1132</f>
        <v>115602.0461779</v>
      </c>
      <c r="Q1132" s="606" t="n">
        <f aca="false">Q1131+1</f>
        <v>917</v>
      </c>
      <c r="R1132" s="824" t="n">
        <f aca="false">R1131-1</f>
        <v>-917</v>
      </c>
      <c r="S1132" s="5"/>
      <c r="T1132" s="5"/>
      <c r="U1132" s="5"/>
      <c r="V1132" s="10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02"/>
      <c r="AU1132" s="502"/>
      <c r="AV1132" s="606"/>
      <c r="AW1132" s="502"/>
      <c r="AX1132" s="502"/>
      <c r="AY1132" s="502"/>
      <c r="AZ1132" s="502"/>
      <c r="BA1132" s="502"/>
      <c r="BB1132" s="502"/>
      <c r="BC1132" s="502"/>
      <c r="BD1132" s="502"/>
      <c r="BE1132" s="502"/>
      <c r="BF1132" s="502"/>
      <c r="BG1132" s="502"/>
      <c r="BH1132" s="502"/>
      <c r="BI1132" s="502"/>
      <c r="BJ1132" s="502"/>
      <c r="BK1132" s="502"/>
      <c r="BL1132" s="502"/>
      <c r="BM1132" s="502"/>
      <c r="BN1132" s="502"/>
      <c r="BO1132" s="502"/>
      <c r="BP1132" s="5"/>
      <c r="BQ1132" s="5"/>
      <c r="BR1132" s="5"/>
      <c r="BS1132" s="5"/>
      <c r="BT1132" s="5"/>
      <c r="BU1132" s="5"/>
      <c r="BV1132" s="5"/>
      <c r="BW1132" s="5"/>
      <c r="BX1132" s="5"/>
      <c r="BY1132" s="5"/>
      <c r="BZ1132" s="5"/>
      <c r="CA1132" s="5"/>
      <c r="CB1132" s="5"/>
      <c r="CC1132" s="5"/>
      <c r="CD1132" s="5"/>
      <c r="CE1132" s="5"/>
      <c r="CF1132" s="5"/>
      <c r="CG1132" s="5"/>
      <c r="CH1132" s="5"/>
      <c r="CI1132" s="5"/>
      <c r="CJ1132" s="5"/>
      <c r="CK1132" s="5"/>
      <c r="CL1132" s="5"/>
      <c r="CM1132" s="5"/>
      <c r="CN1132" s="5"/>
      <c r="CO1132" s="5"/>
      <c r="CP1132" s="5"/>
      <c r="CQ1132" s="5"/>
      <c r="CR1132" s="5"/>
      <c r="CS1132" s="5"/>
      <c r="CT1132" s="5"/>
      <c r="CU1132" s="5"/>
      <c r="CV1132" s="5"/>
      <c r="CW1132" s="5"/>
      <c r="CX1132" s="5"/>
      <c r="CY1132" s="5"/>
      <c r="CZ1132" s="5"/>
      <c r="DA1132" s="5"/>
      <c r="DB1132" s="5"/>
      <c r="DC1132" s="5"/>
      <c r="DD1132" s="5"/>
      <c r="DE1132" s="5"/>
      <c r="DF1132" s="5"/>
      <c r="DG1132" s="5"/>
      <c r="DH1132" s="5"/>
      <c r="DI1132" s="5"/>
      <c r="DJ1132" s="5"/>
      <c r="DK1132" s="5"/>
      <c r="DL1132" s="5"/>
      <c r="DM1132" s="5"/>
      <c r="DN1132" s="5"/>
      <c r="DO1132" s="5"/>
      <c r="DP1132" s="5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1"/>
      <c r="HA1132" s="1"/>
      <c r="HB1132" s="1"/>
      <c r="HC1132" s="1"/>
      <c r="HD1132" s="1"/>
      <c r="HE1132" s="1"/>
      <c r="HF1132" s="1"/>
      <c r="HG1132" s="1"/>
      <c r="HH1132" s="1"/>
      <c r="HI1132" s="1"/>
      <c r="HJ1132" s="1"/>
      <c r="HK1132" s="1"/>
      <c r="HL1132" s="1"/>
      <c r="HM1132" s="1"/>
      <c r="HN1132" s="1"/>
      <c r="HO1132" s="1"/>
      <c r="HP1132" s="1"/>
      <c r="HQ1132" s="1"/>
      <c r="HR1132" s="1"/>
      <c r="HS1132" s="1"/>
      <c r="HT1132" s="1"/>
      <c r="HU1132" s="1"/>
      <c r="HV1132" s="1"/>
      <c r="HW1132" s="1"/>
      <c r="HX1132" s="1"/>
      <c r="HY1132" s="1"/>
      <c r="HZ1132" s="1"/>
      <c r="IA1132" s="1"/>
      <c r="IB1132" s="1"/>
      <c r="IC1132" s="1"/>
      <c r="ID1132" s="1"/>
      <c r="IE1132" s="1"/>
      <c r="IF1132" s="1"/>
      <c r="IG1132" s="1"/>
      <c r="IH1132" s="1"/>
      <c r="II1132" s="1"/>
      <c r="IJ1132" s="1"/>
      <c r="IK1132" s="1"/>
      <c r="IL1132" s="1"/>
      <c r="IM1132" s="1"/>
      <c r="IN1132" s="1"/>
      <c r="IO1132" s="1"/>
      <c r="IP1132" s="1"/>
      <c r="IQ1132" s="1"/>
      <c r="IR1132" s="1"/>
      <c r="IS1132" s="1"/>
      <c r="IT1132" s="1"/>
      <c r="IU1132" s="1"/>
      <c r="IV1132" s="1"/>
      <c r="IW1132" s="1"/>
      <c r="IX1132" s="1"/>
      <c r="IY1132" s="1"/>
      <c r="IZ1132" s="1"/>
      <c r="JA1132" s="1"/>
      <c r="JB1132" s="1"/>
      <c r="JC1132" s="1"/>
      <c r="JD1132" s="1"/>
    </row>
    <row r="1133" s="504" customFormat="true" ht="12.75" hidden="true" customHeight="true" outlineLevel="0" collapsed="false">
      <c r="A1133" s="5"/>
      <c r="B1133" s="813" t="n">
        <f aca="false">B1132+1</f>
        <v>918</v>
      </c>
      <c r="C1133" s="814" t="n">
        <f aca="false">C1132+D1133</f>
        <v>138884.493593939</v>
      </c>
      <c r="D1133" s="815" t="n">
        <f aca="false">E1133*$E$205*M1133</f>
        <v>224.054900910888</v>
      </c>
      <c r="E1133" s="601" t="n">
        <f aca="false">E1132+$C$204</f>
        <v>14.2094686016545</v>
      </c>
      <c r="F1133" s="816" t="n">
        <f aca="false">F1132+1</f>
        <v>918</v>
      </c>
      <c r="G1133" s="775" t="n">
        <f aca="false">C1133</f>
        <v>138884.493593939</v>
      </c>
      <c r="H1133" s="817" t="n">
        <f aca="false">1000*(E1133-E1132)</f>
        <v>9.99999999999979</v>
      </c>
      <c r="I1133" s="5"/>
      <c r="J1133" s="818" t="n">
        <f aca="false">1000*(E1133-$E$215)/(B1133-$B$215)</f>
        <v>11.7144551509495</v>
      </c>
      <c r="K1133" s="732" t="n">
        <f aca="false">AVERAGE($E$216:E1133)</f>
        <v>9.6161897345522</v>
      </c>
      <c r="L1133" s="819" t="n">
        <f aca="false">L1132+1</f>
        <v>918</v>
      </c>
      <c r="M1133" s="820" t="n">
        <f aca="false">IF(B1133&lt;$E$104,$E$105,$E$106)</f>
        <v>3</v>
      </c>
      <c r="N1133" s="821" t="n">
        <f aca="false">IF(B1133&lt;$E$104,$E$105,$E$111)</f>
        <v>2.5</v>
      </c>
      <c r="O1133" s="822" t="n">
        <f aca="false">E1133*$E$205*N1133</f>
        <v>186.71241742574</v>
      </c>
      <c r="P1133" s="823" t="n">
        <f aca="false">P1132+O1133</f>
        <v>115788.758595326</v>
      </c>
      <c r="Q1133" s="606" t="n">
        <f aca="false">Q1132+1</f>
        <v>918</v>
      </c>
      <c r="R1133" s="824" t="n">
        <f aca="false">R1132-1</f>
        <v>-918</v>
      </c>
      <c r="S1133" s="5"/>
      <c r="T1133" s="5"/>
      <c r="U1133" s="5"/>
      <c r="V1133" s="10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02"/>
      <c r="AU1133" s="502"/>
      <c r="AV1133" s="606"/>
      <c r="AW1133" s="502"/>
      <c r="AX1133" s="502"/>
      <c r="AY1133" s="502"/>
      <c r="AZ1133" s="502"/>
      <c r="BA1133" s="502"/>
      <c r="BB1133" s="502"/>
      <c r="BC1133" s="502"/>
      <c r="BD1133" s="502"/>
      <c r="BE1133" s="502"/>
      <c r="BF1133" s="502"/>
      <c r="BG1133" s="502"/>
      <c r="BH1133" s="502"/>
      <c r="BI1133" s="502"/>
      <c r="BJ1133" s="502"/>
      <c r="BK1133" s="502"/>
      <c r="BL1133" s="502"/>
      <c r="BM1133" s="502"/>
      <c r="BN1133" s="502"/>
      <c r="BO1133" s="502"/>
      <c r="BP1133" s="5"/>
      <c r="BQ1133" s="5"/>
      <c r="BR1133" s="5"/>
      <c r="BS1133" s="5"/>
      <c r="BT1133" s="5"/>
      <c r="BU1133" s="5"/>
      <c r="BV1133" s="5"/>
      <c r="BW1133" s="5"/>
      <c r="BX1133" s="5"/>
      <c r="BY1133" s="5"/>
      <c r="BZ1133" s="5"/>
      <c r="CA1133" s="5"/>
      <c r="CB1133" s="5"/>
      <c r="CC1133" s="5"/>
      <c r="CD1133" s="5"/>
      <c r="CE1133" s="5"/>
      <c r="CF1133" s="5"/>
      <c r="CG1133" s="5"/>
      <c r="CH1133" s="5"/>
      <c r="CI1133" s="5"/>
      <c r="CJ1133" s="5"/>
      <c r="CK1133" s="5"/>
      <c r="CL1133" s="5"/>
      <c r="CM1133" s="5"/>
      <c r="CN1133" s="5"/>
      <c r="CO1133" s="5"/>
      <c r="CP1133" s="5"/>
      <c r="CQ1133" s="5"/>
      <c r="CR1133" s="5"/>
      <c r="CS1133" s="5"/>
      <c r="CT1133" s="5"/>
      <c r="CU1133" s="5"/>
      <c r="CV1133" s="5"/>
      <c r="CW1133" s="5"/>
      <c r="CX1133" s="5"/>
      <c r="CY1133" s="5"/>
      <c r="CZ1133" s="5"/>
      <c r="DA1133" s="5"/>
      <c r="DB1133" s="5"/>
      <c r="DC1133" s="5"/>
      <c r="DD1133" s="5"/>
      <c r="DE1133" s="5"/>
      <c r="DF1133" s="5"/>
      <c r="DG1133" s="5"/>
      <c r="DH1133" s="5"/>
      <c r="DI1133" s="5"/>
      <c r="DJ1133" s="5"/>
      <c r="DK1133" s="5"/>
      <c r="DL1133" s="5"/>
      <c r="DM1133" s="5"/>
      <c r="DN1133" s="5"/>
      <c r="DO1133" s="5"/>
      <c r="DP1133" s="5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  <c r="GY1133" s="1"/>
      <c r="GZ1133" s="1"/>
      <c r="HA1133" s="1"/>
      <c r="HB1133" s="1"/>
      <c r="HC1133" s="1"/>
      <c r="HD1133" s="1"/>
      <c r="HE1133" s="1"/>
      <c r="HF1133" s="1"/>
      <c r="HG1133" s="1"/>
      <c r="HH1133" s="1"/>
      <c r="HI1133" s="1"/>
      <c r="HJ1133" s="1"/>
      <c r="HK1133" s="1"/>
      <c r="HL1133" s="1"/>
      <c r="HM1133" s="1"/>
      <c r="HN1133" s="1"/>
      <c r="HO1133" s="1"/>
      <c r="HP1133" s="1"/>
      <c r="HQ1133" s="1"/>
      <c r="HR1133" s="1"/>
      <c r="HS1133" s="1"/>
      <c r="HT1133" s="1"/>
      <c r="HU1133" s="1"/>
      <c r="HV1133" s="1"/>
      <c r="HW1133" s="1"/>
      <c r="HX1133" s="1"/>
      <c r="HY1133" s="1"/>
      <c r="HZ1133" s="1"/>
      <c r="IA1133" s="1"/>
      <c r="IB1133" s="1"/>
      <c r="IC1133" s="1"/>
      <c r="ID1133" s="1"/>
      <c r="IE1133" s="1"/>
      <c r="IF1133" s="1"/>
      <c r="IG1133" s="1"/>
      <c r="IH1133" s="1"/>
      <c r="II1133" s="1"/>
      <c r="IJ1133" s="1"/>
      <c r="IK1133" s="1"/>
      <c r="IL1133" s="1"/>
      <c r="IM1133" s="1"/>
      <c r="IN1133" s="1"/>
      <c r="IO1133" s="1"/>
      <c r="IP1133" s="1"/>
      <c r="IQ1133" s="1"/>
      <c r="IR1133" s="1"/>
      <c r="IS1133" s="1"/>
      <c r="IT1133" s="1"/>
      <c r="IU1133" s="1"/>
      <c r="IV1133" s="1"/>
      <c r="IW1133" s="1"/>
      <c r="IX1133" s="1"/>
      <c r="IY1133" s="1"/>
      <c r="IZ1133" s="1"/>
      <c r="JA1133" s="1"/>
      <c r="JB1133" s="1"/>
      <c r="JC1133" s="1"/>
      <c r="JD1133" s="1"/>
    </row>
    <row r="1134" s="504" customFormat="true" ht="12.75" hidden="true" customHeight="true" outlineLevel="0" collapsed="false">
      <c r="A1134" s="5"/>
      <c r="B1134" s="813" t="n">
        <f aca="false">B1133+1</f>
        <v>919</v>
      </c>
      <c r="C1134" s="814" t="n">
        <f aca="false">C1133+D1134</f>
        <v>139108.70617485</v>
      </c>
      <c r="D1134" s="815" t="n">
        <f aca="false">E1134*$E$205*M1134</f>
        <v>224.212580910888</v>
      </c>
      <c r="E1134" s="601" t="n">
        <f aca="false">E1133+$C$204</f>
        <v>14.2194686016545</v>
      </c>
      <c r="F1134" s="816" t="n">
        <f aca="false">F1133+1</f>
        <v>919</v>
      </c>
      <c r="G1134" s="775" t="n">
        <f aca="false">C1134</f>
        <v>139108.70617485</v>
      </c>
      <c r="H1134" s="817" t="n">
        <f aca="false">1000*(E1134-E1133)</f>
        <v>9.99999999999979</v>
      </c>
      <c r="I1134" s="5"/>
      <c r="J1134" s="818" t="n">
        <f aca="false">1000*(E1134-$E$215)/(B1134-$B$215)</f>
        <v>11.7125895849528</v>
      </c>
      <c r="K1134" s="732" t="n">
        <f aca="false">AVERAGE($E$216:E1134)</f>
        <v>9.6211987431127</v>
      </c>
      <c r="L1134" s="819" t="n">
        <f aca="false">L1133+1</f>
        <v>919</v>
      </c>
      <c r="M1134" s="820" t="n">
        <f aca="false">IF(B1134&lt;$E$104,$E$105,$E$106)</f>
        <v>3</v>
      </c>
      <c r="N1134" s="821" t="n">
        <f aca="false">IF(B1134&lt;$E$104,$E$105,$E$111)</f>
        <v>2.5</v>
      </c>
      <c r="O1134" s="822" t="n">
        <f aca="false">E1134*$E$205*N1134</f>
        <v>186.84381742574</v>
      </c>
      <c r="P1134" s="823" t="n">
        <f aca="false">P1133+O1134</f>
        <v>115975.602412752</v>
      </c>
      <c r="Q1134" s="606" t="n">
        <f aca="false">Q1133+1</f>
        <v>919</v>
      </c>
      <c r="R1134" s="824" t="n">
        <f aca="false">R1133-1</f>
        <v>-919</v>
      </c>
      <c r="S1134" s="5"/>
      <c r="T1134" s="5"/>
      <c r="U1134" s="5"/>
      <c r="V1134" s="10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02"/>
      <c r="AU1134" s="502"/>
      <c r="AV1134" s="606"/>
      <c r="AW1134" s="502"/>
      <c r="AX1134" s="502"/>
      <c r="AY1134" s="502"/>
      <c r="AZ1134" s="502"/>
      <c r="BA1134" s="502"/>
      <c r="BB1134" s="502"/>
      <c r="BC1134" s="502"/>
      <c r="BD1134" s="502"/>
      <c r="BE1134" s="502"/>
      <c r="BF1134" s="502"/>
      <c r="BG1134" s="502"/>
      <c r="BH1134" s="502"/>
      <c r="BI1134" s="502"/>
      <c r="BJ1134" s="502"/>
      <c r="BK1134" s="502"/>
      <c r="BL1134" s="502"/>
      <c r="BM1134" s="502"/>
      <c r="BN1134" s="502"/>
      <c r="BO1134" s="502"/>
      <c r="BP1134" s="5"/>
      <c r="BQ1134" s="5"/>
      <c r="BR1134" s="5"/>
      <c r="BS1134" s="5"/>
      <c r="BT1134" s="5"/>
      <c r="BU1134" s="5"/>
      <c r="BV1134" s="5"/>
      <c r="BW1134" s="5"/>
      <c r="BX1134" s="5"/>
      <c r="BY1134" s="5"/>
      <c r="BZ1134" s="5"/>
      <c r="CA1134" s="5"/>
      <c r="CB1134" s="5"/>
      <c r="CC1134" s="5"/>
      <c r="CD1134" s="5"/>
      <c r="CE1134" s="5"/>
      <c r="CF1134" s="5"/>
      <c r="CG1134" s="5"/>
      <c r="CH1134" s="5"/>
      <c r="CI1134" s="5"/>
      <c r="CJ1134" s="5"/>
      <c r="CK1134" s="5"/>
      <c r="CL1134" s="5"/>
      <c r="CM1134" s="5"/>
      <c r="CN1134" s="5"/>
      <c r="CO1134" s="5"/>
      <c r="CP1134" s="5"/>
      <c r="CQ1134" s="5"/>
      <c r="CR1134" s="5"/>
      <c r="CS1134" s="5"/>
      <c r="CT1134" s="5"/>
      <c r="CU1134" s="5"/>
      <c r="CV1134" s="5"/>
      <c r="CW1134" s="5"/>
      <c r="CX1134" s="5"/>
      <c r="CY1134" s="5"/>
      <c r="CZ1134" s="5"/>
      <c r="DA1134" s="5"/>
      <c r="DB1134" s="5"/>
      <c r="DC1134" s="5"/>
      <c r="DD1134" s="5"/>
      <c r="DE1134" s="5"/>
      <c r="DF1134" s="5"/>
      <c r="DG1134" s="5"/>
      <c r="DH1134" s="5"/>
      <c r="DI1134" s="5"/>
      <c r="DJ1134" s="5"/>
      <c r="DK1134" s="5"/>
      <c r="DL1134" s="5"/>
      <c r="DM1134" s="5"/>
      <c r="DN1134" s="5"/>
      <c r="DO1134" s="5"/>
      <c r="DP1134" s="5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1"/>
      <c r="HA1134" s="1"/>
      <c r="HB1134" s="1"/>
      <c r="HC1134" s="1"/>
      <c r="HD1134" s="1"/>
      <c r="HE1134" s="1"/>
      <c r="HF1134" s="1"/>
      <c r="HG1134" s="1"/>
      <c r="HH1134" s="1"/>
      <c r="HI1134" s="1"/>
      <c r="HJ1134" s="1"/>
      <c r="HK1134" s="1"/>
      <c r="HL1134" s="1"/>
      <c r="HM1134" s="1"/>
      <c r="HN1134" s="1"/>
      <c r="HO1134" s="1"/>
      <c r="HP1134" s="1"/>
      <c r="HQ1134" s="1"/>
      <c r="HR1134" s="1"/>
      <c r="HS1134" s="1"/>
      <c r="HT1134" s="1"/>
      <c r="HU1134" s="1"/>
      <c r="HV1134" s="1"/>
      <c r="HW1134" s="1"/>
      <c r="HX1134" s="1"/>
      <c r="HY1134" s="1"/>
      <c r="HZ1134" s="1"/>
      <c r="IA1134" s="1"/>
      <c r="IB1134" s="1"/>
      <c r="IC1134" s="1"/>
      <c r="ID1134" s="1"/>
      <c r="IE1134" s="1"/>
      <c r="IF1134" s="1"/>
      <c r="IG1134" s="1"/>
      <c r="IH1134" s="1"/>
      <c r="II1134" s="1"/>
      <c r="IJ1134" s="1"/>
      <c r="IK1134" s="1"/>
      <c r="IL1134" s="1"/>
      <c r="IM1134" s="1"/>
      <c r="IN1134" s="1"/>
      <c r="IO1134" s="1"/>
      <c r="IP1134" s="1"/>
      <c r="IQ1134" s="1"/>
      <c r="IR1134" s="1"/>
      <c r="IS1134" s="1"/>
      <c r="IT1134" s="1"/>
      <c r="IU1134" s="1"/>
      <c r="IV1134" s="1"/>
      <c r="IW1134" s="1"/>
      <c r="IX1134" s="1"/>
      <c r="IY1134" s="1"/>
      <c r="IZ1134" s="1"/>
      <c r="JA1134" s="1"/>
      <c r="JB1134" s="1"/>
      <c r="JC1134" s="1"/>
      <c r="JD1134" s="1"/>
    </row>
    <row r="1135" s="504" customFormat="true" ht="12.75" hidden="true" customHeight="true" outlineLevel="0" collapsed="false">
      <c r="A1135" s="5"/>
      <c r="B1135" s="813" t="n">
        <f aca="false">B1134+1</f>
        <v>920</v>
      </c>
      <c r="C1135" s="814" t="n">
        <f aca="false">C1134+D1135</f>
        <v>139333.076435761</v>
      </c>
      <c r="D1135" s="815" t="n">
        <f aca="false">E1135*$E$205*M1135</f>
        <v>224.370260910888</v>
      </c>
      <c r="E1135" s="601" t="n">
        <f aca="false">E1134+$C$204</f>
        <v>14.2294686016545</v>
      </c>
      <c r="F1135" s="816" t="n">
        <f aca="false">F1134+1</f>
        <v>920</v>
      </c>
      <c r="G1135" s="775" t="n">
        <f aca="false">C1135</f>
        <v>139333.076435761</v>
      </c>
      <c r="H1135" s="817" t="n">
        <f aca="false">1000*(E1135-E1134)</f>
        <v>9.99999999999979</v>
      </c>
      <c r="I1135" s="5"/>
      <c r="J1135" s="818" t="n">
        <f aca="false">1000*(E1135-$E$215)/(B1135-$B$215)</f>
        <v>11.7107280745344</v>
      </c>
      <c r="K1135" s="732" t="n">
        <f aca="false">AVERAGE($E$216:E1135)</f>
        <v>9.62620773208938</v>
      </c>
      <c r="L1135" s="819" t="n">
        <f aca="false">L1134+1</f>
        <v>920</v>
      </c>
      <c r="M1135" s="820" t="n">
        <f aca="false">IF(B1135&lt;$E$104,$E$105,$E$106)</f>
        <v>3</v>
      </c>
      <c r="N1135" s="821" t="n">
        <f aca="false">IF(B1135&lt;$E$104,$E$105,$E$111)</f>
        <v>2.5</v>
      </c>
      <c r="O1135" s="822" t="n">
        <f aca="false">E1135*$E$205*N1135</f>
        <v>186.97521742574</v>
      </c>
      <c r="P1135" s="823" t="n">
        <f aca="false">P1134+O1135</f>
        <v>116162.577630177</v>
      </c>
      <c r="Q1135" s="606" t="n">
        <f aca="false">Q1134+1</f>
        <v>920</v>
      </c>
      <c r="R1135" s="824" t="n">
        <f aca="false">R1134-1</f>
        <v>-920</v>
      </c>
      <c r="S1135" s="5"/>
      <c r="T1135" s="5"/>
      <c r="U1135" s="5"/>
      <c r="V1135" s="10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02"/>
      <c r="AU1135" s="502"/>
      <c r="AV1135" s="606"/>
      <c r="AW1135" s="502"/>
      <c r="AX1135" s="502"/>
      <c r="AY1135" s="502"/>
      <c r="AZ1135" s="502"/>
      <c r="BA1135" s="502"/>
      <c r="BB1135" s="502"/>
      <c r="BC1135" s="502"/>
      <c r="BD1135" s="502"/>
      <c r="BE1135" s="502"/>
      <c r="BF1135" s="502"/>
      <c r="BG1135" s="502"/>
      <c r="BH1135" s="502"/>
      <c r="BI1135" s="502"/>
      <c r="BJ1135" s="502"/>
      <c r="BK1135" s="502"/>
      <c r="BL1135" s="502"/>
      <c r="BM1135" s="502"/>
      <c r="BN1135" s="502"/>
      <c r="BO1135" s="502"/>
      <c r="BP1135" s="5"/>
      <c r="BQ1135" s="5"/>
      <c r="BR1135" s="5"/>
      <c r="BS1135" s="5"/>
      <c r="BT1135" s="5"/>
      <c r="BU1135" s="5"/>
      <c r="BV1135" s="5"/>
      <c r="BW1135" s="5"/>
      <c r="BX1135" s="5"/>
      <c r="BY1135" s="5"/>
      <c r="BZ1135" s="5"/>
      <c r="CA1135" s="5"/>
      <c r="CB1135" s="5"/>
      <c r="CC1135" s="5"/>
      <c r="CD1135" s="5"/>
      <c r="CE1135" s="5"/>
      <c r="CF1135" s="5"/>
      <c r="CG1135" s="5"/>
      <c r="CH1135" s="5"/>
      <c r="CI1135" s="5"/>
      <c r="CJ1135" s="5"/>
      <c r="CK1135" s="5"/>
      <c r="CL1135" s="5"/>
      <c r="CM1135" s="5"/>
      <c r="CN1135" s="5"/>
      <c r="CO1135" s="5"/>
      <c r="CP1135" s="5"/>
      <c r="CQ1135" s="5"/>
      <c r="CR1135" s="5"/>
      <c r="CS1135" s="5"/>
      <c r="CT1135" s="5"/>
      <c r="CU1135" s="5"/>
      <c r="CV1135" s="5"/>
      <c r="CW1135" s="5"/>
      <c r="CX1135" s="5"/>
      <c r="CY1135" s="5"/>
      <c r="CZ1135" s="5"/>
      <c r="DA1135" s="5"/>
      <c r="DB1135" s="5"/>
      <c r="DC1135" s="5"/>
      <c r="DD1135" s="5"/>
      <c r="DE1135" s="5"/>
      <c r="DF1135" s="5"/>
      <c r="DG1135" s="5"/>
      <c r="DH1135" s="5"/>
      <c r="DI1135" s="5"/>
      <c r="DJ1135" s="5"/>
      <c r="DK1135" s="5"/>
      <c r="DL1135" s="5"/>
      <c r="DM1135" s="5"/>
      <c r="DN1135" s="5"/>
      <c r="DO1135" s="5"/>
      <c r="DP1135" s="5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  <c r="HA1135" s="1"/>
      <c r="HB1135" s="1"/>
      <c r="HC1135" s="1"/>
      <c r="HD1135" s="1"/>
      <c r="HE1135" s="1"/>
      <c r="HF1135" s="1"/>
      <c r="HG1135" s="1"/>
      <c r="HH1135" s="1"/>
      <c r="HI1135" s="1"/>
      <c r="HJ1135" s="1"/>
      <c r="HK1135" s="1"/>
      <c r="HL1135" s="1"/>
      <c r="HM1135" s="1"/>
      <c r="HN1135" s="1"/>
      <c r="HO1135" s="1"/>
      <c r="HP1135" s="1"/>
      <c r="HQ1135" s="1"/>
      <c r="HR1135" s="1"/>
      <c r="HS1135" s="1"/>
      <c r="HT1135" s="1"/>
      <c r="HU1135" s="1"/>
      <c r="HV1135" s="1"/>
      <c r="HW1135" s="1"/>
      <c r="HX1135" s="1"/>
      <c r="HY1135" s="1"/>
      <c r="HZ1135" s="1"/>
      <c r="IA1135" s="1"/>
      <c r="IB1135" s="1"/>
      <c r="IC1135" s="1"/>
      <c r="ID1135" s="1"/>
      <c r="IE1135" s="1"/>
      <c r="IF1135" s="1"/>
      <c r="IG1135" s="1"/>
      <c r="IH1135" s="1"/>
      <c r="II1135" s="1"/>
      <c r="IJ1135" s="1"/>
      <c r="IK1135" s="1"/>
      <c r="IL1135" s="1"/>
      <c r="IM1135" s="1"/>
      <c r="IN1135" s="1"/>
      <c r="IO1135" s="1"/>
      <c r="IP1135" s="1"/>
      <c r="IQ1135" s="1"/>
      <c r="IR1135" s="1"/>
      <c r="IS1135" s="1"/>
      <c r="IT1135" s="1"/>
      <c r="IU1135" s="1"/>
      <c r="IV1135" s="1"/>
      <c r="IW1135" s="1"/>
      <c r="IX1135" s="1"/>
      <c r="IY1135" s="1"/>
      <c r="IZ1135" s="1"/>
      <c r="JA1135" s="1"/>
      <c r="JB1135" s="1"/>
      <c r="JC1135" s="1"/>
      <c r="JD1135" s="1"/>
    </row>
    <row r="1136" s="504" customFormat="true" ht="12.75" hidden="true" customHeight="true" outlineLevel="0" collapsed="false">
      <c r="A1136" s="5"/>
      <c r="B1136" s="813" t="n">
        <f aca="false">B1135+1</f>
        <v>921</v>
      </c>
      <c r="C1136" s="814" t="n">
        <f aca="false">C1135+D1136</f>
        <v>139557.604376672</v>
      </c>
      <c r="D1136" s="815" t="n">
        <f aca="false">E1136*$E$205*M1136</f>
        <v>224.527940910888</v>
      </c>
      <c r="E1136" s="601" t="n">
        <f aca="false">E1135+$C$204</f>
        <v>14.2394686016545</v>
      </c>
      <c r="F1136" s="816" t="n">
        <f aca="false">F1135+1</f>
        <v>921</v>
      </c>
      <c r="G1136" s="775" t="n">
        <f aca="false">C1136</f>
        <v>139557.604376672</v>
      </c>
      <c r="H1136" s="817" t="n">
        <f aca="false">1000*(E1136-E1135)</f>
        <v>9.99999999999979</v>
      </c>
      <c r="I1136" s="5"/>
      <c r="J1136" s="818" t="n">
        <f aca="false">1000*(E1136-$E$215)/(B1136-$B$215)</f>
        <v>11.7088706064839</v>
      </c>
      <c r="K1136" s="732" t="n">
        <f aca="false">AVERAGE($E$216:E1136)</f>
        <v>9.63121670154602</v>
      </c>
      <c r="L1136" s="819" t="n">
        <f aca="false">L1135+1</f>
        <v>921</v>
      </c>
      <c r="M1136" s="820" t="n">
        <f aca="false">IF(B1136&lt;$E$104,$E$105,$E$106)</f>
        <v>3</v>
      </c>
      <c r="N1136" s="821" t="n">
        <f aca="false">IF(B1136&lt;$E$104,$E$105,$E$111)</f>
        <v>2.5</v>
      </c>
      <c r="O1136" s="822" t="n">
        <f aca="false">E1136*$E$205*N1136</f>
        <v>187.10661742574</v>
      </c>
      <c r="P1136" s="823" t="n">
        <f aca="false">P1135+O1136</f>
        <v>116349.684247603</v>
      </c>
      <c r="Q1136" s="606" t="n">
        <f aca="false">Q1135+1</f>
        <v>921</v>
      </c>
      <c r="R1136" s="824" t="n">
        <f aca="false">R1135-1</f>
        <v>-921</v>
      </c>
      <c r="S1136" s="5"/>
      <c r="T1136" s="5"/>
      <c r="U1136" s="5"/>
      <c r="V1136" s="10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02"/>
      <c r="AU1136" s="502"/>
      <c r="AV1136" s="606"/>
      <c r="AW1136" s="502"/>
      <c r="AX1136" s="502"/>
      <c r="AY1136" s="502"/>
      <c r="AZ1136" s="502"/>
      <c r="BA1136" s="502"/>
      <c r="BB1136" s="502"/>
      <c r="BC1136" s="502"/>
      <c r="BD1136" s="502"/>
      <c r="BE1136" s="502"/>
      <c r="BF1136" s="502"/>
      <c r="BG1136" s="502"/>
      <c r="BH1136" s="502"/>
      <c r="BI1136" s="502"/>
      <c r="BJ1136" s="502"/>
      <c r="BK1136" s="502"/>
      <c r="BL1136" s="502"/>
      <c r="BM1136" s="502"/>
      <c r="BN1136" s="502"/>
      <c r="BO1136" s="502"/>
      <c r="BP1136" s="5"/>
      <c r="BQ1136" s="5"/>
      <c r="BR1136" s="5"/>
      <c r="BS1136" s="5"/>
      <c r="BT1136" s="5"/>
      <c r="BU1136" s="5"/>
      <c r="BV1136" s="5"/>
      <c r="BW1136" s="5"/>
      <c r="BX1136" s="5"/>
      <c r="BY1136" s="5"/>
      <c r="BZ1136" s="5"/>
      <c r="CA1136" s="5"/>
      <c r="CB1136" s="5"/>
      <c r="CC1136" s="5"/>
      <c r="CD1136" s="5"/>
      <c r="CE1136" s="5"/>
      <c r="CF1136" s="5"/>
      <c r="CG1136" s="5"/>
      <c r="CH1136" s="5"/>
      <c r="CI1136" s="5"/>
      <c r="CJ1136" s="5"/>
      <c r="CK1136" s="5"/>
      <c r="CL1136" s="5"/>
      <c r="CM1136" s="5"/>
      <c r="CN1136" s="5"/>
      <c r="CO1136" s="5"/>
      <c r="CP1136" s="5"/>
      <c r="CQ1136" s="5"/>
      <c r="CR1136" s="5"/>
      <c r="CS1136" s="5"/>
      <c r="CT1136" s="5"/>
      <c r="CU1136" s="5"/>
      <c r="CV1136" s="5"/>
      <c r="CW1136" s="5"/>
      <c r="CX1136" s="5"/>
      <c r="CY1136" s="5"/>
      <c r="CZ1136" s="5"/>
      <c r="DA1136" s="5"/>
      <c r="DB1136" s="5"/>
      <c r="DC1136" s="5"/>
      <c r="DD1136" s="5"/>
      <c r="DE1136" s="5"/>
      <c r="DF1136" s="5"/>
      <c r="DG1136" s="5"/>
      <c r="DH1136" s="5"/>
      <c r="DI1136" s="5"/>
      <c r="DJ1136" s="5"/>
      <c r="DK1136" s="5"/>
      <c r="DL1136" s="5"/>
      <c r="DM1136" s="5"/>
      <c r="DN1136" s="5"/>
      <c r="DO1136" s="5"/>
      <c r="DP1136" s="5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1"/>
      <c r="HA1136" s="1"/>
      <c r="HB1136" s="1"/>
      <c r="HC1136" s="1"/>
      <c r="HD1136" s="1"/>
      <c r="HE1136" s="1"/>
      <c r="HF1136" s="1"/>
      <c r="HG1136" s="1"/>
      <c r="HH1136" s="1"/>
      <c r="HI1136" s="1"/>
      <c r="HJ1136" s="1"/>
      <c r="HK1136" s="1"/>
      <c r="HL1136" s="1"/>
      <c r="HM1136" s="1"/>
      <c r="HN1136" s="1"/>
      <c r="HO1136" s="1"/>
      <c r="HP1136" s="1"/>
      <c r="HQ1136" s="1"/>
      <c r="HR1136" s="1"/>
      <c r="HS1136" s="1"/>
      <c r="HT1136" s="1"/>
      <c r="HU1136" s="1"/>
      <c r="HV1136" s="1"/>
      <c r="HW1136" s="1"/>
      <c r="HX1136" s="1"/>
      <c r="HY1136" s="1"/>
      <c r="HZ1136" s="1"/>
      <c r="IA1136" s="1"/>
      <c r="IB1136" s="1"/>
      <c r="IC1136" s="1"/>
      <c r="ID1136" s="1"/>
      <c r="IE1136" s="1"/>
      <c r="IF1136" s="1"/>
      <c r="IG1136" s="1"/>
      <c r="IH1136" s="1"/>
      <c r="II1136" s="1"/>
      <c r="IJ1136" s="1"/>
      <c r="IK1136" s="1"/>
      <c r="IL1136" s="1"/>
      <c r="IM1136" s="1"/>
      <c r="IN1136" s="1"/>
      <c r="IO1136" s="1"/>
      <c r="IP1136" s="1"/>
      <c r="IQ1136" s="1"/>
      <c r="IR1136" s="1"/>
      <c r="IS1136" s="1"/>
      <c r="IT1136" s="1"/>
      <c r="IU1136" s="1"/>
      <c r="IV1136" s="1"/>
      <c r="IW1136" s="1"/>
      <c r="IX1136" s="1"/>
      <c r="IY1136" s="1"/>
      <c r="IZ1136" s="1"/>
      <c r="JA1136" s="1"/>
      <c r="JB1136" s="1"/>
      <c r="JC1136" s="1"/>
      <c r="JD1136" s="1"/>
    </row>
    <row r="1137" s="504" customFormat="true" ht="12.75" hidden="true" customHeight="true" outlineLevel="0" collapsed="false">
      <c r="A1137" s="5"/>
      <c r="B1137" s="813" t="n">
        <f aca="false">B1136+1</f>
        <v>922</v>
      </c>
      <c r="C1137" s="814" t="n">
        <f aca="false">C1136+D1137</f>
        <v>139782.289997583</v>
      </c>
      <c r="D1137" s="815" t="n">
        <f aca="false">E1137*$E$205*M1137</f>
        <v>224.685620910888</v>
      </c>
      <c r="E1137" s="601" t="n">
        <f aca="false">E1136+$C$204</f>
        <v>14.2494686016545</v>
      </c>
      <c r="F1137" s="816" t="n">
        <f aca="false">F1136+1</f>
        <v>922</v>
      </c>
      <c r="G1137" s="775" t="n">
        <f aca="false">C1137</f>
        <v>139782.289997583</v>
      </c>
      <c r="H1137" s="817" t="n">
        <f aca="false">1000*(E1137-E1136)</f>
        <v>9.99999999999979</v>
      </c>
      <c r="I1137" s="5"/>
      <c r="J1137" s="818" t="n">
        <f aca="false">1000*(E1137-$E$215)/(B1137-$B$215)</f>
        <v>11.7070171676482</v>
      </c>
      <c r="K1137" s="732" t="n">
        <f aca="false">AVERAGE($E$216:E1137)</f>
        <v>9.63622565154613</v>
      </c>
      <c r="L1137" s="819" t="n">
        <f aca="false">L1136+1</f>
        <v>922</v>
      </c>
      <c r="M1137" s="820" t="n">
        <f aca="false">IF(B1137&lt;$E$104,$E$105,$E$106)</f>
        <v>3</v>
      </c>
      <c r="N1137" s="821" t="n">
        <f aca="false">IF(B1137&lt;$E$104,$E$105,$E$111)</f>
        <v>2.5</v>
      </c>
      <c r="O1137" s="822" t="n">
        <f aca="false">E1137*$E$205*N1137</f>
        <v>187.23801742574</v>
      </c>
      <c r="P1137" s="823" t="n">
        <f aca="false">P1136+O1137</f>
        <v>116536.922265029</v>
      </c>
      <c r="Q1137" s="606" t="n">
        <f aca="false">Q1136+1</f>
        <v>922</v>
      </c>
      <c r="R1137" s="824" t="n">
        <f aca="false">R1136-1</f>
        <v>-922</v>
      </c>
      <c r="S1137" s="5"/>
      <c r="T1137" s="5"/>
      <c r="U1137" s="5"/>
      <c r="V1137" s="10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02"/>
      <c r="AU1137" s="502"/>
      <c r="AV1137" s="606"/>
      <c r="AW1137" s="502"/>
      <c r="AX1137" s="502"/>
      <c r="AY1137" s="502"/>
      <c r="AZ1137" s="502"/>
      <c r="BA1137" s="502"/>
      <c r="BB1137" s="502"/>
      <c r="BC1137" s="502"/>
      <c r="BD1137" s="502"/>
      <c r="BE1137" s="502"/>
      <c r="BF1137" s="502"/>
      <c r="BG1137" s="502"/>
      <c r="BH1137" s="502"/>
      <c r="BI1137" s="502"/>
      <c r="BJ1137" s="502"/>
      <c r="BK1137" s="502"/>
      <c r="BL1137" s="502"/>
      <c r="BM1137" s="502"/>
      <c r="BN1137" s="502"/>
      <c r="BO1137" s="502"/>
      <c r="BP1137" s="5"/>
      <c r="BQ1137" s="5"/>
      <c r="BR1137" s="5"/>
      <c r="BS1137" s="5"/>
      <c r="BT1137" s="5"/>
      <c r="BU1137" s="5"/>
      <c r="BV1137" s="5"/>
      <c r="BW1137" s="5"/>
      <c r="BX1137" s="5"/>
      <c r="BY1137" s="5"/>
      <c r="BZ1137" s="5"/>
      <c r="CA1137" s="5"/>
      <c r="CB1137" s="5"/>
      <c r="CC1137" s="5"/>
      <c r="CD1137" s="5"/>
      <c r="CE1137" s="5"/>
      <c r="CF1137" s="5"/>
      <c r="CG1137" s="5"/>
      <c r="CH1137" s="5"/>
      <c r="CI1137" s="5"/>
      <c r="CJ1137" s="5"/>
      <c r="CK1137" s="5"/>
      <c r="CL1137" s="5"/>
      <c r="CM1137" s="5"/>
      <c r="CN1137" s="5"/>
      <c r="CO1137" s="5"/>
      <c r="CP1137" s="5"/>
      <c r="CQ1137" s="5"/>
      <c r="CR1137" s="5"/>
      <c r="CS1137" s="5"/>
      <c r="CT1137" s="5"/>
      <c r="CU1137" s="5"/>
      <c r="CV1137" s="5"/>
      <c r="CW1137" s="5"/>
      <c r="CX1137" s="5"/>
      <c r="CY1137" s="5"/>
      <c r="CZ1137" s="5"/>
      <c r="DA1137" s="5"/>
      <c r="DB1137" s="5"/>
      <c r="DC1137" s="5"/>
      <c r="DD1137" s="5"/>
      <c r="DE1137" s="5"/>
      <c r="DF1137" s="5"/>
      <c r="DG1137" s="5"/>
      <c r="DH1137" s="5"/>
      <c r="DI1137" s="5"/>
      <c r="DJ1137" s="5"/>
      <c r="DK1137" s="5"/>
      <c r="DL1137" s="5"/>
      <c r="DM1137" s="5"/>
      <c r="DN1137" s="5"/>
      <c r="DO1137" s="5"/>
      <c r="DP1137" s="5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  <c r="HA1137" s="1"/>
      <c r="HB1137" s="1"/>
      <c r="HC1137" s="1"/>
      <c r="HD1137" s="1"/>
      <c r="HE1137" s="1"/>
      <c r="HF1137" s="1"/>
      <c r="HG1137" s="1"/>
      <c r="HH1137" s="1"/>
      <c r="HI1137" s="1"/>
      <c r="HJ1137" s="1"/>
      <c r="HK1137" s="1"/>
      <c r="HL1137" s="1"/>
      <c r="HM1137" s="1"/>
      <c r="HN1137" s="1"/>
      <c r="HO1137" s="1"/>
      <c r="HP1137" s="1"/>
      <c r="HQ1137" s="1"/>
      <c r="HR1137" s="1"/>
      <c r="HS1137" s="1"/>
      <c r="HT1137" s="1"/>
      <c r="HU1137" s="1"/>
      <c r="HV1137" s="1"/>
      <c r="HW1137" s="1"/>
      <c r="HX1137" s="1"/>
      <c r="HY1137" s="1"/>
      <c r="HZ1137" s="1"/>
      <c r="IA1137" s="1"/>
      <c r="IB1137" s="1"/>
      <c r="IC1137" s="1"/>
      <c r="ID1137" s="1"/>
      <c r="IE1137" s="1"/>
      <c r="IF1137" s="1"/>
      <c r="IG1137" s="1"/>
      <c r="IH1137" s="1"/>
      <c r="II1137" s="1"/>
      <c r="IJ1137" s="1"/>
      <c r="IK1137" s="1"/>
      <c r="IL1137" s="1"/>
      <c r="IM1137" s="1"/>
      <c r="IN1137" s="1"/>
      <c r="IO1137" s="1"/>
      <c r="IP1137" s="1"/>
      <c r="IQ1137" s="1"/>
      <c r="IR1137" s="1"/>
      <c r="IS1137" s="1"/>
      <c r="IT1137" s="1"/>
      <c r="IU1137" s="1"/>
      <c r="IV1137" s="1"/>
      <c r="IW1137" s="1"/>
      <c r="IX1137" s="1"/>
      <c r="IY1137" s="1"/>
      <c r="IZ1137" s="1"/>
      <c r="JA1137" s="1"/>
      <c r="JB1137" s="1"/>
      <c r="JC1137" s="1"/>
      <c r="JD1137" s="1"/>
    </row>
    <row r="1138" s="504" customFormat="true" ht="12.75" hidden="true" customHeight="true" outlineLevel="0" collapsed="false">
      <c r="A1138" s="5"/>
      <c r="B1138" s="813" t="n">
        <f aca="false">B1137+1</f>
        <v>923</v>
      </c>
      <c r="C1138" s="814" t="n">
        <f aca="false">C1137+D1138</f>
        <v>140007.133298494</v>
      </c>
      <c r="D1138" s="815" t="n">
        <f aca="false">E1138*$E$205*M1138</f>
        <v>224.843300910888</v>
      </c>
      <c r="E1138" s="601" t="n">
        <f aca="false">E1137+$C$204</f>
        <v>14.2594686016545</v>
      </c>
      <c r="F1138" s="816" t="n">
        <f aca="false">F1137+1</f>
        <v>923</v>
      </c>
      <c r="G1138" s="775" t="n">
        <f aca="false">C1138</f>
        <v>140007.133298494</v>
      </c>
      <c r="H1138" s="817" t="n">
        <f aca="false">1000*(E1138-E1137)</f>
        <v>9.99999999999979</v>
      </c>
      <c r="I1138" s="5"/>
      <c r="J1138" s="818" t="n">
        <f aca="false">1000*(E1138-$E$215)/(B1138-$B$215)</f>
        <v>11.7051677449314</v>
      </c>
      <c r="K1138" s="732" t="n">
        <f aca="false">AVERAGE($E$216:E1138)</f>
        <v>9.64123458215297</v>
      </c>
      <c r="L1138" s="819" t="n">
        <f aca="false">L1137+1</f>
        <v>923</v>
      </c>
      <c r="M1138" s="820" t="n">
        <f aca="false">IF(B1138&lt;$E$104,$E$105,$E$106)</f>
        <v>3</v>
      </c>
      <c r="N1138" s="821" t="n">
        <f aca="false">IF(B1138&lt;$E$104,$E$105,$E$111)</f>
        <v>2.5</v>
      </c>
      <c r="O1138" s="822" t="n">
        <f aca="false">E1138*$E$205*N1138</f>
        <v>187.36941742574</v>
      </c>
      <c r="P1138" s="823" t="n">
        <f aca="false">P1137+O1138</f>
        <v>116724.291682455</v>
      </c>
      <c r="Q1138" s="606" t="n">
        <f aca="false">Q1137+1</f>
        <v>923</v>
      </c>
      <c r="R1138" s="824" t="n">
        <f aca="false">R1137-1</f>
        <v>-923</v>
      </c>
      <c r="S1138" s="5"/>
      <c r="T1138" s="5"/>
      <c r="U1138" s="5"/>
      <c r="V1138" s="10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02"/>
      <c r="AU1138" s="502"/>
      <c r="AV1138" s="606"/>
      <c r="AW1138" s="502"/>
      <c r="AX1138" s="502"/>
      <c r="AY1138" s="502"/>
      <c r="AZ1138" s="502"/>
      <c r="BA1138" s="502"/>
      <c r="BB1138" s="502"/>
      <c r="BC1138" s="502"/>
      <c r="BD1138" s="502"/>
      <c r="BE1138" s="502"/>
      <c r="BF1138" s="502"/>
      <c r="BG1138" s="502"/>
      <c r="BH1138" s="502"/>
      <c r="BI1138" s="502"/>
      <c r="BJ1138" s="502"/>
      <c r="BK1138" s="502"/>
      <c r="BL1138" s="502"/>
      <c r="BM1138" s="502"/>
      <c r="BN1138" s="502"/>
      <c r="BO1138" s="502"/>
      <c r="BP1138" s="5"/>
      <c r="BQ1138" s="5"/>
      <c r="BR1138" s="5"/>
      <c r="BS1138" s="5"/>
      <c r="BT1138" s="5"/>
      <c r="BU1138" s="5"/>
      <c r="BV1138" s="5"/>
      <c r="BW1138" s="5"/>
      <c r="BX1138" s="5"/>
      <c r="BY1138" s="5"/>
      <c r="BZ1138" s="5"/>
      <c r="CA1138" s="5"/>
      <c r="CB1138" s="5"/>
      <c r="CC1138" s="5"/>
      <c r="CD1138" s="5"/>
      <c r="CE1138" s="5"/>
      <c r="CF1138" s="5"/>
      <c r="CG1138" s="5"/>
      <c r="CH1138" s="5"/>
      <c r="CI1138" s="5"/>
      <c r="CJ1138" s="5"/>
      <c r="CK1138" s="5"/>
      <c r="CL1138" s="5"/>
      <c r="CM1138" s="5"/>
      <c r="CN1138" s="5"/>
      <c r="CO1138" s="5"/>
      <c r="CP1138" s="5"/>
      <c r="CQ1138" s="5"/>
      <c r="CR1138" s="5"/>
      <c r="CS1138" s="5"/>
      <c r="CT1138" s="5"/>
      <c r="CU1138" s="5"/>
      <c r="CV1138" s="5"/>
      <c r="CW1138" s="5"/>
      <c r="CX1138" s="5"/>
      <c r="CY1138" s="5"/>
      <c r="CZ1138" s="5"/>
      <c r="DA1138" s="5"/>
      <c r="DB1138" s="5"/>
      <c r="DC1138" s="5"/>
      <c r="DD1138" s="5"/>
      <c r="DE1138" s="5"/>
      <c r="DF1138" s="5"/>
      <c r="DG1138" s="5"/>
      <c r="DH1138" s="5"/>
      <c r="DI1138" s="5"/>
      <c r="DJ1138" s="5"/>
      <c r="DK1138" s="5"/>
      <c r="DL1138" s="5"/>
      <c r="DM1138" s="5"/>
      <c r="DN1138" s="5"/>
      <c r="DO1138" s="5"/>
      <c r="DP1138" s="5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  <c r="HA1138" s="1"/>
      <c r="HB1138" s="1"/>
      <c r="HC1138" s="1"/>
      <c r="HD1138" s="1"/>
      <c r="HE1138" s="1"/>
      <c r="HF1138" s="1"/>
      <c r="HG1138" s="1"/>
      <c r="HH1138" s="1"/>
      <c r="HI1138" s="1"/>
      <c r="HJ1138" s="1"/>
      <c r="HK1138" s="1"/>
      <c r="HL1138" s="1"/>
      <c r="HM1138" s="1"/>
      <c r="HN1138" s="1"/>
      <c r="HO1138" s="1"/>
      <c r="HP1138" s="1"/>
      <c r="HQ1138" s="1"/>
      <c r="HR1138" s="1"/>
      <c r="HS1138" s="1"/>
      <c r="HT1138" s="1"/>
      <c r="HU1138" s="1"/>
      <c r="HV1138" s="1"/>
      <c r="HW1138" s="1"/>
      <c r="HX1138" s="1"/>
      <c r="HY1138" s="1"/>
      <c r="HZ1138" s="1"/>
      <c r="IA1138" s="1"/>
      <c r="IB1138" s="1"/>
      <c r="IC1138" s="1"/>
      <c r="ID1138" s="1"/>
      <c r="IE1138" s="1"/>
      <c r="IF1138" s="1"/>
      <c r="IG1138" s="1"/>
      <c r="IH1138" s="1"/>
      <c r="II1138" s="1"/>
      <c r="IJ1138" s="1"/>
      <c r="IK1138" s="1"/>
      <c r="IL1138" s="1"/>
      <c r="IM1138" s="1"/>
      <c r="IN1138" s="1"/>
      <c r="IO1138" s="1"/>
      <c r="IP1138" s="1"/>
      <c r="IQ1138" s="1"/>
      <c r="IR1138" s="1"/>
      <c r="IS1138" s="1"/>
      <c r="IT1138" s="1"/>
      <c r="IU1138" s="1"/>
      <c r="IV1138" s="1"/>
      <c r="IW1138" s="1"/>
      <c r="IX1138" s="1"/>
      <c r="IY1138" s="1"/>
      <c r="IZ1138" s="1"/>
      <c r="JA1138" s="1"/>
      <c r="JB1138" s="1"/>
      <c r="JC1138" s="1"/>
      <c r="JD1138" s="1"/>
    </row>
    <row r="1139" s="504" customFormat="true" ht="12.75" hidden="true" customHeight="true" outlineLevel="0" collapsed="false">
      <c r="A1139" s="5"/>
      <c r="B1139" s="813" t="n">
        <f aca="false">B1138+1</f>
        <v>924</v>
      </c>
      <c r="C1139" s="814" t="n">
        <f aca="false">C1138+D1139</f>
        <v>140232.134279405</v>
      </c>
      <c r="D1139" s="815" t="n">
        <f aca="false">E1139*$E$205*M1139</f>
        <v>225.000980910888</v>
      </c>
      <c r="E1139" s="601" t="n">
        <f aca="false">E1138+$C$204</f>
        <v>14.2694686016545</v>
      </c>
      <c r="F1139" s="816" t="n">
        <f aca="false">F1138+1</f>
        <v>924</v>
      </c>
      <c r="G1139" s="775" t="n">
        <f aca="false">C1139</f>
        <v>140232.134279405</v>
      </c>
      <c r="H1139" s="817" t="n">
        <f aca="false">1000*(E1139-E1138)</f>
        <v>9.99999999999979</v>
      </c>
      <c r="I1139" s="5"/>
      <c r="J1139" s="818" t="n">
        <f aca="false">1000*(E1139-$E$215)/(B1139-$B$215)</f>
        <v>11.703322325294</v>
      </c>
      <c r="K1139" s="732" t="n">
        <f aca="false">AVERAGE($E$216:E1139)</f>
        <v>9.64624349342949</v>
      </c>
      <c r="L1139" s="819" t="n">
        <f aca="false">L1138+1</f>
        <v>924</v>
      </c>
      <c r="M1139" s="820" t="n">
        <f aca="false">IF(B1139&lt;$E$104,$E$105,$E$106)</f>
        <v>3</v>
      </c>
      <c r="N1139" s="821" t="n">
        <f aca="false">IF(B1139&lt;$E$104,$E$105,$E$111)</f>
        <v>2.5</v>
      </c>
      <c r="O1139" s="822" t="n">
        <f aca="false">E1139*$E$205*N1139</f>
        <v>187.50081742574</v>
      </c>
      <c r="P1139" s="823" t="n">
        <f aca="false">P1138+O1139</f>
        <v>116911.79249988</v>
      </c>
      <c r="Q1139" s="606" t="n">
        <f aca="false">Q1138+1</f>
        <v>924</v>
      </c>
      <c r="R1139" s="824" t="n">
        <f aca="false">R1138-1</f>
        <v>-924</v>
      </c>
      <c r="S1139" s="5"/>
      <c r="T1139" s="5"/>
      <c r="U1139" s="5"/>
      <c r="V1139" s="10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02"/>
      <c r="AU1139" s="502"/>
      <c r="AV1139" s="606"/>
      <c r="AW1139" s="502"/>
      <c r="AX1139" s="502"/>
      <c r="AY1139" s="502"/>
      <c r="AZ1139" s="502"/>
      <c r="BA1139" s="502"/>
      <c r="BB1139" s="502"/>
      <c r="BC1139" s="502"/>
      <c r="BD1139" s="502"/>
      <c r="BE1139" s="502"/>
      <c r="BF1139" s="502"/>
      <c r="BG1139" s="502"/>
      <c r="BH1139" s="502"/>
      <c r="BI1139" s="502"/>
      <c r="BJ1139" s="502"/>
      <c r="BK1139" s="502"/>
      <c r="BL1139" s="502"/>
      <c r="BM1139" s="502"/>
      <c r="BN1139" s="502"/>
      <c r="BO1139" s="502"/>
      <c r="BP1139" s="5"/>
      <c r="BQ1139" s="5"/>
      <c r="BR1139" s="5"/>
      <c r="BS1139" s="5"/>
      <c r="BT1139" s="5"/>
      <c r="BU1139" s="5"/>
      <c r="BV1139" s="5"/>
      <c r="BW1139" s="5"/>
      <c r="BX1139" s="5"/>
      <c r="BY1139" s="5"/>
      <c r="BZ1139" s="5"/>
      <c r="CA1139" s="5"/>
      <c r="CB1139" s="5"/>
      <c r="CC1139" s="5"/>
      <c r="CD1139" s="5"/>
      <c r="CE1139" s="5"/>
      <c r="CF1139" s="5"/>
      <c r="CG1139" s="5"/>
      <c r="CH1139" s="5"/>
      <c r="CI1139" s="5"/>
      <c r="CJ1139" s="5"/>
      <c r="CK1139" s="5"/>
      <c r="CL1139" s="5"/>
      <c r="CM1139" s="5"/>
      <c r="CN1139" s="5"/>
      <c r="CO1139" s="5"/>
      <c r="CP1139" s="5"/>
      <c r="CQ1139" s="5"/>
      <c r="CR1139" s="5"/>
      <c r="CS1139" s="5"/>
      <c r="CT1139" s="5"/>
      <c r="CU1139" s="5"/>
      <c r="CV1139" s="5"/>
      <c r="CW1139" s="5"/>
      <c r="CX1139" s="5"/>
      <c r="CY1139" s="5"/>
      <c r="CZ1139" s="5"/>
      <c r="DA1139" s="5"/>
      <c r="DB1139" s="5"/>
      <c r="DC1139" s="5"/>
      <c r="DD1139" s="5"/>
      <c r="DE1139" s="5"/>
      <c r="DF1139" s="5"/>
      <c r="DG1139" s="5"/>
      <c r="DH1139" s="5"/>
      <c r="DI1139" s="5"/>
      <c r="DJ1139" s="5"/>
      <c r="DK1139" s="5"/>
      <c r="DL1139" s="5"/>
      <c r="DM1139" s="5"/>
      <c r="DN1139" s="5"/>
      <c r="DO1139" s="5"/>
      <c r="DP1139" s="5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  <c r="HA1139" s="1"/>
      <c r="HB1139" s="1"/>
      <c r="HC1139" s="1"/>
      <c r="HD1139" s="1"/>
      <c r="HE1139" s="1"/>
      <c r="HF1139" s="1"/>
      <c r="HG1139" s="1"/>
      <c r="HH1139" s="1"/>
      <c r="HI1139" s="1"/>
      <c r="HJ1139" s="1"/>
      <c r="HK1139" s="1"/>
      <c r="HL1139" s="1"/>
      <c r="HM1139" s="1"/>
      <c r="HN1139" s="1"/>
      <c r="HO1139" s="1"/>
      <c r="HP1139" s="1"/>
      <c r="HQ1139" s="1"/>
      <c r="HR1139" s="1"/>
      <c r="HS1139" s="1"/>
      <c r="HT1139" s="1"/>
      <c r="HU1139" s="1"/>
      <c r="HV1139" s="1"/>
      <c r="HW1139" s="1"/>
      <c r="HX1139" s="1"/>
      <c r="HY1139" s="1"/>
      <c r="HZ1139" s="1"/>
      <c r="IA1139" s="1"/>
      <c r="IB1139" s="1"/>
      <c r="IC1139" s="1"/>
      <c r="ID1139" s="1"/>
      <c r="IE1139" s="1"/>
      <c r="IF1139" s="1"/>
      <c r="IG1139" s="1"/>
      <c r="IH1139" s="1"/>
      <c r="II1139" s="1"/>
      <c r="IJ1139" s="1"/>
      <c r="IK1139" s="1"/>
      <c r="IL1139" s="1"/>
      <c r="IM1139" s="1"/>
      <c r="IN1139" s="1"/>
      <c r="IO1139" s="1"/>
      <c r="IP1139" s="1"/>
      <c r="IQ1139" s="1"/>
      <c r="IR1139" s="1"/>
      <c r="IS1139" s="1"/>
      <c r="IT1139" s="1"/>
      <c r="IU1139" s="1"/>
      <c r="IV1139" s="1"/>
      <c r="IW1139" s="1"/>
      <c r="IX1139" s="1"/>
      <c r="IY1139" s="1"/>
      <c r="IZ1139" s="1"/>
      <c r="JA1139" s="1"/>
      <c r="JB1139" s="1"/>
      <c r="JC1139" s="1"/>
      <c r="JD1139" s="1"/>
    </row>
    <row r="1140" s="504" customFormat="true" ht="12.75" hidden="true" customHeight="true" outlineLevel="0" collapsed="false">
      <c r="A1140" s="5"/>
      <c r="B1140" s="813" t="n">
        <f aca="false">B1139+1</f>
        <v>925</v>
      </c>
      <c r="C1140" s="814" t="n">
        <f aca="false">C1139+D1140</f>
        <v>140457.292940316</v>
      </c>
      <c r="D1140" s="815" t="n">
        <f aca="false">E1140*$E$205*M1140</f>
        <v>225.158660910888</v>
      </c>
      <c r="E1140" s="601" t="n">
        <f aca="false">E1139+$C$204</f>
        <v>14.2794686016545</v>
      </c>
      <c r="F1140" s="816" t="n">
        <f aca="false">F1139+1</f>
        <v>925</v>
      </c>
      <c r="G1140" s="775" t="n">
        <f aca="false">C1140</f>
        <v>140457.292940316</v>
      </c>
      <c r="H1140" s="817" t="n">
        <f aca="false">1000*(E1140-E1139)</f>
        <v>9.99999999999979</v>
      </c>
      <c r="I1140" s="5"/>
      <c r="J1140" s="818" t="n">
        <f aca="false">1000*(E1140-$E$215)/(B1140-$B$215)</f>
        <v>11.7014808957531</v>
      </c>
      <c r="K1140" s="732" t="n">
        <f aca="false">AVERAGE($E$216:E1140)</f>
        <v>9.65125238543838</v>
      </c>
      <c r="L1140" s="819" t="n">
        <f aca="false">L1139+1</f>
        <v>925</v>
      </c>
      <c r="M1140" s="820" t="n">
        <f aca="false">IF(B1140&lt;$E$104,$E$105,$E$106)</f>
        <v>3</v>
      </c>
      <c r="N1140" s="821" t="n">
        <f aca="false">IF(B1140&lt;$E$104,$E$105,$E$111)</f>
        <v>2.5</v>
      </c>
      <c r="O1140" s="822" t="n">
        <f aca="false">E1140*$E$205*N1140</f>
        <v>187.63221742574</v>
      </c>
      <c r="P1140" s="823" t="n">
        <f aca="false">P1139+O1140</f>
        <v>117099.424717306</v>
      </c>
      <c r="Q1140" s="606" t="n">
        <f aca="false">Q1139+1</f>
        <v>925</v>
      </c>
      <c r="R1140" s="824" t="n">
        <f aca="false">R1139-1</f>
        <v>-925</v>
      </c>
      <c r="S1140" s="5"/>
      <c r="T1140" s="5"/>
      <c r="U1140" s="5"/>
      <c r="V1140" s="10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02"/>
      <c r="AU1140" s="502"/>
      <c r="AV1140" s="606"/>
      <c r="AW1140" s="502"/>
      <c r="AX1140" s="502"/>
      <c r="AY1140" s="502"/>
      <c r="AZ1140" s="502"/>
      <c r="BA1140" s="502"/>
      <c r="BB1140" s="502"/>
      <c r="BC1140" s="502"/>
      <c r="BD1140" s="502"/>
      <c r="BE1140" s="502"/>
      <c r="BF1140" s="502"/>
      <c r="BG1140" s="502"/>
      <c r="BH1140" s="502"/>
      <c r="BI1140" s="502"/>
      <c r="BJ1140" s="502"/>
      <c r="BK1140" s="502"/>
      <c r="BL1140" s="502"/>
      <c r="BM1140" s="502"/>
      <c r="BN1140" s="502"/>
      <c r="BO1140" s="502"/>
      <c r="BP1140" s="5"/>
      <c r="BQ1140" s="5"/>
      <c r="BR1140" s="5"/>
      <c r="BS1140" s="5"/>
      <c r="BT1140" s="5"/>
      <c r="BU1140" s="5"/>
      <c r="BV1140" s="5"/>
      <c r="BW1140" s="5"/>
      <c r="BX1140" s="5"/>
      <c r="BY1140" s="5"/>
      <c r="BZ1140" s="5"/>
      <c r="CA1140" s="5"/>
      <c r="CB1140" s="5"/>
      <c r="CC1140" s="5"/>
      <c r="CD1140" s="5"/>
      <c r="CE1140" s="5"/>
      <c r="CF1140" s="5"/>
      <c r="CG1140" s="5"/>
      <c r="CH1140" s="5"/>
      <c r="CI1140" s="5"/>
      <c r="CJ1140" s="5"/>
      <c r="CK1140" s="5"/>
      <c r="CL1140" s="5"/>
      <c r="CM1140" s="5"/>
      <c r="CN1140" s="5"/>
      <c r="CO1140" s="5"/>
      <c r="CP1140" s="5"/>
      <c r="CQ1140" s="5"/>
      <c r="CR1140" s="5"/>
      <c r="CS1140" s="5"/>
      <c r="CT1140" s="5"/>
      <c r="CU1140" s="5"/>
      <c r="CV1140" s="5"/>
      <c r="CW1140" s="5"/>
      <c r="CX1140" s="5"/>
      <c r="CY1140" s="5"/>
      <c r="CZ1140" s="5"/>
      <c r="DA1140" s="5"/>
      <c r="DB1140" s="5"/>
      <c r="DC1140" s="5"/>
      <c r="DD1140" s="5"/>
      <c r="DE1140" s="5"/>
      <c r="DF1140" s="5"/>
      <c r="DG1140" s="5"/>
      <c r="DH1140" s="5"/>
      <c r="DI1140" s="5"/>
      <c r="DJ1140" s="5"/>
      <c r="DK1140" s="5"/>
      <c r="DL1140" s="5"/>
      <c r="DM1140" s="5"/>
      <c r="DN1140" s="5"/>
      <c r="DO1140" s="5"/>
      <c r="DP1140" s="5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  <c r="HA1140" s="1"/>
      <c r="HB1140" s="1"/>
      <c r="HC1140" s="1"/>
      <c r="HD1140" s="1"/>
      <c r="HE1140" s="1"/>
      <c r="HF1140" s="1"/>
      <c r="HG1140" s="1"/>
      <c r="HH1140" s="1"/>
      <c r="HI1140" s="1"/>
      <c r="HJ1140" s="1"/>
      <c r="HK1140" s="1"/>
      <c r="HL1140" s="1"/>
      <c r="HM1140" s="1"/>
      <c r="HN1140" s="1"/>
      <c r="HO1140" s="1"/>
      <c r="HP1140" s="1"/>
      <c r="HQ1140" s="1"/>
      <c r="HR1140" s="1"/>
      <c r="HS1140" s="1"/>
      <c r="HT1140" s="1"/>
      <c r="HU1140" s="1"/>
      <c r="HV1140" s="1"/>
      <c r="HW1140" s="1"/>
      <c r="HX1140" s="1"/>
      <c r="HY1140" s="1"/>
      <c r="HZ1140" s="1"/>
      <c r="IA1140" s="1"/>
      <c r="IB1140" s="1"/>
      <c r="IC1140" s="1"/>
      <c r="ID1140" s="1"/>
      <c r="IE1140" s="1"/>
      <c r="IF1140" s="1"/>
      <c r="IG1140" s="1"/>
      <c r="IH1140" s="1"/>
      <c r="II1140" s="1"/>
      <c r="IJ1140" s="1"/>
      <c r="IK1140" s="1"/>
      <c r="IL1140" s="1"/>
      <c r="IM1140" s="1"/>
      <c r="IN1140" s="1"/>
      <c r="IO1140" s="1"/>
      <c r="IP1140" s="1"/>
      <c r="IQ1140" s="1"/>
      <c r="IR1140" s="1"/>
      <c r="IS1140" s="1"/>
      <c r="IT1140" s="1"/>
      <c r="IU1140" s="1"/>
      <c r="IV1140" s="1"/>
      <c r="IW1140" s="1"/>
      <c r="IX1140" s="1"/>
      <c r="IY1140" s="1"/>
      <c r="IZ1140" s="1"/>
      <c r="JA1140" s="1"/>
      <c r="JB1140" s="1"/>
      <c r="JC1140" s="1"/>
      <c r="JD1140" s="1"/>
    </row>
    <row r="1141" s="504" customFormat="true" ht="12.75" hidden="true" customHeight="true" outlineLevel="0" collapsed="false">
      <c r="A1141" s="5"/>
      <c r="B1141" s="813" t="n">
        <f aca="false">B1140+1</f>
        <v>926</v>
      </c>
      <c r="C1141" s="814" t="n">
        <f aca="false">C1140+D1141</f>
        <v>140682.609281227</v>
      </c>
      <c r="D1141" s="815" t="n">
        <f aca="false">E1141*$E$205*M1141</f>
        <v>225.316340910888</v>
      </c>
      <c r="E1141" s="601" t="n">
        <f aca="false">E1140+$C$204</f>
        <v>14.2894686016545</v>
      </c>
      <c r="F1141" s="816" t="n">
        <f aca="false">F1140+1</f>
        <v>926</v>
      </c>
      <c r="G1141" s="775" t="n">
        <f aca="false">C1141</f>
        <v>140682.609281227</v>
      </c>
      <c r="H1141" s="817" t="n">
        <f aca="false">1000*(E1141-E1140)</f>
        <v>9.99999999999979</v>
      </c>
      <c r="I1141" s="5"/>
      <c r="J1141" s="818" t="n">
        <f aca="false">1000*(E1141-$E$215)/(B1141-$B$215)</f>
        <v>11.6996434433819</v>
      </c>
      <c r="K1141" s="732" t="n">
        <f aca="false">AVERAGE($E$216:E1141)</f>
        <v>9.65626125824207</v>
      </c>
      <c r="L1141" s="819" t="n">
        <f aca="false">L1140+1</f>
        <v>926</v>
      </c>
      <c r="M1141" s="820" t="n">
        <f aca="false">IF(B1141&lt;$E$104,$E$105,$E$106)</f>
        <v>3</v>
      </c>
      <c r="N1141" s="821" t="n">
        <f aca="false">IF(B1141&lt;$E$104,$E$105,$E$111)</f>
        <v>2.5</v>
      </c>
      <c r="O1141" s="822" t="n">
        <f aca="false">E1141*$E$205*N1141</f>
        <v>187.76361742574</v>
      </c>
      <c r="P1141" s="823" t="n">
        <f aca="false">P1140+O1141</f>
        <v>117287.188334732</v>
      </c>
      <c r="Q1141" s="606" t="n">
        <f aca="false">Q1140+1</f>
        <v>926</v>
      </c>
      <c r="R1141" s="824" t="n">
        <f aca="false">R1140-1</f>
        <v>-926</v>
      </c>
      <c r="S1141" s="5"/>
      <c r="T1141" s="5"/>
      <c r="U1141" s="5"/>
      <c r="V1141" s="10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02"/>
      <c r="AU1141" s="502"/>
      <c r="AV1141" s="606"/>
      <c r="AW1141" s="502"/>
      <c r="AX1141" s="502"/>
      <c r="AY1141" s="502"/>
      <c r="AZ1141" s="502"/>
      <c r="BA1141" s="502"/>
      <c r="BB1141" s="502"/>
      <c r="BC1141" s="502"/>
      <c r="BD1141" s="502"/>
      <c r="BE1141" s="502"/>
      <c r="BF1141" s="502"/>
      <c r="BG1141" s="502"/>
      <c r="BH1141" s="502"/>
      <c r="BI1141" s="502"/>
      <c r="BJ1141" s="502"/>
      <c r="BK1141" s="502"/>
      <c r="BL1141" s="502"/>
      <c r="BM1141" s="502"/>
      <c r="BN1141" s="502"/>
      <c r="BO1141" s="502"/>
      <c r="BP1141" s="5"/>
      <c r="BQ1141" s="5"/>
      <c r="BR1141" s="5"/>
      <c r="BS1141" s="5"/>
      <c r="BT1141" s="5"/>
      <c r="BU1141" s="5"/>
      <c r="BV1141" s="5"/>
      <c r="BW1141" s="5"/>
      <c r="BX1141" s="5"/>
      <c r="BY1141" s="5"/>
      <c r="BZ1141" s="5"/>
      <c r="CA1141" s="5"/>
      <c r="CB1141" s="5"/>
      <c r="CC1141" s="5"/>
      <c r="CD1141" s="5"/>
      <c r="CE1141" s="5"/>
      <c r="CF1141" s="5"/>
      <c r="CG1141" s="5"/>
      <c r="CH1141" s="5"/>
      <c r="CI1141" s="5"/>
      <c r="CJ1141" s="5"/>
      <c r="CK1141" s="5"/>
      <c r="CL1141" s="5"/>
      <c r="CM1141" s="5"/>
      <c r="CN1141" s="5"/>
      <c r="CO1141" s="5"/>
      <c r="CP1141" s="5"/>
      <c r="CQ1141" s="5"/>
      <c r="CR1141" s="5"/>
      <c r="CS1141" s="5"/>
      <c r="CT1141" s="5"/>
      <c r="CU1141" s="5"/>
      <c r="CV1141" s="5"/>
      <c r="CW1141" s="5"/>
      <c r="CX1141" s="5"/>
      <c r="CY1141" s="5"/>
      <c r="CZ1141" s="5"/>
      <c r="DA1141" s="5"/>
      <c r="DB1141" s="5"/>
      <c r="DC1141" s="5"/>
      <c r="DD1141" s="5"/>
      <c r="DE1141" s="5"/>
      <c r="DF1141" s="5"/>
      <c r="DG1141" s="5"/>
      <c r="DH1141" s="5"/>
      <c r="DI1141" s="5"/>
      <c r="DJ1141" s="5"/>
      <c r="DK1141" s="5"/>
      <c r="DL1141" s="5"/>
      <c r="DM1141" s="5"/>
      <c r="DN1141" s="5"/>
      <c r="DO1141" s="5"/>
      <c r="DP1141" s="5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  <c r="HA1141" s="1"/>
      <c r="HB1141" s="1"/>
      <c r="HC1141" s="1"/>
      <c r="HD1141" s="1"/>
      <c r="HE1141" s="1"/>
      <c r="HF1141" s="1"/>
      <c r="HG1141" s="1"/>
      <c r="HH1141" s="1"/>
      <c r="HI1141" s="1"/>
      <c r="HJ1141" s="1"/>
      <c r="HK1141" s="1"/>
      <c r="HL1141" s="1"/>
      <c r="HM1141" s="1"/>
      <c r="HN1141" s="1"/>
      <c r="HO1141" s="1"/>
      <c r="HP1141" s="1"/>
      <c r="HQ1141" s="1"/>
      <c r="HR1141" s="1"/>
      <c r="HS1141" s="1"/>
      <c r="HT1141" s="1"/>
      <c r="HU1141" s="1"/>
      <c r="HV1141" s="1"/>
      <c r="HW1141" s="1"/>
      <c r="HX1141" s="1"/>
      <c r="HY1141" s="1"/>
      <c r="HZ1141" s="1"/>
      <c r="IA1141" s="1"/>
      <c r="IB1141" s="1"/>
      <c r="IC1141" s="1"/>
      <c r="ID1141" s="1"/>
      <c r="IE1141" s="1"/>
      <c r="IF1141" s="1"/>
      <c r="IG1141" s="1"/>
      <c r="IH1141" s="1"/>
      <c r="II1141" s="1"/>
      <c r="IJ1141" s="1"/>
      <c r="IK1141" s="1"/>
      <c r="IL1141" s="1"/>
      <c r="IM1141" s="1"/>
      <c r="IN1141" s="1"/>
      <c r="IO1141" s="1"/>
      <c r="IP1141" s="1"/>
      <c r="IQ1141" s="1"/>
      <c r="IR1141" s="1"/>
      <c r="IS1141" s="1"/>
      <c r="IT1141" s="1"/>
      <c r="IU1141" s="1"/>
      <c r="IV1141" s="1"/>
      <c r="IW1141" s="1"/>
      <c r="IX1141" s="1"/>
      <c r="IY1141" s="1"/>
      <c r="IZ1141" s="1"/>
      <c r="JA1141" s="1"/>
      <c r="JB1141" s="1"/>
      <c r="JC1141" s="1"/>
      <c r="JD1141" s="1"/>
    </row>
    <row r="1142" s="504" customFormat="true" ht="12.75" hidden="true" customHeight="true" outlineLevel="0" collapsed="false">
      <c r="A1142" s="5"/>
      <c r="B1142" s="813" t="n">
        <f aca="false">B1141+1</f>
        <v>927</v>
      </c>
      <c r="C1142" s="814" t="n">
        <f aca="false">C1141+D1142</f>
        <v>140908.083302137</v>
      </c>
      <c r="D1142" s="815" t="n">
        <f aca="false">E1142*$E$205*M1142</f>
        <v>225.474020910888</v>
      </c>
      <c r="E1142" s="601" t="n">
        <f aca="false">E1141+$C$204</f>
        <v>14.2994686016545</v>
      </c>
      <c r="F1142" s="816" t="n">
        <f aca="false">F1141+1</f>
        <v>927</v>
      </c>
      <c r="G1142" s="775" t="n">
        <f aca="false">C1142</f>
        <v>140908.083302137</v>
      </c>
      <c r="H1142" s="817" t="n">
        <f aca="false">1000*(E1142-E1141)</f>
        <v>9.99999999999979</v>
      </c>
      <c r="I1142" s="5"/>
      <c r="J1142" s="818" t="n">
        <f aca="false">1000*(E1142-$E$215)/(B1142-$B$215)</f>
        <v>11.6978099553092</v>
      </c>
      <c r="K1142" s="732" t="n">
        <f aca="false">AVERAGE($E$216:E1142)</f>
        <v>9.66127011190271</v>
      </c>
      <c r="L1142" s="819" t="n">
        <f aca="false">L1141+1</f>
        <v>927</v>
      </c>
      <c r="M1142" s="820" t="n">
        <f aca="false">IF(B1142&lt;$E$104,$E$105,$E$106)</f>
        <v>3</v>
      </c>
      <c r="N1142" s="821" t="n">
        <f aca="false">IF(B1142&lt;$E$104,$E$105,$E$111)</f>
        <v>2.5</v>
      </c>
      <c r="O1142" s="822" t="n">
        <f aca="false">E1142*$E$205*N1142</f>
        <v>187.89501742574</v>
      </c>
      <c r="P1142" s="823" t="n">
        <f aca="false">P1141+O1142</f>
        <v>117475.083352157</v>
      </c>
      <c r="Q1142" s="606" t="n">
        <f aca="false">Q1141+1</f>
        <v>927</v>
      </c>
      <c r="R1142" s="824" t="n">
        <f aca="false">R1141-1</f>
        <v>-927</v>
      </c>
      <c r="S1142" s="5"/>
      <c r="T1142" s="5"/>
      <c r="U1142" s="5"/>
      <c r="V1142" s="10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02"/>
      <c r="AU1142" s="502"/>
      <c r="AV1142" s="606"/>
      <c r="AW1142" s="502"/>
      <c r="AX1142" s="502"/>
      <c r="AY1142" s="502"/>
      <c r="AZ1142" s="502"/>
      <c r="BA1142" s="502"/>
      <c r="BB1142" s="502"/>
      <c r="BC1142" s="502"/>
      <c r="BD1142" s="502"/>
      <c r="BE1142" s="502"/>
      <c r="BF1142" s="502"/>
      <c r="BG1142" s="502"/>
      <c r="BH1142" s="502"/>
      <c r="BI1142" s="502"/>
      <c r="BJ1142" s="502"/>
      <c r="BK1142" s="502"/>
      <c r="BL1142" s="502"/>
      <c r="BM1142" s="502"/>
      <c r="BN1142" s="502"/>
      <c r="BO1142" s="502"/>
      <c r="BP1142" s="5"/>
      <c r="BQ1142" s="5"/>
      <c r="BR1142" s="5"/>
      <c r="BS1142" s="5"/>
      <c r="BT1142" s="5"/>
      <c r="BU1142" s="5"/>
      <c r="BV1142" s="5"/>
      <c r="BW1142" s="5"/>
      <c r="BX1142" s="5"/>
      <c r="BY1142" s="5"/>
      <c r="BZ1142" s="5"/>
      <c r="CA1142" s="5"/>
      <c r="CB1142" s="5"/>
      <c r="CC1142" s="5"/>
      <c r="CD1142" s="5"/>
      <c r="CE1142" s="5"/>
      <c r="CF1142" s="5"/>
      <c r="CG1142" s="5"/>
      <c r="CH1142" s="5"/>
      <c r="CI1142" s="5"/>
      <c r="CJ1142" s="5"/>
      <c r="CK1142" s="5"/>
      <c r="CL1142" s="5"/>
      <c r="CM1142" s="5"/>
      <c r="CN1142" s="5"/>
      <c r="CO1142" s="5"/>
      <c r="CP1142" s="5"/>
      <c r="CQ1142" s="5"/>
      <c r="CR1142" s="5"/>
      <c r="CS1142" s="5"/>
      <c r="CT1142" s="5"/>
      <c r="CU1142" s="5"/>
      <c r="CV1142" s="5"/>
      <c r="CW1142" s="5"/>
      <c r="CX1142" s="5"/>
      <c r="CY1142" s="5"/>
      <c r="CZ1142" s="5"/>
      <c r="DA1142" s="5"/>
      <c r="DB1142" s="5"/>
      <c r="DC1142" s="5"/>
      <c r="DD1142" s="5"/>
      <c r="DE1142" s="5"/>
      <c r="DF1142" s="5"/>
      <c r="DG1142" s="5"/>
      <c r="DH1142" s="5"/>
      <c r="DI1142" s="5"/>
      <c r="DJ1142" s="5"/>
      <c r="DK1142" s="5"/>
      <c r="DL1142" s="5"/>
      <c r="DM1142" s="5"/>
      <c r="DN1142" s="5"/>
      <c r="DO1142" s="5"/>
      <c r="DP1142" s="5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  <c r="HA1142" s="1"/>
      <c r="HB1142" s="1"/>
      <c r="HC1142" s="1"/>
      <c r="HD1142" s="1"/>
      <c r="HE1142" s="1"/>
      <c r="HF1142" s="1"/>
      <c r="HG1142" s="1"/>
      <c r="HH1142" s="1"/>
      <c r="HI1142" s="1"/>
      <c r="HJ1142" s="1"/>
      <c r="HK1142" s="1"/>
      <c r="HL1142" s="1"/>
      <c r="HM1142" s="1"/>
      <c r="HN1142" s="1"/>
      <c r="HO1142" s="1"/>
      <c r="HP1142" s="1"/>
      <c r="HQ1142" s="1"/>
      <c r="HR1142" s="1"/>
      <c r="HS1142" s="1"/>
      <c r="HT1142" s="1"/>
      <c r="HU1142" s="1"/>
      <c r="HV1142" s="1"/>
      <c r="HW1142" s="1"/>
      <c r="HX1142" s="1"/>
      <c r="HY1142" s="1"/>
      <c r="HZ1142" s="1"/>
      <c r="IA1142" s="1"/>
      <c r="IB1142" s="1"/>
      <c r="IC1142" s="1"/>
      <c r="ID1142" s="1"/>
      <c r="IE1142" s="1"/>
      <c r="IF1142" s="1"/>
      <c r="IG1142" s="1"/>
      <c r="IH1142" s="1"/>
      <c r="II1142" s="1"/>
      <c r="IJ1142" s="1"/>
      <c r="IK1142" s="1"/>
      <c r="IL1142" s="1"/>
      <c r="IM1142" s="1"/>
      <c r="IN1142" s="1"/>
      <c r="IO1142" s="1"/>
      <c r="IP1142" s="1"/>
      <c r="IQ1142" s="1"/>
      <c r="IR1142" s="1"/>
      <c r="IS1142" s="1"/>
      <c r="IT1142" s="1"/>
      <c r="IU1142" s="1"/>
      <c r="IV1142" s="1"/>
      <c r="IW1142" s="1"/>
      <c r="IX1142" s="1"/>
      <c r="IY1142" s="1"/>
      <c r="IZ1142" s="1"/>
      <c r="JA1142" s="1"/>
      <c r="JB1142" s="1"/>
      <c r="JC1142" s="1"/>
      <c r="JD1142" s="1"/>
    </row>
    <row r="1143" s="504" customFormat="true" ht="12.75" hidden="true" customHeight="true" outlineLevel="0" collapsed="false">
      <c r="A1143" s="5"/>
      <c r="B1143" s="813" t="n">
        <f aca="false">B1142+1</f>
        <v>928</v>
      </c>
      <c r="C1143" s="814" t="n">
        <f aca="false">C1142+D1143</f>
        <v>141133.715003048</v>
      </c>
      <c r="D1143" s="815" t="n">
        <f aca="false">E1143*$E$205*M1143</f>
        <v>225.631700910888</v>
      </c>
      <c r="E1143" s="601" t="n">
        <f aca="false">E1142+$C$204</f>
        <v>14.3094686016545</v>
      </c>
      <c r="F1143" s="816" t="n">
        <f aca="false">F1142+1</f>
        <v>928</v>
      </c>
      <c r="G1143" s="775" t="n">
        <f aca="false">C1143</f>
        <v>141133.715003048</v>
      </c>
      <c r="H1143" s="817" t="n">
        <f aca="false">1000*(E1143-E1142)</f>
        <v>9.99999999999979</v>
      </c>
      <c r="I1143" s="5"/>
      <c r="J1143" s="818" t="n">
        <f aca="false">1000*(E1143-$E$215)/(B1143-$B$215)</f>
        <v>11.6959804187194</v>
      </c>
      <c r="K1143" s="732" t="n">
        <f aca="false">AVERAGE($E$216:E1143)</f>
        <v>9.66627894648218</v>
      </c>
      <c r="L1143" s="819" t="n">
        <f aca="false">L1142+1</f>
        <v>928</v>
      </c>
      <c r="M1143" s="820" t="n">
        <f aca="false">IF(B1143&lt;$E$104,$E$105,$E$106)</f>
        <v>3</v>
      </c>
      <c r="N1143" s="821" t="n">
        <f aca="false">IF(B1143&lt;$E$104,$E$105,$E$111)</f>
        <v>2.5</v>
      </c>
      <c r="O1143" s="822" t="n">
        <f aca="false">E1143*$E$205*N1143</f>
        <v>188.02641742574</v>
      </c>
      <c r="P1143" s="823" t="n">
        <f aca="false">P1142+O1143</f>
        <v>117663.109769583</v>
      </c>
      <c r="Q1143" s="606" t="n">
        <f aca="false">Q1142+1</f>
        <v>928</v>
      </c>
      <c r="R1143" s="824" t="n">
        <f aca="false">R1142-1</f>
        <v>-928</v>
      </c>
      <c r="S1143" s="5"/>
      <c r="T1143" s="5"/>
      <c r="U1143" s="5"/>
      <c r="V1143" s="10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02"/>
      <c r="AU1143" s="502"/>
      <c r="AV1143" s="606"/>
      <c r="AW1143" s="502"/>
      <c r="AX1143" s="502"/>
      <c r="AY1143" s="502"/>
      <c r="AZ1143" s="502"/>
      <c r="BA1143" s="502"/>
      <c r="BB1143" s="502"/>
      <c r="BC1143" s="502"/>
      <c r="BD1143" s="502"/>
      <c r="BE1143" s="502"/>
      <c r="BF1143" s="502"/>
      <c r="BG1143" s="502"/>
      <c r="BH1143" s="502"/>
      <c r="BI1143" s="502"/>
      <c r="BJ1143" s="502"/>
      <c r="BK1143" s="502"/>
      <c r="BL1143" s="502"/>
      <c r="BM1143" s="502"/>
      <c r="BN1143" s="502"/>
      <c r="BO1143" s="502"/>
      <c r="BP1143" s="5"/>
      <c r="BQ1143" s="5"/>
      <c r="BR1143" s="5"/>
      <c r="BS1143" s="5"/>
      <c r="BT1143" s="5"/>
      <c r="BU1143" s="5"/>
      <c r="BV1143" s="5"/>
      <c r="BW1143" s="5"/>
      <c r="BX1143" s="5"/>
      <c r="BY1143" s="5"/>
      <c r="BZ1143" s="5"/>
      <c r="CA1143" s="5"/>
      <c r="CB1143" s="5"/>
      <c r="CC1143" s="5"/>
      <c r="CD1143" s="5"/>
      <c r="CE1143" s="5"/>
      <c r="CF1143" s="5"/>
      <c r="CG1143" s="5"/>
      <c r="CH1143" s="5"/>
      <c r="CI1143" s="5"/>
      <c r="CJ1143" s="5"/>
      <c r="CK1143" s="5"/>
      <c r="CL1143" s="5"/>
      <c r="CM1143" s="5"/>
      <c r="CN1143" s="5"/>
      <c r="CO1143" s="5"/>
      <c r="CP1143" s="5"/>
      <c r="CQ1143" s="5"/>
      <c r="CR1143" s="5"/>
      <c r="CS1143" s="5"/>
      <c r="CT1143" s="5"/>
      <c r="CU1143" s="5"/>
      <c r="CV1143" s="5"/>
      <c r="CW1143" s="5"/>
      <c r="CX1143" s="5"/>
      <c r="CY1143" s="5"/>
      <c r="CZ1143" s="5"/>
      <c r="DA1143" s="5"/>
      <c r="DB1143" s="5"/>
      <c r="DC1143" s="5"/>
      <c r="DD1143" s="5"/>
      <c r="DE1143" s="5"/>
      <c r="DF1143" s="5"/>
      <c r="DG1143" s="5"/>
      <c r="DH1143" s="5"/>
      <c r="DI1143" s="5"/>
      <c r="DJ1143" s="5"/>
      <c r="DK1143" s="5"/>
      <c r="DL1143" s="5"/>
      <c r="DM1143" s="5"/>
      <c r="DN1143" s="5"/>
      <c r="DO1143" s="5"/>
      <c r="DP1143" s="5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  <c r="GY1143" s="1"/>
      <c r="GZ1143" s="1"/>
      <c r="HA1143" s="1"/>
      <c r="HB1143" s="1"/>
      <c r="HC1143" s="1"/>
      <c r="HD1143" s="1"/>
      <c r="HE1143" s="1"/>
      <c r="HF1143" s="1"/>
      <c r="HG1143" s="1"/>
      <c r="HH1143" s="1"/>
      <c r="HI1143" s="1"/>
      <c r="HJ1143" s="1"/>
      <c r="HK1143" s="1"/>
      <c r="HL1143" s="1"/>
      <c r="HM1143" s="1"/>
      <c r="HN1143" s="1"/>
      <c r="HO1143" s="1"/>
      <c r="HP1143" s="1"/>
      <c r="HQ1143" s="1"/>
      <c r="HR1143" s="1"/>
      <c r="HS1143" s="1"/>
      <c r="HT1143" s="1"/>
      <c r="HU1143" s="1"/>
      <c r="HV1143" s="1"/>
      <c r="HW1143" s="1"/>
      <c r="HX1143" s="1"/>
      <c r="HY1143" s="1"/>
      <c r="HZ1143" s="1"/>
      <c r="IA1143" s="1"/>
      <c r="IB1143" s="1"/>
      <c r="IC1143" s="1"/>
      <c r="ID1143" s="1"/>
      <c r="IE1143" s="1"/>
      <c r="IF1143" s="1"/>
      <c r="IG1143" s="1"/>
      <c r="IH1143" s="1"/>
      <c r="II1143" s="1"/>
      <c r="IJ1143" s="1"/>
      <c r="IK1143" s="1"/>
      <c r="IL1143" s="1"/>
      <c r="IM1143" s="1"/>
      <c r="IN1143" s="1"/>
      <c r="IO1143" s="1"/>
      <c r="IP1143" s="1"/>
      <c r="IQ1143" s="1"/>
      <c r="IR1143" s="1"/>
      <c r="IS1143" s="1"/>
      <c r="IT1143" s="1"/>
      <c r="IU1143" s="1"/>
      <c r="IV1143" s="1"/>
      <c r="IW1143" s="1"/>
      <c r="IX1143" s="1"/>
      <c r="IY1143" s="1"/>
      <c r="IZ1143" s="1"/>
      <c r="JA1143" s="1"/>
      <c r="JB1143" s="1"/>
      <c r="JC1143" s="1"/>
      <c r="JD1143" s="1"/>
    </row>
    <row r="1144" s="504" customFormat="true" ht="12.75" hidden="true" customHeight="true" outlineLevel="0" collapsed="false">
      <c r="A1144" s="5"/>
      <c r="B1144" s="813" t="n">
        <f aca="false">B1143+1</f>
        <v>929</v>
      </c>
      <c r="C1144" s="814" t="n">
        <f aca="false">C1143+D1144</f>
        <v>141359.504383959</v>
      </c>
      <c r="D1144" s="815" t="n">
        <f aca="false">E1144*$E$205*M1144</f>
        <v>225.789380910888</v>
      </c>
      <c r="E1144" s="601" t="n">
        <f aca="false">E1143+$C$204</f>
        <v>14.3194686016545</v>
      </c>
      <c r="F1144" s="816" t="n">
        <f aca="false">F1143+1</f>
        <v>929</v>
      </c>
      <c r="G1144" s="775" t="n">
        <f aca="false">C1144</f>
        <v>141359.504383959</v>
      </c>
      <c r="H1144" s="817" t="n">
        <f aca="false">1000*(E1144-E1143)</f>
        <v>9.99999999999979</v>
      </c>
      <c r="I1144" s="5"/>
      <c r="J1144" s="818" t="n">
        <f aca="false">1000*(E1144-$E$215)/(B1144-$B$215)</f>
        <v>11.6941548208521</v>
      </c>
      <c r="K1144" s="732" t="n">
        <f aca="false">AVERAGE($E$216:E1144)</f>
        <v>9.67128776204211</v>
      </c>
      <c r="L1144" s="819" t="n">
        <f aca="false">L1143+1</f>
        <v>929</v>
      </c>
      <c r="M1144" s="820" t="n">
        <f aca="false">IF(B1144&lt;$E$104,$E$105,$E$106)</f>
        <v>3</v>
      </c>
      <c r="N1144" s="821" t="n">
        <f aca="false">IF(B1144&lt;$E$104,$E$105,$E$111)</f>
        <v>2.5</v>
      </c>
      <c r="O1144" s="822" t="n">
        <f aca="false">E1144*$E$205*N1144</f>
        <v>188.15781742574</v>
      </c>
      <c r="P1144" s="823" t="n">
        <f aca="false">P1143+O1144</f>
        <v>117851.267587009</v>
      </c>
      <c r="Q1144" s="606" t="n">
        <f aca="false">Q1143+1</f>
        <v>929</v>
      </c>
      <c r="R1144" s="824" t="n">
        <f aca="false">R1143-1</f>
        <v>-929</v>
      </c>
      <c r="S1144" s="5"/>
      <c r="T1144" s="5"/>
      <c r="U1144" s="5"/>
      <c r="V1144" s="10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02"/>
      <c r="AU1144" s="502"/>
      <c r="AV1144" s="606"/>
      <c r="AW1144" s="502"/>
      <c r="AX1144" s="502"/>
      <c r="AY1144" s="502"/>
      <c r="AZ1144" s="502"/>
      <c r="BA1144" s="502"/>
      <c r="BB1144" s="502"/>
      <c r="BC1144" s="502"/>
      <c r="BD1144" s="502"/>
      <c r="BE1144" s="502"/>
      <c r="BF1144" s="502"/>
      <c r="BG1144" s="502"/>
      <c r="BH1144" s="502"/>
      <c r="BI1144" s="502"/>
      <c r="BJ1144" s="502"/>
      <c r="BK1144" s="502"/>
      <c r="BL1144" s="502"/>
      <c r="BM1144" s="502"/>
      <c r="BN1144" s="502"/>
      <c r="BO1144" s="502"/>
      <c r="BP1144" s="5"/>
      <c r="BQ1144" s="5"/>
      <c r="BR1144" s="5"/>
      <c r="BS1144" s="5"/>
      <c r="BT1144" s="5"/>
      <c r="BU1144" s="5"/>
      <c r="BV1144" s="5"/>
      <c r="BW1144" s="5"/>
      <c r="BX1144" s="5"/>
      <c r="BY1144" s="5"/>
      <c r="BZ1144" s="5"/>
      <c r="CA1144" s="5"/>
      <c r="CB1144" s="5"/>
      <c r="CC1144" s="5"/>
      <c r="CD1144" s="5"/>
      <c r="CE1144" s="5"/>
      <c r="CF1144" s="5"/>
      <c r="CG1144" s="5"/>
      <c r="CH1144" s="5"/>
      <c r="CI1144" s="5"/>
      <c r="CJ1144" s="5"/>
      <c r="CK1144" s="5"/>
      <c r="CL1144" s="5"/>
      <c r="CM1144" s="5"/>
      <c r="CN1144" s="5"/>
      <c r="CO1144" s="5"/>
      <c r="CP1144" s="5"/>
      <c r="CQ1144" s="5"/>
      <c r="CR1144" s="5"/>
      <c r="CS1144" s="5"/>
      <c r="CT1144" s="5"/>
      <c r="CU1144" s="5"/>
      <c r="CV1144" s="5"/>
      <c r="CW1144" s="5"/>
      <c r="CX1144" s="5"/>
      <c r="CY1144" s="5"/>
      <c r="CZ1144" s="5"/>
      <c r="DA1144" s="5"/>
      <c r="DB1144" s="5"/>
      <c r="DC1144" s="5"/>
      <c r="DD1144" s="5"/>
      <c r="DE1144" s="5"/>
      <c r="DF1144" s="5"/>
      <c r="DG1144" s="5"/>
      <c r="DH1144" s="5"/>
      <c r="DI1144" s="5"/>
      <c r="DJ1144" s="5"/>
      <c r="DK1144" s="5"/>
      <c r="DL1144" s="5"/>
      <c r="DM1144" s="5"/>
      <c r="DN1144" s="5"/>
      <c r="DO1144" s="5"/>
      <c r="DP1144" s="5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1"/>
      <c r="HA1144" s="1"/>
      <c r="HB1144" s="1"/>
      <c r="HC1144" s="1"/>
      <c r="HD1144" s="1"/>
      <c r="HE1144" s="1"/>
      <c r="HF1144" s="1"/>
      <c r="HG1144" s="1"/>
      <c r="HH1144" s="1"/>
      <c r="HI1144" s="1"/>
      <c r="HJ1144" s="1"/>
      <c r="HK1144" s="1"/>
      <c r="HL1144" s="1"/>
      <c r="HM1144" s="1"/>
      <c r="HN1144" s="1"/>
      <c r="HO1144" s="1"/>
      <c r="HP1144" s="1"/>
      <c r="HQ1144" s="1"/>
      <c r="HR1144" s="1"/>
      <c r="HS1144" s="1"/>
      <c r="HT1144" s="1"/>
      <c r="HU1144" s="1"/>
      <c r="HV1144" s="1"/>
      <c r="HW1144" s="1"/>
      <c r="HX1144" s="1"/>
      <c r="HY1144" s="1"/>
      <c r="HZ1144" s="1"/>
      <c r="IA1144" s="1"/>
      <c r="IB1144" s="1"/>
      <c r="IC1144" s="1"/>
      <c r="ID1144" s="1"/>
      <c r="IE1144" s="1"/>
      <c r="IF1144" s="1"/>
      <c r="IG1144" s="1"/>
      <c r="IH1144" s="1"/>
      <c r="II1144" s="1"/>
      <c r="IJ1144" s="1"/>
      <c r="IK1144" s="1"/>
      <c r="IL1144" s="1"/>
      <c r="IM1144" s="1"/>
      <c r="IN1144" s="1"/>
      <c r="IO1144" s="1"/>
      <c r="IP1144" s="1"/>
      <c r="IQ1144" s="1"/>
      <c r="IR1144" s="1"/>
      <c r="IS1144" s="1"/>
      <c r="IT1144" s="1"/>
      <c r="IU1144" s="1"/>
      <c r="IV1144" s="1"/>
      <c r="IW1144" s="1"/>
      <c r="IX1144" s="1"/>
      <c r="IY1144" s="1"/>
      <c r="IZ1144" s="1"/>
      <c r="JA1144" s="1"/>
      <c r="JB1144" s="1"/>
      <c r="JC1144" s="1"/>
      <c r="JD1144" s="1"/>
    </row>
    <row r="1145" s="504" customFormat="true" ht="12.75" hidden="true" customHeight="true" outlineLevel="0" collapsed="false">
      <c r="A1145" s="5"/>
      <c r="B1145" s="813" t="n">
        <f aca="false">B1144+1</f>
        <v>930</v>
      </c>
      <c r="C1145" s="814" t="n">
        <f aca="false">C1144+D1145</f>
        <v>141585.45144487</v>
      </c>
      <c r="D1145" s="815" t="n">
        <f aca="false">E1145*$E$205*M1145</f>
        <v>225.947060910888</v>
      </c>
      <c r="E1145" s="601" t="n">
        <f aca="false">E1144+$C$204</f>
        <v>14.3294686016545</v>
      </c>
      <c r="F1145" s="816" t="n">
        <f aca="false">F1144+1</f>
        <v>930</v>
      </c>
      <c r="G1145" s="775" t="n">
        <f aca="false">C1145</f>
        <v>141585.45144487</v>
      </c>
      <c r="H1145" s="817" t="n">
        <f aca="false">1000*(E1145-E1144)</f>
        <v>9.99999999999979</v>
      </c>
      <c r="I1145" s="5"/>
      <c r="J1145" s="818" t="n">
        <f aca="false">1000*(E1145-$E$215)/(B1145-$B$215)</f>
        <v>11.6923331490018</v>
      </c>
      <c r="K1145" s="732" t="n">
        <f aca="false">AVERAGE($E$216:E1145)</f>
        <v>9.67629655864384</v>
      </c>
      <c r="L1145" s="819" t="n">
        <f aca="false">L1144+1</f>
        <v>930</v>
      </c>
      <c r="M1145" s="820" t="n">
        <f aca="false">IF(B1145&lt;$E$104,$E$105,$E$106)</f>
        <v>3</v>
      </c>
      <c r="N1145" s="821" t="n">
        <f aca="false">IF(B1145&lt;$E$104,$E$105,$E$111)</f>
        <v>2.5</v>
      </c>
      <c r="O1145" s="822" t="n">
        <f aca="false">E1145*$E$205*N1145</f>
        <v>188.28921742574</v>
      </c>
      <c r="P1145" s="823" t="n">
        <f aca="false">P1144+O1145</f>
        <v>118039.556804435</v>
      </c>
      <c r="Q1145" s="606" t="n">
        <f aca="false">Q1144+1</f>
        <v>930</v>
      </c>
      <c r="R1145" s="824" t="n">
        <f aca="false">R1144-1</f>
        <v>-930</v>
      </c>
      <c r="S1145" s="5"/>
      <c r="T1145" s="5"/>
      <c r="U1145" s="5"/>
      <c r="V1145" s="10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02"/>
      <c r="AU1145" s="502"/>
      <c r="AV1145" s="606"/>
      <c r="AW1145" s="502"/>
      <c r="AX1145" s="502"/>
      <c r="AY1145" s="502"/>
      <c r="AZ1145" s="502"/>
      <c r="BA1145" s="502"/>
      <c r="BB1145" s="502"/>
      <c r="BC1145" s="502"/>
      <c r="BD1145" s="502"/>
      <c r="BE1145" s="502"/>
      <c r="BF1145" s="502"/>
      <c r="BG1145" s="502"/>
      <c r="BH1145" s="502"/>
      <c r="BI1145" s="502"/>
      <c r="BJ1145" s="502"/>
      <c r="BK1145" s="502"/>
      <c r="BL1145" s="502"/>
      <c r="BM1145" s="502"/>
      <c r="BN1145" s="502"/>
      <c r="BO1145" s="502"/>
      <c r="BP1145" s="5"/>
      <c r="BQ1145" s="5"/>
      <c r="BR1145" s="5"/>
      <c r="BS1145" s="5"/>
      <c r="BT1145" s="5"/>
      <c r="BU1145" s="5"/>
      <c r="BV1145" s="5"/>
      <c r="BW1145" s="5"/>
      <c r="BX1145" s="5"/>
      <c r="BY1145" s="5"/>
      <c r="BZ1145" s="5"/>
      <c r="CA1145" s="5"/>
      <c r="CB1145" s="5"/>
      <c r="CC1145" s="5"/>
      <c r="CD1145" s="5"/>
      <c r="CE1145" s="5"/>
      <c r="CF1145" s="5"/>
      <c r="CG1145" s="5"/>
      <c r="CH1145" s="5"/>
      <c r="CI1145" s="5"/>
      <c r="CJ1145" s="5"/>
      <c r="CK1145" s="5"/>
      <c r="CL1145" s="5"/>
      <c r="CM1145" s="5"/>
      <c r="CN1145" s="5"/>
      <c r="CO1145" s="5"/>
      <c r="CP1145" s="5"/>
      <c r="CQ1145" s="5"/>
      <c r="CR1145" s="5"/>
      <c r="CS1145" s="5"/>
      <c r="CT1145" s="5"/>
      <c r="CU1145" s="5"/>
      <c r="CV1145" s="5"/>
      <c r="CW1145" s="5"/>
      <c r="CX1145" s="5"/>
      <c r="CY1145" s="5"/>
      <c r="CZ1145" s="5"/>
      <c r="DA1145" s="5"/>
      <c r="DB1145" s="5"/>
      <c r="DC1145" s="5"/>
      <c r="DD1145" s="5"/>
      <c r="DE1145" s="5"/>
      <c r="DF1145" s="5"/>
      <c r="DG1145" s="5"/>
      <c r="DH1145" s="5"/>
      <c r="DI1145" s="5"/>
      <c r="DJ1145" s="5"/>
      <c r="DK1145" s="5"/>
      <c r="DL1145" s="5"/>
      <c r="DM1145" s="5"/>
      <c r="DN1145" s="5"/>
      <c r="DO1145" s="5"/>
      <c r="DP1145" s="5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  <c r="HA1145" s="1"/>
      <c r="HB1145" s="1"/>
      <c r="HC1145" s="1"/>
      <c r="HD1145" s="1"/>
      <c r="HE1145" s="1"/>
      <c r="HF1145" s="1"/>
      <c r="HG1145" s="1"/>
      <c r="HH1145" s="1"/>
      <c r="HI1145" s="1"/>
      <c r="HJ1145" s="1"/>
      <c r="HK1145" s="1"/>
      <c r="HL1145" s="1"/>
      <c r="HM1145" s="1"/>
      <c r="HN1145" s="1"/>
      <c r="HO1145" s="1"/>
      <c r="HP1145" s="1"/>
      <c r="HQ1145" s="1"/>
      <c r="HR1145" s="1"/>
      <c r="HS1145" s="1"/>
      <c r="HT1145" s="1"/>
      <c r="HU1145" s="1"/>
      <c r="HV1145" s="1"/>
      <c r="HW1145" s="1"/>
      <c r="HX1145" s="1"/>
      <c r="HY1145" s="1"/>
      <c r="HZ1145" s="1"/>
      <c r="IA1145" s="1"/>
      <c r="IB1145" s="1"/>
      <c r="IC1145" s="1"/>
      <c r="ID1145" s="1"/>
      <c r="IE1145" s="1"/>
      <c r="IF1145" s="1"/>
      <c r="IG1145" s="1"/>
      <c r="IH1145" s="1"/>
      <c r="II1145" s="1"/>
      <c r="IJ1145" s="1"/>
      <c r="IK1145" s="1"/>
      <c r="IL1145" s="1"/>
      <c r="IM1145" s="1"/>
      <c r="IN1145" s="1"/>
      <c r="IO1145" s="1"/>
      <c r="IP1145" s="1"/>
      <c r="IQ1145" s="1"/>
      <c r="IR1145" s="1"/>
      <c r="IS1145" s="1"/>
      <c r="IT1145" s="1"/>
      <c r="IU1145" s="1"/>
      <c r="IV1145" s="1"/>
      <c r="IW1145" s="1"/>
      <c r="IX1145" s="1"/>
      <c r="IY1145" s="1"/>
      <c r="IZ1145" s="1"/>
      <c r="JA1145" s="1"/>
      <c r="JB1145" s="1"/>
      <c r="JC1145" s="1"/>
      <c r="JD1145" s="1"/>
    </row>
    <row r="1146" s="504" customFormat="true" ht="12.75" hidden="true" customHeight="true" outlineLevel="0" collapsed="false">
      <c r="A1146" s="5"/>
      <c r="B1146" s="813" t="n">
        <f aca="false">B1145+1</f>
        <v>931</v>
      </c>
      <c r="C1146" s="814" t="n">
        <f aca="false">C1145+D1146</f>
        <v>141811.556185781</v>
      </c>
      <c r="D1146" s="815" t="n">
        <f aca="false">E1146*$E$205*M1146</f>
        <v>226.104740910888</v>
      </c>
      <c r="E1146" s="601" t="n">
        <f aca="false">E1145+$C$204</f>
        <v>14.3394686016545</v>
      </c>
      <c r="F1146" s="816" t="n">
        <f aca="false">F1145+1</f>
        <v>931</v>
      </c>
      <c r="G1146" s="775" t="n">
        <f aca="false">C1146</f>
        <v>141811.556185781</v>
      </c>
      <c r="H1146" s="817" t="n">
        <f aca="false">1000*(E1146-E1145)</f>
        <v>9.99999999999979</v>
      </c>
      <c r="I1146" s="5"/>
      <c r="J1146" s="818" t="n">
        <f aca="false">1000*(E1146-$E$215)/(B1146-$B$215)</f>
        <v>11.6905153905173</v>
      </c>
      <c r="K1146" s="732" t="n">
        <f aca="false">AVERAGE($E$216:E1146)</f>
        <v>9.68130533634847</v>
      </c>
      <c r="L1146" s="819" t="n">
        <f aca="false">L1145+1</f>
        <v>931</v>
      </c>
      <c r="M1146" s="820" t="n">
        <f aca="false">IF(B1146&lt;$E$104,$E$105,$E$106)</f>
        <v>3</v>
      </c>
      <c r="N1146" s="821" t="n">
        <f aca="false">IF(B1146&lt;$E$104,$E$105,$E$111)</f>
        <v>2.5</v>
      </c>
      <c r="O1146" s="822" t="n">
        <f aca="false">E1146*$E$205*N1146</f>
        <v>188.42061742574</v>
      </c>
      <c r="P1146" s="823" t="n">
        <f aca="false">P1145+O1146</f>
        <v>118227.97742186</v>
      </c>
      <c r="Q1146" s="606" t="n">
        <f aca="false">Q1145+1</f>
        <v>931</v>
      </c>
      <c r="R1146" s="824" t="n">
        <f aca="false">R1145-1</f>
        <v>-931</v>
      </c>
      <c r="S1146" s="5"/>
      <c r="T1146" s="5"/>
      <c r="U1146" s="5"/>
      <c r="V1146" s="10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02"/>
      <c r="AU1146" s="502"/>
      <c r="AV1146" s="606"/>
      <c r="AW1146" s="502"/>
      <c r="AX1146" s="502"/>
      <c r="AY1146" s="502"/>
      <c r="AZ1146" s="502"/>
      <c r="BA1146" s="502"/>
      <c r="BB1146" s="502"/>
      <c r="BC1146" s="502"/>
      <c r="BD1146" s="502"/>
      <c r="BE1146" s="502"/>
      <c r="BF1146" s="502"/>
      <c r="BG1146" s="502"/>
      <c r="BH1146" s="502"/>
      <c r="BI1146" s="502"/>
      <c r="BJ1146" s="502"/>
      <c r="BK1146" s="502"/>
      <c r="BL1146" s="502"/>
      <c r="BM1146" s="502"/>
      <c r="BN1146" s="502"/>
      <c r="BO1146" s="502"/>
      <c r="BP1146" s="5"/>
      <c r="BQ1146" s="5"/>
      <c r="BR1146" s="5"/>
      <c r="BS1146" s="5"/>
      <c r="BT1146" s="5"/>
      <c r="BU1146" s="5"/>
      <c r="BV1146" s="5"/>
      <c r="BW1146" s="5"/>
      <c r="BX1146" s="5"/>
      <c r="BY1146" s="5"/>
      <c r="BZ1146" s="5"/>
      <c r="CA1146" s="5"/>
      <c r="CB1146" s="5"/>
      <c r="CC1146" s="5"/>
      <c r="CD1146" s="5"/>
      <c r="CE1146" s="5"/>
      <c r="CF1146" s="5"/>
      <c r="CG1146" s="5"/>
      <c r="CH1146" s="5"/>
      <c r="CI1146" s="5"/>
      <c r="CJ1146" s="5"/>
      <c r="CK1146" s="5"/>
      <c r="CL1146" s="5"/>
      <c r="CM1146" s="5"/>
      <c r="CN1146" s="5"/>
      <c r="CO1146" s="5"/>
      <c r="CP1146" s="5"/>
      <c r="CQ1146" s="5"/>
      <c r="CR1146" s="5"/>
      <c r="CS1146" s="5"/>
      <c r="CT1146" s="5"/>
      <c r="CU1146" s="5"/>
      <c r="CV1146" s="5"/>
      <c r="CW1146" s="5"/>
      <c r="CX1146" s="5"/>
      <c r="CY1146" s="5"/>
      <c r="CZ1146" s="5"/>
      <c r="DA1146" s="5"/>
      <c r="DB1146" s="5"/>
      <c r="DC1146" s="5"/>
      <c r="DD1146" s="5"/>
      <c r="DE1146" s="5"/>
      <c r="DF1146" s="5"/>
      <c r="DG1146" s="5"/>
      <c r="DH1146" s="5"/>
      <c r="DI1146" s="5"/>
      <c r="DJ1146" s="5"/>
      <c r="DK1146" s="5"/>
      <c r="DL1146" s="5"/>
      <c r="DM1146" s="5"/>
      <c r="DN1146" s="5"/>
      <c r="DO1146" s="5"/>
      <c r="DP1146" s="5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  <c r="GV1146" s="1"/>
      <c r="GW1146" s="1"/>
      <c r="GX1146" s="1"/>
      <c r="GY1146" s="1"/>
      <c r="GZ1146" s="1"/>
      <c r="HA1146" s="1"/>
      <c r="HB1146" s="1"/>
      <c r="HC1146" s="1"/>
      <c r="HD1146" s="1"/>
      <c r="HE1146" s="1"/>
      <c r="HF1146" s="1"/>
      <c r="HG1146" s="1"/>
      <c r="HH1146" s="1"/>
      <c r="HI1146" s="1"/>
      <c r="HJ1146" s="1"/>
      <c r="HK1146" s="1"/>
      <c r="HL1146" s="1"/>
      <c r="HM1146" s="1"/>
      <c r="HN1146" s="1"/>
      <c r="HO1146" s="1"/>
      <c r="HP1146" s="1"/>
      <c r="HQ1146" s="1"/>
      <c r="HR1146" s="1"/>
      <c r="HS1146" s="1"/>
      <c r="HT1146" s="1"/>
      <c r="HU1146" s="1"/>
      <c r="HV1146" s="1"/>
      <c r="HW1146" s="1"/>
      <c r="HX1146" s="1"/>
      <c r="HY1146" s="1"/>
      <c r="HZ1146" s="1"/>
      <c r="IA1146" s="1"/>
      <c r="IB1146" s="1"/>
      <c r="IC1146" s="1"/>
      <c r="ID1146" s="1"/>
      <c r="IE1146" s="1"/>
      <c r="IF1146" s="1"/>
      <c r="IG1146" s="1"/>
      <c r="IH1146" s="1"/>
      <c r="II1146" s="1"/>
      <c r="IJ1146" s="1"/>
      <c r="IK1146" s="1"/>
      <c r="IL1146" s="1"/>
      <c r="IM1146" s="1"/>
      <c r="IN1146" s="1"/>
      <c r="IO1146" s="1"/>
      <c r="IP1146" s="1"/>
      <c r="IQ1146" s="1"/>
      <c r="IR1146" s="1"/>
      <c r="IS1146" s="1"/>
      <c r="IT1146" s="1"/>
      <c r="IU1146" s="1"/>
      <c r="IV1146" s="1"/>
      <c r="IW1146" s="1"/>
      <c r="IX1146" s="1"/>
      <c r="IY1146" s="1"/>
      <c r="IZ1146" s="1"/>
      <c r="JA1146" s="1"/>
      <c r="JB1146" s="1"/>
      <c r="JC1146" s="1"/>
      <c r="JD1146" s="1"/>
    </row>
    <row r="1147" s="504" customFormat="true" ht="12.75" hidden="true" customHeight="true" outlineLevel="0" collapsed="false">
      <c r="A1147" s="5"/>
      <c r="B1147" s="813" t="n">
        <f aca="false">B1146+1</f>
        <v>932</v>
      </c>
      <c r="C1147" s="814" t="n">
        <f aca="false">C1146+D1147</f>
        <v>142037.818606692</v>
      </c>
      <c r="D1147" s="815" t="n">
        <f aca="false">E1147*$E$205*M1147</f>
        <v>226.262420910888</v>
      </c>
      <c r="E1147" s="601" t="n">
        <f aca="false">E1146+$C$204</f>
        <v>14.3494686016545</v>
      </c>
      <c r="F1147" s="816" t="n">
        <f aca="false">F1146+1</f>
        <v>932</v>
      </c>
      <c r="G1147" s="775" t="n">
        <f aca="false">C1147</f>
        <v>142037.818606692</v>
      </c>
      <c r="H1147" s="817" t="n">
        <f aca="false">1000*(E1147-E1146)</f>
        <v>9.99999999999979</v>
      </c>
      <c r="I1147" s="5"/>
      <c r="J1147" s="818" t="n">
        <f aca="false">1000*(E1147-$E$215)/(B1147-$B$215)</f>
        <v>11.6887015328022</v>
      </c>
      <c r="K1147" s="732" t="n">
        <f aca="false">AVERAGE($E$216:E1147)</f>
        <v>9.68631409521682</v>
      </c>
      <c r="L1147" s="819" t="n">
        <f aca="false">L1146+1</f>
        <v>932</v>
      </c>
      <c r="M1147" s="820" t="n">
        <f aca="false">IF(B1147&lt;$E$104,$E$105,$E$106)</f>
        <v>3</v>
      </c>
      <c r="N1147" s="821" t="n">
        <f aca="false">IF(B1147&lt;$E$104,$E$105,$E$111)</f>
        <v>2.5</v>
      </c>
      <c r="O1147" s="822" t="n">
        <f aca="false">E1147*$E$205*N1147</f>
        <v>188.55201742574</v>
      </c>
      <c r="P1147" s="823" t="n">
        <f aca="false">P1146+O1147</f>
        <v>118416.529439286</v>
      </c>
      <c r="Q1147" s="606" t="n">
        <f aca="false">Q1146+1</f>
        <v>932</v>
      </c>
      <c r="R1147" s="824" t="n">
        <f aca="false">R1146-1</f>
        <v>-932</v>
      </c>
      <c r="S1147" s="5"/>
      <c r="T1147" s="5"/>
      <c r="U1147" s="5"/>
      <c r="V1147" s="10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02"/>
      <c r="AU1147" s="502"/>
      <c r="AV1147" s="606"/>
      <c r="AW1147" s="502"/>
      <c r="AX1147" s="502"/>
      <c r="AY1147" s="502"/>
      <c r="AZ1147" s="502"/>
      <c r="BA1147" s="502"/>
      <c r="BB1147" s="502"/>
      <c r="BC1147" s="502"/>
      <c r="BD1147" s="502"/>
      <c r="BE1147" s="502"/>
      <c r="BF1147" s="502"/>
      <c r="BG1147" s="502"/>
      <c r="BH1147" s="502"/>
      <c r="BI1147" s="502"/>
      <c r="BJ1147" s="502"/>
      <c r="BK1147" s="502"/>
      <c r="BL1147" s="502"/>
      <c r="BM1147" s="502"/>
      <c r="BN1147" s="502"/>
      <c r="BO1147" s="502"/>
      <c r="BP1147" s="5"/>
      <c r="BQ1147" s="5"/>
      <c r="BR1147" s="5"/>
      <c r="BS1147" s="5"/>
      <c r="BT1147" s="5"/>
      <c r="BU1147" s="5"/>
      <c r="BV1147" s="5"/>
      <c r="BW1147" s="5"/>
      <c r="BX1147" s="5"/>
      <c r="BY1147" s="5"/>
      <c r="BZ1147" s="5"/>
      <c r="CA1147" s="5"/>
      <c r="CB1147" s="5"/>
      <c r="CC1147" s="5"/>
      <c r="CD1147" s="5"/>
      <c r="CE1147" s="5"/>
      <c r="CF1147" s="5"/>
      <c r="CG1147" s="5"/>
      <c r="CH1147" s="5"/>
      <c r="CI1147" s="5"/>
      <c r="CJ1147" s="5"/>
      <c r="CK1147" s="5"/>
      <c r="CL1147" s="5"/>
      <c r="CM1147" s="5"/>
      <c r="CN1147" s="5"/>
      <c r="CO1147" s="5"/>
      <c r="CP1147" s="5"/>
      <c r="CQ1147" s="5"/>
      <c r="CR1147" s="5"/>
      <c r="CS1147" s="5"/>
      <c r="CT1147" s="5"/>
      <c r="CU1147" s="5"/>
      <c r="CV1147" s="5"/>
      <c r="CW1147" s="5"/>
      <c r="CX1147" s="5"/>
      <c r="CY1147" s="5"/>
      <c r="CZ1147" s="5"/>
      <c r="DA1147" s="5"/>
      <c r="DB1147" s="5"/>
      <c r="DC1147" s="5"/>
      <c r="DD1147" s="5"/>
      <c r="DE1147" s="5"/>
      <c r="DF1147" s="5"/>
      <c r="DG1147" s="5"/>
      <c r="DH1147" s="5"/>
      <c r="DI1147" s="5"/>
      <c r="DJ1147" s="5"/>
      <c r="DK1147" s="5"/>
      <c r="DL1147" s="5"/>
      <c r="DM1147" s="5"/>
      <c r="DN1147" s="5"/>
      <c r="DO1147" s="5"/>
      <c r="DP1147" s="5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  <c r="GV1147" s="1"/>
      <c r="GW1147" s="1"/>
      <c r="GX1147" s="1"/>
      <c r="GY1147" s="1"/>
      <c r="GZ1147" s="1"/>
      <c r="HA1147" s="1"/>
      <c r="HB1147" s="1"/>
      <c r="HC1147" s="1"/>
      <c r="HD1147" s="1"/>
      <c r="HE1147" s="1"/>
      <c r="HF1147" s="1"/>
      <c r="HG1147" s="1"/>
      <c r="HH1147" s="1"/>
      <c r="HI1147" s="1"/>
      <c r="HJ1147" s="1"/>
      <c r="HK1147" s="1"/>
      <c r="HL1147" s="1"/>
      <c r="HM1147" s="1"/>
      <c r="HN1147" s="1"/>
      <c r="HO1147" s="1"/>
      <c r="HP1147" s="1"/>
      <c r="HQ1147" s="1"/>
      <c r="HR1147" s="1"/>
      <c r="HS1147" s="1"/>
      <c r="HT1147" s="1"/>
      <c r="HU1147" s="1"/>
      <c r="HV1147" s="1"/>
      <c r="HW1147" s="1"/>
      <c r="HX1147" s="1"/>
      <c r="HY1147" s="1"/>
      <c r="HZ1147" s="1"/>
      <c r="IA1147" s="1"/>
      <c r="IB1147" s="1"/>
      <c r="IC1147" s="1"/>
      <c r="ID1147" s="1"/>
      <c r="IE1147" s="1"/>
      <c r="IF1147" s="1"/>
      <c r="IG1147" s="1"/>
      <c r="IH1147" s="1"/>
      <c r="II1147" s="1"/>
      <c r="IJ1147" s="1"/>
      <c r="IK1147" s="1"/>
      <c r="IL1147" s="1"/>
      <c r="IM1147" s="1"/>
      <c r="IN1147" s="1"/>
      <c r="IO1147" s="1"/>
      <c r="IP1147" s="1"/>
      <c r="IQ1147" s="1"/>
      <c r="IR1147" s="1"/>
      <c r="IS1147" s="1"/>
      <c r="IT1147" s="1"/>
      <c r="IU1147" s="1"/>
      <c r="IV1147" s="1"/>
      <c r="IW1147" s="1"/>
      <c r="IX1147" s="1"/>
      <c r="IY1147" s="1"/>
      <c r="IZ1147" s="1"/>
      <c r="JA1147" s="1"/>
      <c r="JB1147" s="1"/>
      <c r="JC1147" s="1"/>
      <c r="JD1147" s="1"/>
    </row>
    <row r="1148" s="504" customFormat="true" ht="12.75" hidden="true" customHeight="true" outlineLevel="0" collapsed="false">
      <c r="A1148" s="5"/>
      <c r="B1148" s="813" t="n">
        <f aca="false">B1147+1</f>
        <v>933</v>
      </c>
      <c r="C1148" s="814" t="n">
        <f aca="false">C1147+D1148</f>
        <v>142264.238707603</v>
      </c>
      <c r="D1148" s="815" t="n">
        <f aca="false">E1148*$E$205*M1148</f>
        <v>226.420100910888</v>
      </c>
      <c r="E1148" s="601" t="n">
        <f aca="false">E1147+$C$204</f>
        <v>14.3594686016545</v>
      </c>
      <c r="F1148" s="816" t="n">
        <f aca="false">F1147+1</f>
        <v>933</v>
      </c>
      <c r="G1148" s="775" t="n">
        <f aca="false">C1148</f>
        <v>142264.238707603</v>
      </c>
      <c r="H1148" s="817" t="n">
        <f aca="false">1000*(E1148-E1147)</f>
        <v>9.99999999999979</v>
      </c>
      <c r="I1148" s="5"/>
      <c r="J1148" s="818" t="n">
        <f aca="false">1000*(E1148-$E$215)/(B1148-$B$215)</f>
        <v>11.6868915633137</v>
      </c>
      <c r="K1148" s="732" t="n">
        <f aca="false">AVERAGE($E$216:E1148)</f>
        <v>9.69132283530947</v>
      </c>
      <c r="L1148" s="819" t="n">
        <f aca="false">L1147+1</f>
        <v>933</v>
      </c>
      <c r="M1148" s="820" t="n">
        <f aca="false">IF(B1148&lt;$E$104,$E$105,$E$106)</f>
        <v>3</v>
      </c>
      <c r="N1148" s="821" t="n">
        <f aca="false">IF(B1148&lt;$E$104,$E$105,$E$111)</f>
        <v>2.5</v>
      </c>
      <c r="O1148" s="822" t="n">
        <f aca="false">E1148*$E$205*N1148</f>
        <v>188.68341742574</v>
      </c>
      <c r="P1148" s="823" t="n">
        <f aca="false">P1147+O1148</f>
        <v>118605.212856712</v>
      </c>
      <c r="Q1148" s="606" t="n">
        <f aca="false">Q1147+1</f>
        <v>933</v>
      </c>
      <c r="R1148" s="824" t="n">
        <f aca="false">R1147-1</f>
        <v>-933</v>
      </c>
      <c r="S1148" s="5"/>
      <c r="T1148" s="5"/>
      <c r="U1148" s="5"/>
      <c r="V1148" s="10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02"/>
      <c r="AU1148" s="502"/>
      <c r="AV1148" s="606"/>
      <c r="AW1148" s="502"/>
      <c r="AX1148" s="502"/>
      <c r="AY1148" s="502"/>
      <c r="AZ1148" s="502"/>
      <c r="BA1148" s="502"/>
      <c r="BB1148" s="502"/>
      <c r="BC1148" s="502"/>
      <c r="BD1148" s="502"/>
      <c r="BE1148" s="502"/>
      <c r="BF1148" s="502"/>
      <c r="BG1148" s="502"/>
      <c r="BH1148" s="502"/>
      <c r="BI1148" s="502"/>
      <c r="BJ1148" s="502"/>
      <c r="BK1148" s="502"/>
      <c r="BL1148" s="502"/>
      <c r="BM1148" s="502"/>
      <c r="BN1148" s="502"/>
      <c r="BO1148" s="502"/>
      <c r="BP1148" s="5"/>
      <c r="BQ1148" s="5"/>
      <c r="BR1148" s="5"/>
      <c r="BS1148" s="5"/>
      <c r="BT1148" s="5"/>
      <c r="BU1148" s="5"/>
      <c r="BV1148" s="5"/>
      <c r="BW1148" s="5"/>
      <c r="BX1148" s="5"/>
      <c r="BY1148" s="5"/>
      <c r="BZ1148" s="5"/>
      <c r="CA1148" s="5"/>
      <c r="CB1148" s="5"/>
      <c r="CC1148" s="5"/>
      <c r="CD1148" s="5"/>
      <c r="CE1148" s="5"/>
      <c r="CF1148" s="5"/>
      <c r="CG1148" s="5"/>
      <c r="CH1148" s="5"/>
      <c r="CI1148" s="5"/>
      <c r="CJ1148" s="5"/>
      <c r="CK1148" s="5"/>
      <c r="CL1148" s="5"/>
      <c r="CM1148" s="5"/>
      <c r="CN1148" s="5"/>
      <c r="CO1148" s="5"/>
      <c r="CP1148" s="5"/>
      <c r="CQ1148" s="5"/>
      <c r="CR1148" s="5"/>
      <c r="CS1148" s="5"/>
      <c r="CT1148" s="5"/>
      <c r="CU1148" s="5"/>
      <c r="CV1148" s="5"/>
      <c r="CW1148" s="5"/>
      <c r="CX1148" s="5"/>
      <c r="CY1148" s="5"/>
      <c r="CZ1148" s="5"/>
      <c r="DA1148" s="5"/>
      <c r="DB1148" s="5"/>
      <c r="DC1148" s="5"/>
      <c r="DD1148" s="5"/>
      <c r="DE1148" s="5"/>
      <c r="DF1148" s="5"/>
      <c r="DG1148" s="5"/>
      <c r="DH1148" s="5"/>
      <c r="DI1148" s="5"/>
      <c r="DJ1148" s="5"/>
      <c r="DK1148" s="5"/>
      <c r="DL1148" s="5"/>
      <c r="DM1148" s="5"/>
      <c r="DN1148" s="5"/>
      <c r="DO1148" s="5"/>
      <c r="DP1148" s="5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  <c r="GV1148" s="1"/>
      <c r="GW1148" s="1"/>
      <c r="GX1148" s="1"/>
      <c r="GY1148" s="1"/>
      <c r="GZ1148" s="1"/>
      <c r="HA1148" s="1"/>
      <c r="HB1148" s="1"/>
      <c r="HC1148" s="1"/>
      <c r="HD1148" s="1"/>
      <c r="HE1148" s="1"/>
      <c r="HF1148" s="1"/>
      <c r="HG1148" s="1"/>
      <c r="HH1148" s="1"/>
      <c r="HI1148" s="1"/>
      <c r="HJ1148" s="1"/>
      <c r="HK1148" s="1"/>
      <c r="HL1148" s="1"/>
      <c r="HM1148" s="1"/>
      <c r="HN1148" s="1"/>
      <c r="HO1148" s="1"/>
      <c r="HP1148" s="1"/>
      <c r="HQ1148" s="1"/>
      <c r="HR1148" s="1"/>
      <c r="HS1148" s="1"/>
      <c r="HT1148" s="1"/>
      <c r="HU1148" s="1"/>
      <c r="HV1148" s="1"/>
      <c r="HW1148" s="1"/>
      <c r="HX1148" s="1"/>
      <c r="HY1148" s="1"/>
      <c r="HZ1148" s="1"/>
      <c r="IA1148" s="1"/>
      <c r="IB1148" s="1"/>
      <c r="IC1148" s="1"/>
      <c r="ID1148" s="1"/>
      <c r="IE1148" s="1"/>
      <c r="IF1148" s="1"/>
      <c r="IG1148" s="1"/>
      <c r="IH1148" s="1"/>
      <c r="II1148" s="1"/>
      <c r="IJ1148" s="1"/>
      <c r="IK1148" s="1"/>
      <c r="IL1148" s="1"/>
      <c r="IM1148" s="1"/>
      <c r="IN1148" s="1"/>
      <c r="IO1148" s="1"/>
      <c r="IP1148" s="1"/>
      <c r="IQ1148" s="1"/>
      <c r="IR1148" s="1"/>
      <c r="IS1148" s="1"/>
      <c r="IT1148" s="1"/>
      <c r="IU1148" s="1"/>
      <c r="IV1148" s="1"/>
      <c r="IW1148" s="1"/>
      <c r="IX1148" s="1"/>
      <c r="IY1148" s="1"/>
      <c r="IZ1148" s="1"/>
      <c r="JA1148" s="1"/>
      <c r="JB1148" s="1"/>
      <c r="JC1148" s="1"/>
      <c r="JD1148" s="1"/>
    </row>
    <row r="1149" s="504" customFormat="true" ht="12.75" hidden="true" customHeight="true" outlineLevel="0" collapsed="false">
      <c r="A1149" s="5"/>
      <c r="B1149" s="813" t="n">
        <f aca="false">B1148+1</f>
        <v>934</v>
      </c>
      <c r="C1149" s="814" t="n">
        <f aca="false">C1148+D1149</f>
        <v>142490.816488514</v>
      </c>
      <c r="D1149" s="815" t="n">
        <f aca="false">E1149*$E$205*M1149</f>
        <v>226.577780910888</v>
      </c>
      <c r="E1149" s="601" t="n">
        <f aca="false">E1148+$C$204</f>
        <v>14.3694686016545</v>
      </c>
      <c r="F1149" s="816" t="n">
        <f aca="false">F1148+1</f>
        <v>934</v>
      </c>
      <c r="G1149" s="775" t="n">
        <f aca="false">C1149</f>
        <v>142490.816488514</v>
      </c>
      <c r="H1149" s="817" t="n">
        <f aca="false">1000*(E1149-E1148)</f>
        <v>9.99999999999979</v>
      </c>
      <c r="I1149" s="5"/>
      <c r="J1149" s="818" t="n">
        <f aca="false">1000*(E1149-$E$215)/(B1149-$B$215)</f>
        <v>11.6850854695628</v>
      </c>
      <c r="K1149" s="732" t="n">
        <f aca="false">AVERAGE($E$216:E1149)</f>
        <v>9.69633155668671</v>
      </c>
      <c r="L1149" s="819" t="n">
        <f aca="false">L1148+1</f>
        <v>934</v>
      </c>
      <c r="M1149" s="820" t="n">
        <f aca="false">IF(B1149&lt;$E$104,$E$105,$E$106)</f>
        <v>3</v>
      </c>
      <c r="N1149" s="821" t="n">
        <f aca="false">IF(B1149&lt;$E$104,$E$105,$E$111)</f>
        <v>2.5</v>
      </c>
      <c r="O1149" s="822" t="n">
        <f aca="false">E1149*$E$205*N1149</f>
        <v>188.81481742574</v>
      </c>
      <c r="P1149" s="823" t="n">
        <f aca="false">P1148+O1149</f>
        <v>118794.027674138</v>
      </c>
      <c r="Q1149" s="606" t="n">
        <f aca="false">Q1148+1</f>
        <v>934</v>
      </c>
      <c r="R1149" s="824" t="n">
        <f aca="false">R1148-1</f>
        <v>-934</v>
      </c>
      <c r="S1149" s="5"/>
      <c r="T1149" s="5"/>
      <c r="U1149" s="5"/>
      <c r="V1149" s="10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02"/>
      <c r="AU1149" s="502"/>
      <c r="AV1149" s="606"/>
      <c r="AW1149" s="502"/>
      <c r="AX1149" s="502"/>
      <c r="AY1149" s="502"/>
      <c r="AZ1149" s="502"/>
      <c r="BA1149" s="502"/>
      <c r="BB1149" s="502"/>
      <c r="BC1149" s="502"/>
      <c r="BD1149" s="502"/>
      <c r="BE1149" s="502"/>
      <c r="BF1149" s="502"/>
      <c r="BG1149" s="502"/>
      <c r="BH1149" s="502"/>
      <c r="BI1149" s="502"/>
      <c r="BJ1149" s="502"/>
      <c r="BK1149" s="502"/>
      <c r="BL1149" s="502"/>
      <c r="BM1149" s="502"/>
      <c r="BN1149" s="502"/>
      <c r="BO1149" s="502"/>
      <c r="BP1149" s="5"/>
      <c r="BQ1149" s="5"/>
      <c r="BR1149" s="5"/>
      <c r="BS1149" s="5"/>
      <c r="BT1149" s="5"/>
      <c r="BU1149" s="5"/>
      <c r="BV1149" s="5"/>
      <c r="BW1149" s="5"/>
      <c r="BX1149" s="5"/>
      <c r="BY1149" s="5"/>
      <c r="BZ1149" s="5"/>
      <c r="CA1149" s="5"/>
      <c r="CB1149" s="5"/>
      <c r="CC1149" s="5"/>
      <c r="CD1149" s="5"/>
      <c r="CE1149" s="5"/>
      <c r="CF1149" s="5"/>
      <c r="CG1149" s="5"/>
      <c r="CH1149" s="5"/>
      <c r="CI1149" s="5"/>
      <c r="CJ1149" s="5"/>
      <c r="CK1149" s="5"/>
      <c r="CL1149" s="5"/>
      <c r="CM1149" s="5"/>
      <c r="CN1149" s="5"/>
      <c r="CO1149" s="5"/>
      <c r="CP1149" s="5"/>
      <c r="CQ1149" s="5"/>
      <c r="CR1149" s="5"/>
      <c r="CS1149" s="5"/>
      <c r="CT1149" s="5"/>
      <c r="CU1149" s="5"/>
      <c r="CV1149" s="5"/>
      <c r="CW1149" s="5"/>
      <c r="CX1149" s="5"/>
      <c r="CY1149" s="5"/>
      <c r="CZ1149" s="5"/>
      <c r="DA1149" s="5"/>
      <c r="DB1149" s="5"/>
      <c r="DC1149" s="5"/>
      <c r="DD1149" s="5"/>
      <c r="DE1149" s="5"/>
      <c r="DF1149" s="5"/>
      <c r="DG1149" s="5"/>
      <c r="DH1149" s="5"/>
      <c r="DI1149" s="5"/>
      <c r="DJ1149" s="5"/>
      <c r="DK1149" s="5"/>
      <c r="DL1149" s="5"/>
      <c r="DM1149" s="5"/>
      <c r="DN1149" s="5"/>
      <c r="DO1149" s="5"/>
      <c r="DP1149" s="5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  <c r="GV1149" s="1"/>
      <c r="GW1149" s="1"/>
      <c r="GX1149" s="1"/>
      <c r="GY1149" s="1"/>
      <c r="GZ1149" s="1"/>
      <c r="HA1149" s="1"/>
      <c r="HB1149" s="1"/>
      <c r="HC1149" s="1"/>
      <c r="HD1149" s="1"/>
      <c r="HE1149" s="1"/>
      <c r="HF1149" s="1"/>
      <c r="HG1149" s="1"/>
      <c r="HH1149" s="1"/>
      <c r="HI1149" s="1"/>
      <c r="HJ1149" s="1"/>
      <c r="HK1149" s="1"/>
      <c r="HL1149" s="1"/>
      <c r="HM1149" s="1"/>
      <c r="HN1149" s="1"/>
      <c r="HO1149" s="1"/>
      <c r="HP1149" s="1"/>
      <c r="HQ1149" s="1"/>
      <c r="HR1149" s="1"/>
      <c r="HS1149" s="1"/>
      <c r="HT1149" s="1"/>
      <c r="HU1149" s="1"/>
      <c r="HV1149" s="1"/>
      <c r="HW1149" s="1"/>
      <c r="HX1149" s="1"/>
      <c r="HY1149" s="1"/>
      <c r="HZ1149" s="1"/>
      <c r="IA1149" s="1"/>
      <c r="IB1149" s="1"/>
      <c r="IC1149" s="1"/>
      <c r="ID1149" s="1"/>
      <c r="IE1149" s="1"/>
      <c r="IF1149" s="1"/>
      <c r="IG1149" s="1"/>
      <c r="IH1149" s="1"/>
      <c r="II1149" s="1"/>
      <c r="IJ1149" s="1"/>
      <c r="IK1149" s="1"/>
      <c r="IL1149" s="1"/>
      <c r="IM1149" s="1"/>
      <c r="IN1149" s="1"/>
      <c r="IO1149" s="1"/>
      <c r="IP1149" s="1"/>
      <c r="IQ1149" s="1"/>
      <c r="IR1149" s="1"/>
      <c r="IS1149" s="1"/>
      <c r="IT1149" s="1"/>
      <c r="IU1149" s="1"/>
      <c r="IV1149" s="1"/>
      <c r="IW1149" s="1"/>
      <c r="IX1149" s="1"/>
      <c r="IY1149" s="1"/>
      <c r="IZ1149" s="1"/>
      <c r="JA1149" s="1"/>
      <c r="JB1149" s="1"/>
      <c r="JC1149" s="1"/>
      <c r="JD1149" s="1"/>
    </row>
    <row r="1150" s="504" customFormat="true" ht="12.75" hidden="true" customHeight="true" outlineLevel="0" collapsed="false">
      <c r="A1150" s="5"/>
      <c r="B1150" s="813" t="n">
        <f aca="false">B1149+1</f>
        <v>935</v>
      </c>
      <c r="C1150" s="814" t="n">
        <f aca="false">C1149+D1150</f>
        <v>142717.551949425</v>
      </c>
      <c r="D1150" s="815" t="n">
        <f aca="false">E1150*$E$205*M1150</f>
        <v>226.735460910888</v>
      </c>
      <c r="E1150" s="601" t="n">
        <f aca="false">E1149+$C$204</f>
        <v>14.3794686016545</v>
      </c>
      <c r="F1150" s="816" t="n">
        <f aca="false">F1149+1</f>
        <v>935</v>
      </c>
      <c r="G1150" s="775" t="n">
        <f aca="false">C1150</f>
        <v>142717.551949425</v>
      </c>
      <c r="H1150" s="817" t="n">
        <f aca="false">1000*(E1150-E1149)</f>
        <v>9.99999999999979</v>
      </c>
      <c r="I1150" s="5"/>
      <c r="J1150" s="818" t="n">
        <f aca="false">1000*(E1150-$E$215)/(B1150-$B$215)</f>
        <v>11.6832832391141</v>
      </c>
      <c r="K1150" s="732" t="n">
        <f aca="false">AVERAGE($E$216:E1150)</f>
        <v>9.70134025940861</v>
      </c>
      <c r="L1150" s="819" t="n">
        <f aca="false">L1149+1</f>
        <v>935</v>
      </c>
      <c r="M1150" s="820" t="n">
        <f aca="false">IF(B1150&lt;$E$104,$E$105,$E$106)</f>
        <v>3</v>
      </c>
      <c r="N1150" s="821" t="n">
        <f aca="false">IF(B1150&lt;$E$104,$E$105,$E$111)</f>
        <v>2.5</v>
      </c>
      <c r="O1150" s="822" t="n">
        <f aca="false">E1150*$E$205*N1150</f>
        <v>188.94621742574</v>
      </c>
      <c r="P1150" s="823" t="n">
        <f aca="false">P1149+O1150</f>
        <v>118982.973891563</v>
      </c>
      <c r="Q1150" s="606" t="n">
        <f aca="false">Q1149+1</f>
        <v>935</v>
      </c>
      <c r="R1150" s="824" t="n">
        <f aca="false">R1149-1</f>
        <v>-935</v>
      </c>
      <c r="S1150" s="5"/>
      <c r="T1150" s="5"/>
      <c r="U1150" s="5"/>
      <c r="V1150" s="10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02"/>
      <c r="AU1150" s="502"/>
      <c r="AV1150" s="606"/>
      <c r="AW1150" s="502"/>
      <c r="AX1150" s="502"/>
      <c r="AY1150" s="502"/>
      <c r="AZ1150" s="502"/>
      <c r="BA1150" s="502"/>
      <c r="BB1150" s="502"/>
      <c r="BC1150" s="502"/>
      <c r="BD1150" s="502"/>
      <c r="BE1150" s="502"/>
      <c r="BF1150" s="502"/>
      <c r="BG1150" s="502"/>
      <c r="BH1150" s="502"/>
      <c r="BI1150" s="502"/>
      <c r="BJ1150" s="502"/>
      <c r="BK1150" s="502"/>
      <c r="BL1150" s="502"/>
      <c r="BM1150" s="502"/>
      <c r="BN1150" s="502"/>
      <c r="BO1150" s="502"/>
      <c r="BP1150" s="5"/>
      <c r="BQ1150" s="5"/>
      <c r="BR1150" s="5"/>
      <c r="BS1150" s="5"/>
      <c r="BT1150" s="5"/>
      <c r="BU1150" s="5"/>
      <c r="BV1150" s="5"/>
      <c r="BW1150" s="5"/>
      <c r="BX1150" s="5"/>
      <c r="BY1150" s="5"/>
      <c r="BZ1150" s="5"/>
      <c r="CA1150" s="5"/>
      <c r="CB1150" s="5"/>
      <c r="CC1150" s="5"/>
      <c r="CD1150" s="5"/>
      <c r="CE1150" s="5"/>
      <c r="CF1150" s="5"/>
      <c r="CG1150" s="5"/>
      <c r="CH1150" s="5"/>
      <c r="CI1150" s="5"/>
      <c r="CJ1150" s="5"/>
      <c r="CK1150" s="5"/>
      <c r="CL1150" s="5"/>
      <c r="CM1150" s="5"/>
      <c r="CN1150" s="5"/>
      <c r="CO1150" s="5"/>
      <c r="CP1150" s="5"/>
      <c r="CQ1150" s="5"/>
      <c r="CR1150" s="5"/>
      <c r="CS1150" s="5"/>
      <c r="CT1150" s="5"/>
      <c r="CU1150" s="5"/>
      <c r="CV1150" s="5"/>
      <c r="CW1150" s="5"/>
      <c r="CX1150" s="5"/>
      <c r="CY1150" s="5"/>
      <c r="CZ1150" s="5"/>
      <c r="DA1150" s="5"/>
      <c r="DB1150" s="5"/>
      <c r="DC1150" s="5"/>
      <c r="DD1150" s="5"/>
      <c r="DE1150" s="5"/>
      <c r="DF1150" s="5"/>
      <c r="DG1150" s="5"/>
      <c r="DH1150" s="5"/>
      <c r="DI1150" s="5"/>
      <c r="DJ1150" s="5"/>
      <c r="DK1150" s="5"/>
      <c r="DL1150" s="5"/>
      <c r="DM1150" s="5"/>
      <c r="DN1150" s="5"/>
      <c r="DO1150" s="5"/>
      <c r="DP1150" s="5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  <c r="GV1150" s="1"/>
      <c r="GW1150" s="1"/>
      <c r="GX1150" s="1"/>
      <c r="GY1150" s="1"/>
      <c r="GZ1150" s="1"/>
      <c r="HA1150" s="1"/>
      <c r="HB1150" s="1"/>
      <c r="HC1150" s="1"/>
      <c r="HD1150" s="1"/>
      <c r="HE1150" s="1"/>
      <c r="HF1150" s="1"/>
      <c r="HG1150" s="1"/>
      <c r="HH1150" s="1"/>
      <c r="HI1150" s="1"/>
      <c r="HJ1150" s="1"/>
      <c r="HK1150" s="1"/>
      <c r="HL1150" s="1"/>
      <c r="HM1150" s="1"/>
      <c r="HN1150" s="1"/>
      <c r="HO1150" s="1"/>
      <c r="HP1150" s="1"/>
      <c r="HQ1150" s="1"/>
      <c r="HR1150" s="1"/>
      <c r="HS1150" s="1"/>
      <c r="HT1150" s="1"/>
      <c r="HU1150" s="1"/>
      <c r="HV1150" s="1"/>
      <c r="HW1150" s="1"/>
      <c r="HX1150" s="1"/>
      <c r="HY1150" s="1"/>
      <c r="HZ1150" s="1"/>
      <c r="IA1150" s="1"/>
      <c r="IB1150" s="1"/>
      <c r="IC1150" s="1"/>
      <c r="ID1150" s="1"/>
      <c r="IE1150" s="1"/>
      <c r="IF1150" s="1"/>
      <c r="IG1150" s="1"/>
      <c r="IH1150" s="1"/>
      <c r="II1150" s="1"/>
      <c r="IJ1150" s="1"/>
      <c r="IK1150" s="1"/>
      <c r="IL1150" s="1"/>
      <c r="IM1150" s="1"/>
      <c r="IN1150" s="1"/>
      <c r="IO1150" s="1"/>
      <c r="IP1150" s="1"/>
      <c r="IQ1150" s="1"/>
      <c r="IR1150" s="1"/>
      <c r="IS1150" s="1"/>
      <c r="IT1150" s="1"/>
      <c r="IU1150" s="1"/>
      <c r="IV1150" s="1"/>
      <c r="IW1150" s="1"/>
      <c r="IX1150" s="1"/>
      <c r="IY1150" s="1"/>
      <c r="IZ1150" s="1"/>
      <c r="JA1150" s="1"/>
      <c r="JB1150" s="1"/>
      <c r="JC1150" s="1"/>
      <c r="JD1150" s="1"/>
    </row>
    <row r="1151" s="504" customFormat="true" ht="12.75" hidden="true" customHeight="true" outlineLevel="0" collapsed="false">
      <c r="A1151" s="5"/>
      <c r="B1151" s="813" t="n">
        <f aca="false">B1150+1</f>
        <v>936</v>
      </c>
      <c r="C1151" s="814" t="n">
        <f aca="false">C1150+D1151</f>
        <v>142944.445090335</v>
      </c>
      <c r="D1151" s="815" t="n">
        <f aca="false">E1151*$E$205*M1151</f>
        <v>226.893140910888</v>
      </c>
      <c r="E1151" s="601" t="n">
        <f aca="false">E1150+$C$204</f>
        <v>14.3894686016545</v>
      </c>
      <c r="F1151" s="816" t="n">
        <f aca="false">F1150+1</f>
        <v>936</v>
      </c>
      <c r="G1151" s="775" t="n">
        <f aca="false">C1151</f>
        <v>142944.445090335</v>
      </c>
      <c r="H1151" s="817" t="n">
        <f aca="false">1000*(E1151-E1150)</f>
        <v>9.99999999999979</v>
      </c>
      <c r="I1151" s="5"/>
      <c r="J1151" s="818" t="n">
        <f aca="false">1000*(E1151-$E$215)/(B1151-$B$215)</f>
        <v>11.6814848595851</v>
      </c>
      <c r="K1151" s="732" t="n">
        <f aca="false">AVERAGE($E$216:E1151)</f>
        <v>9.70634894353494</v>
      </c>
      <c r="L1151" s="819" t="n">
        <f aca="false">L1150+1</f>
        <v>936</v>
      </c>
      <c r="M1151" s="820" t="n">
        <f aca="false">IF(B1151&lt;$E$104,$E$105,$E$106)</f>
        <v>3</v>
      </c>
      <c r="N1151" s="821" t="n">
        <f aca="false">IF(B1151&lt;$E$104,$E$105,$E$111)</f>
        <v>2.5</v>
      </c>
      <c r="O1151" s="822" t="n">
        <f aca="false">E1151*$E$205*N1151</f>
        <v>189.07761742574</v>
      </c>
      <c r="P1151" s="823" t="n">
        <f aca="false">P1150+O1151</f>
        <v>119172.051508989</v>
      </c>
      <c r="Q1151" s="606" t="n">
        <f aca="false">Q1150+1</f>
        <v>936</v>
      </c>
      <c r="R1151" s="824" t="n">
        <f aca="false">R1150-1</f>
        <v>-936</v>
      </c>
      <c r="S1151" s="5"/>
      <c r="T1151" s="5"/>
      <c r="U1151" s="5"/>
      <c r="V1151" s="10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02"/>
      <c r="AU1151" s="502"/>
      <c r="AV1151" s="606"/>
      <c r="AW1151" s="502"/>
      <c r="AX1151" s="502"/>
      <c r="AY1151" s="502"/>
      <c r="AZ1151" s="502"/>
      <c r="BA1151" s="502"/>
      <c r="BB1151" s="502"/>
      <c r="BC1151" s="502"/>
      <c r="BD1151" s="502"/>
      <c r="BE1151" s="502"/>
      <c r="BF1151" s="502"/>
      <c r="BG1151" s="502"/>
      <c r="BH1151" s="502"/>
      <c r="BI1151" s="502"/>
      <c r="BJ1151" s="502"/>
      <c r="BK1151" s="502"/>
      <c r="BL1151" s="502"/>
      <c r="BM1151" s="502"/>
      <c r="BN1151" s="502"/>
      <c r="BO1151" s="502"/>
      <c r="BP1151" s="5"/>
      <c r="BQ1151" s="5"/>
      <c r="BR1151" s="5"/>
      <c r="BS1151" s="5"/>
      <c r="BT1151" s="5"/>
      <c r="BU1151" s="5"/>
      <c r="BV1151" s="5"/>
      <c r="BW1151" s="5"/>
      <c r="BX1151" s="5"/>
      <c r="BY1151" s="5"/>
      <c r="BZ1151" s="5"/>
      <c r="CA1151" s="5"/>
      <c r="CB1151" s="5"/>
      <c r="CC1151" s="5"/>
      <c r="CD1151" s="5"/>
      <c r="CE1151" s="5"/>
      <c r="CF1151" s="5"/>
      <c r="CG1151" s="5"/>
      <c r="CH1151" s="5"/>
      <c r="CI1151" s="5"/>
      <c r="CJ1151" s="5"/>
      <c r="CK1151" s="5"/>
      <c r="CL1151" s="5"/>
      <c r="CM1151" s="5"/>
      <c r="CN1151" s="5"/>
      <c r="CO1151" s="5"/>
      <c r="CP1151" s="5"/>
      <c r="CQ1151" s="5"/>
      <c r="CR1151" s="5"/>
      <c r="CS1151" s="5"/>
      <c r="CT1151" s="5"/>
      <c r="CU1151" s="5"/>
      <c r="CV1151" s="5"/>
      <c r="CW1151" s="5"/>
      <c r="CX1151" s="5"/>
      <c r="CY1151" s="5"/>
      <c r="CZ1151" s="5"/>
      <c r="DA1151" s="5"/>
      <c r="DB1151" s="5"/>
      <c r="DC1151" s="5"/>
      <c r="DD1151" s="5"/>
      <c r="DE1151" s="5"/>
      <c r="DF1151" s="5"/>
      <c r="DG1151" s="5"/>
      <c r="DH1151" s="5"/>
      <c r="DI1151" s="5"/>
      <c r="DJ1151" s="5"/>
      <c r="DK1151" s="5"/>
      <c r="DL1151" s="5"/>
      <c r="DM1151" s="5"/>
      <c r="DN1151" s="5"/>
      <c r="DO1151" s="5"/>
      <c r="DP1151" s="5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  <c r="GV1151" s="1"/>
      <c r="GW1151" s="1"/>
      <c r="GX1151" s="1"/>
      <c r="GY1151" s="1"/>
      <c r="GZ1151" s="1"/>
      <c r="HA1151" s="1"/>
      <c r="HB1151" s="1"/>
      <c r="HC1151" s="1"/>
      <c r="HD1151" s="1"/>
      <c r="HE1151" s="1"/>
      <c r="HF1151" s="1"/>
      <c r="HG1151" s="1"/>
      <c r="HH1151" s="1"/>
      <c r="HI1151" s="1"/>
      <c r="HJ1151" s="1"/>
      <c r="HK1151" s="1"/>
      <c r="HL1151" s="1"/>
      <c r="HM1151" s="1"/>
      <c r="HN1151" s="1"/>
      <c r="HO1151" s="1"/>
      <c r="HP1151" s="1"/>
      <c r="HQ1151" s="1"/>
      <c r="HR1151" s="1"/>
      <c r="HS1151" s="1"/>
      <c r="HT1151" s="1"/>
      <c r="HU1151" s="1"/>
      <c r="HV1151" s="1"/>
      <c r="HW1151" s="1"/>
      <c r="HX1151" s="1"/>
      <c r="HY1151" s="1"/>
      <c r="HZ1151" s="1"/>
      <c r="IA1151" s="1"/>
      <c r="IB1151" s="1"/>
      <c r="IC1151" s="1"/>
      <c r="ID1151" s="1"/>
      <c r="IE1151" s="1"/>
      <c r="IF1151" s="1"/>
      <c r="IG1151" s="1"/>
      <c r="IH1151" s="1"/>
      <c r="II1151" s="1"/>
      <c r="IJ1151" s="1"/>
      <c r="IK1151" s="1"/>
      <c r="IL1151" s="1"/>
      <c r="IM1151" s="1"/>
      <c r="IN1151" s="1"/>
      <c r="IO1151" s="1"/>
      <c r="IP1151" s="1"/>
      <c r="IQ1151" s="1"/>
      <c r="IR1151" s="1"/>
      <c r="IS1151" s="1"/>
      <c r="IT1151" s="1"/>
      <c r="IU1151" s="1"/>
      <c r="IV1151" s="1"/>
      <c r="IW1151" s="1"/>
      <c r="IX1151" s="1"/>
      <c r="IY1151" s="1"/>
      <c r="IZ1151" s="1"/>
      <c r="JA1151" s="1"/>
      <c r="JB1151" s="1"/>
      <c r="JC1151" s="1"/>
      <c r="JD1151" s="1"/>
    </row>
    <row r="1152" s="504" customFormat="true" ht="12.75" hidden="true" customHeight="true" outlineLevel="0" collapsed="false">
      <c r="A1152" s="5"/>
      <c r="B1152" s="813" t="n">
        <f aca="false">B1151+1</f>
        <v>937</v>
      </c>
      <c r="C1152" s="814" t="n">
        <f aca="false">C1151+D1152</f>
        <v>143171.495911246</v>
      </c>
      <c r="D1152" s="815" t="n">
        <f aca="false">E1152*$E$205*M1152</f>
        <v>227.050820910888</v>
      </c>
      <c r="E1152" s="601" t="n">
        <f aca="false">E1151+$C$204</f>
        <v>14.3994686016545</v>
      </c>
      <c r="F1152" s="816" t="n">
        <f aca="false">F1151+1</f>
        <v>937</v>
      </c>
      <c r="G1152" s="775" t="n">
        <f aca="false">C1152</f>
        <v>143171.495911246</v>
      </c>
      <c r="H1152" s="817" t="n">
        <f aca="false">1000*(E1152-E1151)</f>
        <v>9.99999999999979</v>
      </c>
      <c r="I1152" s="5"/>
      <c r="J1152" s="818" t="n">
        <f aca="false">1000*(E1152-$E$215)/(B1152-$B$215)</f>
        <v>11.6796903186464</v>
      </c>
      <c r="K1152" s="732" t="n">
        <f aca="false">AVERAGE($E$216:E1152)</f>
        <v>9.71135760912524</v>
      </c>
      <c r="L1152" s="819" t="n">
        <f aca="false">L1151+1</f>
        <v>937</v>
      </c>
      <c r="M1152" s="820" t="n">
        <f aca="false">IF(B1152&lt;$E$104,$E$105,$E$106)</f>
        <v>3</v>
      </c>
      <c r="N1152" s="821" t="n">
        <f aca="false">IF(B1152&lt;$E$104,$E$105,$E$111)</f>
        <v>2.5</v>
      </c>
      <c r="O1152" s="822" t="n">
        <f aca="false">E1152*$E$205*N1152</f>
        <v>189.20901742574</v>
      </c>
      <c r="P1152" s="823" t="n">
        <f aca="false">P1151+O1152</f>
        <v>119361.260526415</v>
      </c>
      <c r="Q1152" s="606" t="n">
        <f aca="false">Q1151+1</f>
        <v>937</v>
      </c>
      <c r="R1152" s="824" t="n">
        <f aca="false">R1151-1</f>
        <v>-937</v>
      </c>
      <c r="S1152" s="5"/>
      <c r="T1152" s="5"/>
      <c r="U1152" s="5"/>
      <c r="V1152" s="10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02"/>
      <c r="AU1152" s="502"/>
      <c r="AV1152" s="606"/>
      <c r="AW1152" s="502"/>
      <c r="AX1152" s="502"/>
      <c r="AY1152" s="502"/>
      <c r="AZ1152" s="502"/>
      <c r="BA1152" s="502"/>
      <c r="BB1152" s="502"/>
      <c r="BC1152" s="502"/>
      <c r="BD1152" s="502"/>
      <c r="BE1152" s="502"/>
      <c r="BF1152" s="502"/>
      <c r="BG1152" s="502"/>
      <c r="BH1152" s="502"/>
      <c r="BI1152" s="502"/>
      <c r="BJ1152" s="502"/>
      <c r="BK1152" s="502"/>
      <c r="BL1152" s="502"/>
      <c r="BM1152" s="502"/>
      <c r="BN1152" s="502"/>
      <c r="BO1152" s="502"/>
      <c r="BP1152" s="5"/>
      <c r="BQ1152" s="5"/>
      <c r="BR1152" s="5"/>
      <c r="BS1152" s="5"/>
      <c r="BT1152" s="5"/>
      <c r="BU1152" s="5"/>
      <c r="BV1152" s="5"/>
      <c r="BW1152" s="5"/>
      <c r="BX1152" s="5"/>
      <c r="BY1152" s="5"/>
      <c r="BZ1152" s="5"/>
      <c r="CA1152" s="5"/>
      <c r="CB1152" s="5"/>
      <c r="CC1152" s="5"/>
      <c r="CD1152" s="5"/>
      <c r="CE1152" s="5"/>
      <c r="CF1152" s="5"/>
      <c r="CG1152" s="5"/>
      <c r="CH1152" s="5"/>
      <c r="CI1152" s="5"/>
      <c r="CJ1152" s="5"/>
      <c r="CK1152" s="5"/>
      <c r="CL1152" s="5"/>
      <c r="CM1152" s="5"/>
      <c r="CN1152" s="5"/>
      <c r="CO1152" s="5"/>
      <c r="CP1152" s="5"/>
      <c r="CQ1152" s="5"/>
      <c r="CR1152" s="5"/>
      <c r="CS1152" s="5"/>
      <c r="CT1152" s="5"/>
      <c r="CU1152" s="5"/>
      <c r="CV1152" s="5"/>
      <c r="CW1152" s="5"/>
      <c r="CX1152" s="5"/>
      <c r="CY1152" s="5"/>
      <c r="CZ1152" s="5"/>
      <c r="DA1152" s="5"/>
      <c r="DB1152" s="5"/>
      <c r="DC1152" s="5"/>
      <c r="DD1152" s="5"/>
      <c r="DE1152" s="5"/>
      <c r="DF1152" s="5"/>
      <c r="DG1152" s="5"/>
      <c r="DH1152" s="5"/>
      <c r="DI1152" s="5"/>
      <c r="DJ1152" s="5"/>
      <c r="DK1152" s="5"/>
      <c r="DL1152" s="5"/>
      <c r="DM1152" s="5"/>
      <c r="DN1152" s="5"/>
      <c r="DO1152" s="5"/>
      <c r="DP1152" s="5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  <c r="GV1152" s="1"/>
      <c r="GW1152" s="1"/>
      <c r="GX1152" s="1"/>
      <c r="GY1152" s="1"/>
      <c r="GZ1152" s="1"/>
      <c r="HA1152" s="1"/>
      <c r="HB1152" s="1"/>
      <c r="HC1152" s="1"/>
      <c r="HD1152" s="1"/>
      <c r="HE1152" s="1"/>
      <c r="HF1152" s="1"/>
      <c r="HG1152" s="1"/>
      <c r="HH1152" s="1"/>
      <c r="HI1152" s="1"/>
      <c r="HJ1152" s="1"/>
      <c r="HK1152" s="1"/>
      <c r="HL1152" s="1"/>
      <c r="HM1152" s="1"/>
      <c r="HN1152" s="1"/>
      <c r="HO1152" s="1"/>
      <c r="HP1152" s="1"/>
      <c r="HQ1152" s="1"/>
      <c r="HR1152" s="1"/>
      <c r="HS1152" s="1"/>
      <c r="HT1152" s="1"/>
      <c r="HU1152" s="1"/>
      <c r="HV1152" s="1"/>
      <c r="HW1152" s="1"/>
      <c r="HX1152" s="1"/>
      <c r="HY1152" s="1"/>
      <c r="HZ1152" s="1"/>
      <c r="IA1152" s="1"/>
      <c r="IB1152" s="1"/>
      <c r="IC1152" s="1"/>
      <c r="ID1152" s="1"/>
      <c r="IE1152" s="1"/>
      <c r="IF1152" s="1"/>
      <c r="IG1152" s="1"/>
      <c r="IH1152" s="1"/>
      <c r="II1152" s="1"/>
      <c r="IJ1152" s="1"/>
      <c r="IK1152" s="1"/>
      <c r="IL1152" s="1"/>
      <c r="IM1152" s="1"/>
      <c r="IN1152" s="1"/>
      <c r="IO1152" s="1"/>
      <c r="IP1152" s="1"/>
      <c r="IQ1152" s="1"/>
      <c r="IR1152" s="1"/>
      <c r="IS1152" s="1"/>
      <c r="IT1152" s="1"/>
      <c r="IU1152" s="1"/>
      <c r="IV1152" s="1"/>
      <c r="IW1152" s="1"/>
      <c r="IX1152" s="1"/>
      <c r="IY1152" s="1"/>
      <c r="IZ1152" s="1"/>
      <c r="JA1152" s="1"/>
      <c r="JB1152" s="1"/>
      <c r="JC1152" s="1"/>
      <c r="JD1152" s="1"/>
    </row>
    <row r="1153" s="504" customFormat="true" ht="12.75" hidden="true" customHeight="true" outlineLevel="0" collapsed="false">
      <c r="A1153" s="5"/>
      <c r="B1153" s="813" t="n">
        <f aca="false">B1152+1</f>
        <v>938</v>
      </c>
      <c r="C1153" s="814" t="n">
        <f aca="false">C1152+D1153</f>
        <v>143398.704412157</v>
      </c>
      <c r="D1153" s="815" t="n">
        <f aca="false">E1153*$E$205*M1153</f>
        <v>227.208500910888</v>
      </c>
      <c r="E1153" s="601" t="n">
        <f aca="false">E1152+$C$204</f>
        <v>14.4094686016545</v>
      </c>
      <c r="F1153" s="816" t="n">
        <f aca="false">F1152+1</f>
        <v>938</v>
      </c>
      <c r="G1153" s="775" t="n">
        <f aca="false">C1153</f>
        <v>143398.704412157</v>
      </c>
      <c r="H1153" s="817" t="n">
        <f aca="false">1000*(E1153-E1152)</f>
        <v>9.99999999999979</v>
      </c>
      <c r="I1153" s="5"/>
      <c r="J1153" s="818" t="n">
        <f aca="false">1000*(E1153-$E$215)/(B1153-$B$215)</f>
        <v>11.6778996040209</v>
      </c>
      <c r="K1153" s="732" t="n">
        <f aca="false">AVERAGE($E$216:E1153)</f>
        <v>9.71636625623881</v>
      </c>
      <c r="L1153" s="819" t="n">
        <f aca="false">L1152+1</f>
        <v>938</v>
      </c>
      <c r="M1153" s="820" t="n">
        <f aca="false">IF(B1153&lt;$E$104,$E$105,$E$106)</f>
        <v>3</v>
      </c>
      <c r="N1153" s="821" t="n">
        <f aca="false">IF(B1153&lt;$E$104,$E$105,$E$111)</f>
        <v>2.5</v>
      </c>
      <c r="O1153" s="822" t="n">
        <f aca="false">E1153*$E$205*N1153</f>
        <v>189.34041742574</v>
      </c>
      <c r="P1153" s="823" t="n">
        <f aca="false">P1152+O1153</f>
        <v>119550.600943841</v>
      </c>
      <c r="Q1153" s="606" t="n">
        <f aca="false">Q1152+1</f>
        <v>938</v>
      </c>
      <c r="R1153" s="824" t="n">
        <f aca="false">R1152-1</f>
        <v>-938</v>
      </c>
      <c r="S1153" s="5"/>
      <c r="T1153" s="5"/>
      <c r="U1153" s="5"/>
      <c r="V1153" s="10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02"/>
      <c r="AU1153" s="502"/>
      <c r="AV1153" s="606"/>
      <c r="AW1153" s="502"/>
      <c r="AX1153" s="502"/>
      <c r="AY1153" s="502"/>
      <c r="AZ1153" s="502"/>
      <c r="BA1153" s="502"/>
      <c r="BB1153" s="502"/>
      <c r="BC1153" s="502"/>
      <c r="BD1153" s="502"/>
      <c r="BE1153" s="502"/>
      <c r="BF1153" s="502"/>
      <c r="BG1153" s="502"/>
      <c r="BH1153" s="502"/>
      <c r="BI1153" s="502"/>
      <c r="BJ1153" s="502"/>
      <c r="BK1153" s="502"/>
      <c r="BL1153" s="502"/>
      <c r="BM1153" s="502"/>
      <c r="BN1153" s="502"/>
      <c r="BO1153" s="502"/>
      <c r="BP1153" s="5"/>
      <c r="BQ1153" s="5"/>
      <c r="BR1153" s="5"/>
      <c r="BS1153" s="5"/>
      <c r="BT1153" s="5"/>
      <c r="BU1153" s="5"/>
      <c r="BV1153" s="5"/>
      <c r="BW1153" s="5"/>
      <c r="BX1153" s="5"/>
      <c r="BY1153" s="5"/>
      <c r="BZ1153" s="5"/>
      <c r="CA1153" s="5"/>
      <c r="CB1153" s="5"/>
      <c r="CC1153" s="5"/>
      <c r="CD1153" s="5"/>
      <c r="CE1153" s="5"/>
      <c r="CF1153" s="5"/>
      <c r="CG1153" s="5"/>
      <c r="CH1153" s="5"/>
      <c r="CI1153" s="5"/>
      <c r="CJ1153" s="5"/>
      <c r="CK1153" s="5"/>
      <c r="CL1153" s="5"/>
      <c r="CM1153" s="5"/>
      <c r="CN1153" s="5"/>
      <c r="CO1153" s="5"/>
      <c r="CP1153" s="5"/>
      <c r="CQ1153" s="5"/>
      <c r="CR1153" s="5"/>
      <c r="CS1153" s="5"/>
      <c r="CT1153" s="5"/>
      <c r="CU1153" s="5"/>
      <c r="CV1153" s="5"/>
      <c r="CW1153" s="5"/>
      <c r="CX1153" s="5"/>
      <c r="CY1153" s="5"/>
      <c r="CZ1153" s="5"/>
      <c r="DA1153" s="5"/>
      <c r="DB1153" s="5"/>
      <c r="DC1153" s="5"/>
      <c r="DD1153" s="5"/>
      <c r="DE1153" s="5"/>
      <c r="DF1153" s="5"/>
      <c r="DG1153" s="5"/>
      <c r="DH1153" s="5"/>
      <c r="DI1153" s="5"/>
      <c r="DJ1153" s="5"/>
      <c r="DK1153" s="5"/>
      <c r="DL1153" s="5"/>
      <c r="DM1153" s="5"/>
      <c r="DN1153" s="5"/>
      <c r="DO1153" s="5"/>
      <c r="DP1153" s="5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  <c r="GV1153" s="1"/>
      <c r="GW1153" s="1"/>
      <c r="GX1153" s="1"/>
      <c r="GY1153" s="1"/>
      <c r="GZ1153" s="1"/>
      <c r="HA1153" s="1"/>
      <c r="HB1153" s="1"/>
      <c r="HC1153" s="1"/>
      <c r="HD1153" s="1"/>
      <c r="HE1153" s="1"/>
      <c r="HF1153" s="1"/>
      <c r="HG1153" s="1"/>
      <c r="HH1153" s="1"/>
      <c r="HI1153" s="1"/>
      <c r="HJ1153" s="1"/>
      <c r="HK1153" s="1"/>
      <c r="HL1153" s="1"/>
      <c r="HM1153" s="1"/>
      <c r="HN1153" s="1"/>
      <c r="HO1153" s="1"/>
      <c r="HP1153" s="1"/>
      <c r="HQ1153" s="1"/>
      <c r="HR1153" s="1"/>
      <c r="HS1153" s="1"/>
      <c r="HT1153" s="1"/>
      <c r="HU1153" s="1"/>
      <c r="HV1153" s="1"/>
      <c r="HW1153" s="1"/>
      <c r="HX1153" s="1"/>
      <c r="HY1153" s="1"/>
      <c r="HZ1153" s="1"/>
      <c r="IA1153" s="1"/>
      <c r="IB1153" s="1"/>
      <c r="IC1153" s="1"/>
      <c r="ID1153" s="1"/>
      <c r="IE1153" s="1"/>
      <c r="IF1153" s="1"/>
      <c r="IG1153" s="1"/>
      <c r="IH1153" s="1"/>
      <c r="II1153" s="1"/>
      <c r="IJ1153" s="1"/>
      <c r="IK1153" s="1"/>
      <c r="IL1153" s="1"/>
      <c r="IM1153" s="1"/>
      <c r="IN1153" s="1"/>
      <c r="IO1153" s="1"/>
      <c r="IP1153" s="1"/>
      <c r="IQ1153" s="1"/>
      <c r="IR1153" s="1"/>
      <c r="IS1153" s="1"/>
      <c r="IT1153" s="1"/>
      <c r="IU1153" s="1"/>
      <c r="IV1153" s="1"/>
      <c r="IW1153" s="1"/>
      <c r="IX1153" s="1"/>
      <c r="IY1153" s="1"/>
      <c r="IZ1153" s="1"/>
      <c r="JA1153" s="1"/>
      <c r="JB1153" s="1"/>
      <c r="JC1153" s="1"/>
      <c r="JD1153" s="1"/>
    </row>
    <row r="1154" s="504" customFormat="true" ht="12.75" hidden="true" customHeight="true" outlineLevel="0" collapsed="false">
      <c r="A1154" s="5"/>
      <c r="B1154" s="813" t="n">
        <f aca="false">B1153+1</f>
        <v>939</v>
      </c>
      <c r="C1154" s="814" t="n">
        <f aca="false">C1153+D1154</f>
        <v>143626.070593068</v>
      </c>
      <c r="D1154" s="815" t="n">
        <f aca="false">E1154*$E$205*M1154</f>
        <v>227.366180910888</v>
      </c>
      <c r="E1154" s="601" t="n">
        <f aca="false">E1153+$C$204</f>
        <v>14.4194686016545</v>
      </c>
      <c r="F1154" s="816" t="n">
        <f aca="false">F1153+1</f>
        <v>939</v>
      </c>
      <c r="G1154" s="775" t="n">
        <f aca="false">C1154</f>
        <v>143626.070593068</v>
      </c>
      <c r="H1154" s="817" t="n">
        <f aca="false">1000*(E1154-E1153)</f>
        <v>9.99999999999979</v>
      </c>
      <c r="I1154" s="5"/>
      <c r="J1154" s="818" t="n">
        <f aca="false">1000*(E1154-$E$215)/(B1154-$B$215)</f>
        <v>11.6761127034842</v>
      </c>
      <c r="K1154" s="732" t="n">
        <f aca="false">AVERAGE($E$216:E1154)</f>
        <v>9.72137488493468</v>
      </c>
      <c r="L1154" s="819" t="n">
        <f aca="false">L1153+1</f>
        <v>939</v>
      </c>
      <c r="M1154" s="820" t="n">
        <f aca="false">IF(B1154&lt;$E$104,$E$105,$E$106)</f>
        <v>3</v>
      </c>
      <c r="N1154" s="821" t="n">
        <f aca="false">IF(B1154&lt;$E$104,$E$105,$E$111)</f>
        <v>2.5</v>
      </c>
      <c r="O1154" s="822" t="n">
        <f aca="false">E1154*$E$205*N1154</f>
        <v>189.47181742574</v>
      </c>
      <c r="P1154" s="823" t="n">
        <f aca="false">P1153+O1154</f>
        <v>119740.072761266</v>
      </c>
      <c r="Q1154" s="606" t="n">
        <f aca="false">Q1153+1</f>
        <v>939</v>
      </c>
      <c r="R1154" s="824" t="n">
        <f aca="false">R1153-1</f>
        <v>-939</v>
      </c>
      <c r="S1154" s="5"/>
      <c r="T1154" s="5"/>
      <c r="U1154" s="5"/>
      <c r="V1154" s="10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02"/>
      <c r="AU1154" s="502"/>
      <c r="AV1154" s="606"/>
      <c r="AW1154" s="502"/>
      <c r="AX1154" s="502"/>
      <c r="AY1154" s="502"/>
      <c r="AZ1154" s="502"/>
      <c r="BA1154" s="502"/>
      <c r="BB1154" s="502"/>
      <c r="BC1154" s="502"/>
      <c r="BD1154" s="502"/>
      <c r="BE1154" s="502"/>
      <c r="BF1154" s="502"/>
      <c r="BG1154" s="502"/>
      <c r="BH1154" s="502"/>
      <c r="BI1154" s="502"/>
      <c r="BJ1154" s="502"/>
      <c r="BK1154" s="502"/>
      <c r="BL1154" s="502"/>
      <c r="BM1154" s="502"/>
      <c r="BN1154" s="502"/>
      <c r="BO1154" s="502"/>
      <c r="BP1154" s="5"/>
      <c r="BQ1154" s="5"/>
      <c r="BR1154" s="5"/>
      <c r="BS1154" s="5"/>
      <c r="BT1154" s="5"/>
      <c r="BU1154" s="5"/>
      <c r="BV1154" s="5"/>
      <c r="BW1154" s="5"/>
      <c r="BX1154" s="5"/>
      <c r="BY1154" s="5"/>
      <c r="BZ1154" s="5"/>
      <c r="CA1154" s="5"/>
      <c r="CB1154" s="5"/>
      <c r="CC1154" s="5"/>
      <c r="CD1154" s="5"/>
      <c r="CE1154" s="5"/>
      <c r="CF1154" s="5"/>
      <c r="CG1154" s="5"/>
      <c r="CH1154" s="5"/>
      <c r="CI1154" s="5"/>
      <c r="CJ1154" s="5"/>
      <c r="CK1154" s="5"/>
      <c r="CL1154" s="5"/>
      <c r="CM1154" s="5"/>
      <c r="CN1154" s="5"/>
      <c r="CO1154" s="5"/>
      <c r="CP1154" s="5"/>
      <c r="CQ1154" s="5"/>
      <c r="CR1154" s="5"/>
      <c r="CS1154" s="5"/>
      <c r="CT1154" s="5"/>
      <c r="CU1154" s="5"/>
      <c r="CV1154" s="5"/>
      <c r="CW1154" s="5"/>
      <c r="CX1154" s="5"/>
      <c r="CY1154" s="5"/>
      <c r="CZ1154" s="5"/>
      <c r="DA1154" s="5"/>
      <c r="DB1154" s="5"/>
      <c r="DC1154" s="5"/>
      <c r="DD1154" s="5"/>
      <c r="DE1154" s="5"/>
      <c r="DF1154" s="5"/>
      <c r="DG1154" s="5"/>
      <c r="DH1154" s="5"/>
      <c r="DI1154" s="5"/>
      <c r="DJ1154" s="5"/>
      <c r="DK1154" s="5"/>
      <c r="DL1154" s="5"/>
      <c r="DM1154" s="5"/>
      <c r="DN1154" s="5"/>
      <c r="DO1154" s="5"/>
      <c r="DP1154" s="5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  <c r="GV1154" s="1"/>
      <c r="GW1154" s="1"/>
      <c r="GX1154" s="1"/>
      <c r="GY1154" s="1"/>
      <c r="GZ1154" s="1"/>
      <c r="HA1154" s="1"/>
      <c r="HB1154" s="1"/>
      <c r="HC1154" s="1"/>
      <c r="HD1154" s="1"/>
      <c r="HE1154" s="1"/>
      <c r="HF1154" s="1"/>
      <c r="HG1154" s="1"/>
      <c r="HH1154" s="1"/>
      <c r="HI1154" s="1"/>
      <c r="HJ1154" s="1"/>
      <c r="HK1154" s="1"/>
      <c r="HL1154" s="1"/>
      <c r="HM1154" s="1"/>
      <c r="HN1154" s="1"/>
      <c r="HO1154" s="1"/>
      <c r="HP1154" s="1"/>
      <c r="HQ1154" s="1"/>
      <c r="HR1154" s="1"/>
      <c r="HS1154" s="1"/>
      <c r="HT1154" s="1"/>
      <c r="HU1154" s="1"/>
      <c r="HV1154" s="1"/>
      <c r="HW1154" s="1"/>
      <c r="HX1154" s="1"/>
      <c r="HY1154" s="1"/>
      <c r="HZ1154" s="1"/>
      <c r="IA1154" s="1"/>
      <c r="IB1154" s="1"/>
      <c r="IC1154" s="1"/>
      <c r="ID1154" s="1"/>
      <c r="IE1154" s="1"/>
      <c r="IF1154" s="1"/>
      <c r="IG1154" s="1"/>
      <c r="IH1154" s="1"/>
      <c r="II1154" s="1"/>
      <c r="IJ1154" s="1"/>
      <c r="IK1154" s="1"/>
      <c r="IL1154" s="1"/>
      <c r="IM1154" s="1"/>
      <c r="IN1154" s="1"/>
      <c r="IO1154" s="1"/>
      <c r="IP1154" s="1"/>
      <c r="IQ1154" s="1"/>
      <c r="IR1154" s="1"/>
      <c r="IS1154" s="1"/>
      <c r="IT1154" s="1"/>
      <c r="IU1154" s="1"/>
      <c r="IV1154" s="1"/>
      <c r="IW1154" s="1"/>
      <c r="IX1154" s="1"/>
      <c r="IY1154" s="1"/>
      <c r="IZ1154" s="1"/>
      <c r="JA1154" s="1"/>
      <c r="JB1154" s="1"/>
      <c r="JC1154" s="1"/>
      <c r="JD1154" s="1"/>
    </row>
    <row r="1155" s="504" customFormat="true" ht="12.75" hidden="true" customHeight="true" outlineLevel="0" collapsed="false">
      <c r="A1155" s="5"/>
      <c r="B1155" s="813" t="n">
        <f aca="false">B1154+1</f>
        <v>940</v>
      </c>
      <c r="C1155" s="814" t="n">
        <f aca="false">C1154+D1155</f>
        <v>143853.594453979</v>
      </c>
      <c r="D1155" s="815" t="n">
        <f aca="false">E1155*$E$205*M1155</f>
        <v>227.523860910888</v>
      </c>
      <c r="E1155" s="601" t="n">
        <f aca="false">E1154+$C$204</f>
        <v>14.4294686016545</v>
      </c>
      <c r="F1155" s="816" t="n">
        <f aca="false">F1154+1</f>
        <v>940</v>
      </c>
      <c r="G1155" s="775" t="n">
        <f aca="false">C1155</f>
        <v>143853.594453979</v>
      </c>
      <c r="H1155" s="817" t="n">
        <f aca="false">1000*(E1155-E1154)</f>
        <v>9.99999999999979</v>
      </c>
      <c r="I1155" s="5"/>
      <c r="J1155" s="818" t="n">
        <f aca="false">1000*(E1155-$E$215)/(B1155-$B$215)</f>
        <v>11.6743296048635</v>
      </c>
      <c r="K1155" s="732" t="n">
        <f aca="false">AVERAGE($E$216:E1155)</f>
        <v>9.72638349527161</v>
      </c>
      <c r="L1155" s="819" t="n">
        <f aca="false">L1154+1</f>
        <v>940</v>
      </c>
      <c r="M1155" s="820" t="n">
        <f aca="false">IF(B1155&lt;$E$104,$E$105,$E$106)</f>
        <v>3</v>
      </c>
      <c r="N1155" s="821" t="n">
        <f aca="false">IF(B1155&lt;$E$104,$E$105,$E$111)</f>
        <v>2.5</v>
      </c>
      <c r="O1155" s="822" t="n">
        <f aca="false">E1155*$E$205*N1155</f>
        <v>189.60321742574</v>
      </c>
      <c r="P1155" s="823" t="n">
        <f aca="false">P1154+O1155</f>
        <v>119929.675978692</v>
      </c>
      <c r="Q1155" s="606" t="n">
        <f aca="false">Q1154+1</f>
        <v>940</v>
      </c>
      <c r="R1155" s="824" t="n">
        <f aca="false">R1154-1</f>
        <v>-940</v>
      </c>
      <c r="S1155" s="5"/>
      <c r="T1155" s="5"/>
      <c r="U1155" s="5"/>
      <c r="V1155" s="10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02"/>
      <c r="AU1155" s="502"/>
      <c r="AV1155" s="606"/>
      <c r="AW1155" s="502"/>
      <c r="AX1155" s="502"/>
      <c r="AY1155" s="502"/>
      <c r="AZ1155" s="502"/>
      <c r="BA1155" s="502"/>
      <c r="BB1155" s="502"/>
      <c r="BC1155" s="502"/>
      <c r="BD1155" s="502"/>
      <c r="BE1155" s="502"/>
      <c r="BF1155" s="502"/>
      <c r="BG1155" s="502"/>
      <c r="BH1155" s="502"/>
      <c r="BI1155" s="502"/>
      <c r="BJ1155" s="502"/>
      <c r="BK1155" s="502"/>
      <c r="BL1155" s="502"/>
      <c r="BM1155" s="502"/>
      <c r="BN1155" s="502"/>
      <c r="BO1155" s="502"/>
      <c r="BP1155" s="5"/>
      <c r="BQ1155" s="5"/>
      <c r="BR1155" s="5"/>
      <c r="BS1155" s="5"/>
      <c r="BT1155" s="5"/>
      <c r="BU1155" s="5"/>
      <c r="BV1155" s="5"/>
      <c r="BW1155" s="5"/>
      <c r="BX1155" s="5"/>
      <c r="BY1155" s="5"/>
      <c r="BZ1155" s="5"/>
      <c r="CA1155" s="5"/>
      <c r="CB1155" s="5"/>
      <c r="CC1155" s="5"/>
      <c r="CD1155" s="5"/>
      <c r="CE1155" s="5"/>
      <c r="CF1155" s="5"/>
      <c r="CG1155" s="5"/>
      <c r="CH1155" s="5"/>
      <c r="CI1155" s="5"/>
      <c r="CJ1155" s="5"/>
      <c r="CK1155" s="5"/>
      <c r="CL1155" s="5"/>
      <c r="CM1155" s="5"/>
      <c r="CN1155" s="5"/>
      <c r="CO1155" s="5"/>
      <c r="CP1155" s="5"/>
      <c r="CQ1155" s="5"/>
      <c r="CR1155" s="5"/>
      <c r="CS1155" s="5"/>
      <c r="CT1155" s="5"/>
      <c r="CU1155" s="5"/>
      <c r="CV1155" s="5"/>
      <c r="CW1155" s="5"/>
      <c r="CX1155" s="5"/>
      <c r="CY1155" s="5"/>
      <c r="CZ1155" s="5"/>
      <c r="DA1155" s="5"/>
      <c r="DB1155" s="5"/>
      <c r="DC1155" s="5"/>
      <c r="DD1155" s="5"/>
      <c r="DE1155" s="5"/>
      <c r="DF1155" s="5"/>
      <c r="DG1155" s="5"/>
      <c r="DH1155" s="5"/>
      <c r="DI1155" s="5"/>
      <c r="DJ1155" s="5"/>
      <c r="DK1155" s="5"/>
      <c r="DL1155" s="5"/>
      <c r="DM1155" s="5"/>
      <c r="DN1155" s="5"/>
      <c r="DO1155" s="5"/>
      <c r="DP1155" s="5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  <c r="GV1155" s="1"/>
      <c r="GW1155" s="1"/>
      <c r="GX1155" s="1"/>
      <c r="GY1155" s="1"/>
      <c r="GZ1155" s="1"/>
      <c r="HA1155" s="1"/>
      <c r="HB1155" s="1"/>
      <c r="HC1155" s="1"/>
      <c r="HD1155" s="1"/>
      <c r="HE1155" s="1"/>
      <c r="HF1155" s="1"/>
      <c r="HG1155" s="1"/>
      <c r="HH1155" s="1"/>
      <c r="HI1155" s="1"/>
      <c r="HJ1155" s="1"/>
      <c r="HK1155" s="1"/>
      <c r="HL1155" s="1"/>
      <c r="HM1155" s="1"/>
      <c r="HN1155" s="1"/>
      <c r="HO1155" s="1"/>
      <c r="HP1155" s="1"/>
      <c r="HQ1155" s="1"/>
      <c r="HR1155" s="1"/>
      <c r="HS1155" s="1"/>
      <c r="HT1155" s="1"/>
      <c r="HU1155" s="1"/>
      <c r="HV1155" s="1"/>
      <c r="HW1155" s="1"/>
      <c r="HX1155" s="1"/>
      <c r="HY1155" s="1"/>
      <c r="HZ1155" s="1"/>
      <c r="IA1155" s="1"/>
      <c r="IB1155" s="1"/>
      <c r="IC1155" s="1"/>
      <c r="ID1155" s="1"/>
      <c r="IE1155" s="1"/>
      <c r="IF1155" s="1"/>
      <c r="IG1155" s="1"/>
      <c r="IH1155" s="1"/>
      <c r="II1155" s="1"/>
      <c r="IJ1155" s="1"/>
      <c r="IK1155" s="1"/>
      <c r="IL1155" s="1"/>
      <c r="IM1155" s="1"/>
      <c r="IN1155" s="1"/>
      <c r="IO1155" s="1"/>
      <c r="IP1155" s="1"/>
      <c r="IQ1155" s="1"/>
      <c r="IR1155" s="1"/>
      <c r="IS1155" s="1"/>
      <c r="IT1155" s="1"/>
      <c r="IU1155" s="1"/>
      <c r="IV1155" s="1"/>
      <c r="IW1155" s="1"/>
      <c r="IX1155" s="1"/>
      <c r="IY1155" s="1"/>
      <c r="IZ1155" s="1"/>
      <c r="JA1155" s="1"/>
      <c r="JB1155" s="1"/>
      <c r="JC1155" s="1"/>
      <c r="JD1155" s="1"/>
    </row>
    <row r="1156" s="504" customFormat="true" ht="12.75" hidden="true" customHeight="true" outlineLevel="0" collapsed="false">
      <c r="A1156" s="5"/>
      <c r="B1156" s="813" t="n">
        <f aca="false">B1155+1</f>
        <v>941</v>
      </c>
      <c r="C1156" s="814" t="n">
        <f aca="false">C1155+D1156</f>
        <v>144081.27599489</v>
      </c>
      <c r="D1156" s="815" t="n">
        <f aca="false">E1156*$E$205*M1156</f>
        <v>227.681540910888</v>
      </c>
      <c r="E1156" s="601" t="n">
        <f aca="false">E1155+$C$204</f>
        <v>14.4394686016545</v>
      </c>
      <c r="F1156" s="816" t="n">
        <f aca="false">F1155+1</f>
        <v>941</v>
      </c>
      <c r="G1156" s="775" t="n">
        <f aca="false">C1156</f>
        <v>144081.27599489</v>
      </c>
      <c r="H1156" s="817" t="n">
        <f aca="false">1000*(E1156-E1155)</f>
        <v>9.99999999999979</v>
      </c>
      <c r="I1156" s="5"/>
      <c r="J1156" s="818" t="n">
        <f aca="false">1000*(E1156-$E$215)/(B1156-$B$215)</f>
        <v>11.6725502960379</v>
      </c>
      <c r="K1156" s="732" t="n">
        <f aca="false">AVERAGE($E$216:E1156)</f>
        <v>9.73139208730815</v>
      </c>
      <c r="L1156" s="819" t="n">
        <f aca="false">L1155+1</f>
        <v>941</v>
      </c>
      <c r="M1156" s="820" t="n">
        <f aca="false">IF(B1156&lt;$E$104,$E$105,$E$106)</f>
        <v>3</v>
      </c>
      <c r="N1156" s="821" t="n">
        <f aca="false">IF(B1156&lt;$E$104,$E$105,$E$111)</f>
        <v>2.5</v>
      </c>
      <c r="O1156" s="822" t="n">
        <f aca="false">E1156*$E$205*N1156</f>
        <v>189.73461742574</v>
      </c>
      <c r="P1156" s="823" t="n">
        <f aca="false">P1155+O1156</f>
        <v>120119.410596118</v>
      </c>
      <c r="Q1156" s="606" t="n">
        <f aca="false">Q1155+1</f>
        <v>941</v>
      </c>
      <c r="R1156" s="824" t="n">
        <f aca="false">R1155-1</f>
        <v>-941</v>
      </c>
      <c r="S1156" s="5"/>
      <c r="T1156" s="5"/>
      <c r="U1156" s="5"/>
      <c r="V1156" s="10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02"/>
      <c r="AU1156" s="502"/>
      <c r="AV1156" s="606"/>
      <c r="AW1156" s="502"/>
      <c r="AX1156" s="502"/>
      <c r="AY1156" s="502"/>
      <c r="AZ1156" s="502"/>
      <c r="BA1156" s="502"/>
      <c r="BB1156" s="502"/>
      <c r="BC1156" s="502"/>
      <c r="BD1156" s="502"/>
      <c r="BE1156" s="502"/>
      <c r="BF1156" s="502"/>
      <c r="BG1156" s="502"/>
      <c r="BH1156" s="502"/>
      <c r="BI1156" s="502"/>
      <c r="BJ1156" s="502"/>
      <c r="BK1156" s="502"/>
      <c r="BL1156" s="502"/>
      <c r="BM1156" s="502"/>
      <c r="BN1156" s="502"/>
      <c r="BO1156" s="502"/>
      <c r="BP1156" s="5"/>
      <c r="BQ1156" s="5"/>
      <c r="BR1156" s="5"/>
      <c r="BS1156" s="5"/>
      <c r="BT1156" s="5"/>
      <c r="BU1156" s="5"/>
      <c r="BV1156" s="5"/>
      <c r="BW1156" s="5"/>
      <c r="BX1156" s="5"/>
      <c r="BY1156" s="5"/>
      <c r="BZ1156" s="5"/>
      <c r="CA1156" s="5"/>
      <c r="CB1156" s="5"/>
      <c r="CC1156" s="5"/>
      <c r="CD1156" s="5"/>
      <c r="CE1156" s="5"/>
      <c r="CF1156" s="5"/>
      <c r="CG1156" s="5"/>
      <c r="CH1156" s="5"/>
      <c r="CI1156" s="5"/>
      <c r="CJ1156" s="5"/>
      <c r="CK1156" s="5"/>
      <c r="CL1156" s="5"/>
      <c r="CM1156" s="5"/>
      <c r="CN1156" s="5"/>
      <c r="CO1156" s="5"/>
      <c r="CP1156" s="5"/>
      <c r="CQ1156" s="5"/>
      <c r="CR1156" s="5"/>
      <c r="CS1156" s="5"/>
      <c r="CT1156" s="5"/>
      <c r="CU1156" s="5"/>
      <c r="CV1156" s="5"/>
      <c r="CW1156" s="5"/>
      <c r="CX1156" s="5"/>
      <c r="CY1156" s="5"/>
      <c r="CZ1156" s="5"/>
      <c r="DA1156" s="5"/>
      <c r="DB1156" s="5"/>
      <c r="DC1156" s="5"/>
      <c r="DD1156" s="5"/>
      <c r="DE1156" s="5"/>
      <c r="DF1156" s="5"/>
      <c r="DG1156" s="5"/>
      <c r="DH1156" s="5"/>
      <c r="DI1156" s="5"/>
      <c r="DJ1156" s="5"/>
      <c r="DK1156" s="5"/>
      <c r="DL1156" s="5"/>
      <c r="DM1156" s="5"/>
      <c r="DN1156" s="5"/>
      <c r="DO1156" s="5"/>
      <c r="DP1156" s="5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  <c r="GV1156" s="1"/>
      <c r="GW1156" s="1"/>
      <c r="GX1156" s="1"/>
      <c r="GY1156" s="1"/>
      <c r="GZ1156" s="1"/>
      <c r="HA1156" s="1"/>
      <c r="HB1156" s="1"/>
      <c r="HC1156" s="1"/>
      <c r="HD1156" s="1"/>
      <c r="HE1156" s="1"/>
      <c r="HF1156" s="1"/>
      <c r="HG1156" s="1"/>
      <c r="HH1156" s="1"/>
      <c r="HI1156" s="1"/>
      <c r="HJ1156" s="1"/>
      <c r="HK1156" s="1"/>
      <c r="HL1156" s="1"/>
      <c r="HM1156" s="1"/>
      <c r="HN1156" s="1"/>
      <c r="HO1156" s="1"/>
      <c r="HP1156" s="1"/>
      <c r="HQ1156" s="1"/>
      <c r="HR1156" s="1"/>
      <c r="HS1156" s="1"/>
      <c r="HT1156" s="1"/>
      <c r="HU1156" s="1"/>
      <c r="HV1156" s="1"/>
      <c r="HW1156" s="1"/>
      <c r="HX1156" s="1"/>
      <c r="HY1156" s="1"/>
      <c r="HZ1156" s="1"/>
      <c r="IA1156" s="1"/>
      <c r="IB1156" s="1"/>
      <c r="IC1156" s="1"/>
      <c r="ID1156" s="1"/>
      <c r="IE1156" s="1"/>
      <c r="IF1156" s="1"/>
      <c r="IG1156" s="1"/>
      <c r="IH1156" s="1"/>
      <c r="II1156" s="1"/>
      <c r="IJ1156" s="1"/>
      <c r="IK1156" s="1"/>
      <c r="IL1156" s="1"/>
      <c r="IM1156" s="1"/>
      <c r="IN1156" s="1"/>
      <c r="IO1156" s="1"/>
      <c r="IP1156" s="1"/>
      <c r="IQ1156" s="1"/>
      <c r="IR1156" s="1"/>
      <c r="IS1156" s="1"/>
      <c r="IT1156" s="1"/>
      <c r="IU1156" s="1"/>
      <c r="IV1156" s="1"/>
      <c r="IW1156" s="1"/>
      <c r="IX1156" s="1"/>
      <c r="IY1156" s="1"/>
      <c r="IZ1156" s="1"/>
      <c r="JA1156" s="1"/>
      <c r="JB1156" s="1"/>
      <c r="JC1156" s="1"/>
      <c r="JD1156" s="1"/>
    </row>
    <row r="1157" s="504" customFormat="true" ht="12.75" hidden="true" customHeight="true" outlineLevel="0" collapsed="false">
      <c r="A1157" s="5"/>
      <c r="B1157" s="813" t="n">
        <f aca="false">B1156+1</f>
        <v>942</v>
      </c>
      <c r="C1157" s="814" t="n">
        <f aca="false">C1156+D1157</f>
        <v>144309.115215801</v>
      </c>
      <c r="D1157" s="815" t="n">
        <f aca="false">E1157*$E$205*M1157</f>
        <v>227.839220910888</v>
      </c>
      <c r="E1157" s="601" t="n">
        <f aca="false">E1156+$C$204</f>
        <v>14.4494686016545</v>
      </c>
      <c r="F1157" s="816" t="n">
        <f aca="false">F1156+1</f>
        <v>942</v>
      </c>
      <c r="G1157" s="775" t="n">
        <f aca="false">C1157</f>
        <v>144309.115215801</v>
      </c>
      <c r="H1157" s="817" t="n">
        <f aca="false">1000*(E1157-E1156)</f>
        <v>9.99999999999979</v>
      </c>
      <c r="I1157" s="5"/>
      <c r="J1157" s="818" t="n">
        <f aca="false">1000*(E1157-$E$215)/(B1157-$B$215)</f>
        <v>11.6707747649381</v>
      </c>
      <c r="K1157" s="732" t="n">
        <f aca="false">AVERAGE($E$216:E1157)</f>
        <v>9.73640066110258</v>
      </c>
      <c r="L1157" s="819" t="n">
        <f aca="false">L1156+1</f>
        <v>942</v>
      </c>
      <c r="M1157" s="820" t="n">
        <f aca="false">IF(B1157&lt;$E$104,$E$105,$E$106)</f>
        <v>3</v>
      </c>
      <c r="N1157" s="821" t="n">
        <f aca="false">IF(B1157&lt;$E$104,$E$105,$E$111)</f>
        <v>2.5</v>
      </c>
      <c r="O1157" s="822" t="n">
        <f aca="false">E1157*$E$205*N1157</f>
        <v>189.86601742574</v>
      </c>
      <c r="P1157" s="823" t="n">
        <f aca="false">P1156+O1157</f>
        <v>120309.276613544</v>
      </c>
      <c r="Q1157" s="606" t="n">
        <f aca="false">Q1156+1</f>
        <v>942</v>
      </c>
      <c r="R1157" s="824" t="n">
        <f aca="false">R1156-1</f>
        <v>-942</v>
      </c>
      <c r="S1157" s="5"/>
      <c r="T1157" s="5"/>
      <c r="U1157" s="5"/>
      <c r="V1157" s="10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02"/>
      <c r="AU1157" s="502"/>
      <c r="AV1157" s="606"/>
      <c r="AW1157" s="502"/>
      <c r="AX1157" s="502"/>
      <c r="AY1157" s="502"/>
      <c r="AZ1157" s="502"/>
      <c r="BA1157" s="502"/>
      <c r="BB1157" s="502"/>
      <c r="BC1157" s="502"/>
      <c r="BD1157" s="502"/>
      <c r="BE1157" s="502"/>
      <c r="BF1157" s="502"/>
      <c r="BG1157" s="502"/>
      <c r="BH1157" s="502"/>
      <c r="BI1157" s="502"/>
      <c r="BJ1157" s="502"/>
      <c r="BK1157" s="502"/>
      <c r="BL1157" s="502"/>
      <c r="BM1157" s="502"/>
      <c r="BN1157" s="502"/>
      <c r="BO1157" s="502"/>
      <c r="BP1157" s="5"/>
      <c r="BQ1157" s="5"/>
      <c r="BR1157" s="5"/>
      <c r="BS1157" s="5"/>
      <c r="BT1157" s="5"/>
      <c r="BU1157" s="5"/>
      <c r="BV1157" s="5"/>
      <c r="BW1157" s="5"/>
      <c r="BX1157" s="5"/>
      <c r="BY1157" s="5"/>
      <c r="BZ1157" s="5"/>
      <c r="CA1157" s="5"/>
      <c r="CB1157" s="5"/>
      <c r="CC1157" s="5"/>
      <c r="CD1157" s="5"/>
      <c r="CE1157" s="5"/>
      <c r="CF1157" s="5"/>
      <c r="CG1157" s="5"/>
      <c r="CH1157" s="5"/>
      <c r="CI1157" s="5"/>
      <c r="CJ1157" s="5"/>
      <c r="CK1157" s="5"/>
      <c r="CL1157" s="5"/>
      <c r="CM1157" s="5"/>
      <c r="CN1157" s="5"/>
      <c r="CO1157" s="5"/>
      <c r="CP1157" s="5"/>
      <c r="CQ1157" s="5"/>
      <c r="CR1157" s="5"/>
      <c r="CS1157" s="5"/>
      <c r="CT1157" s="5"/>
      <c r="CU1157" s="5"/>
      <c r="CV1157" s="5"/>
      <c r="CW1157" s="5"/>
      <c r="CX1157" s="5"/>
      <c r="CY1157" s="5"/>
      <c r="CZ1157" s="5"/>
      <c r="DA1157" s="5"/>
      <c r="DB1157" s="5"/>
      <c r="DC1157" s="5"/>
      <c r="DD1157" s="5"/>
      <c r="DE1157" s="5"/>
      <c r="DF1157" s="5"/>
      <c r="DG1157" s="5"/>
      <c r="DH1157" s="5"/>
      <c r="DI1157" s="5"/>
      <c r="DJ1157" s="5"/>
      <c r="DK1157" s="5"/>
      <c r="DL1157" s="5"/>
      <c r="DM1157" s="5"/>
      <c r="DN1157" s="5"/>
      <c r="DO1157" s="5"/>
      <c r="DP1157" s="5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  <c r="GV1157" s="1"/>
      <c r="GW1157" s="1"/>
      <c r="GX1157" s="1"/>
      <c r="GY1157" s="1"/>
      <c r="GZ1157" s="1"/>
      <c r="HA1157" s="1"/>
      <c r="HB1157" s="1"/>
      <c r="HC1157" s="1"/>
      <c r="HD1157" s="1"/>
      <c r="HE1157" s="1"/>
      <c r="HF1157" s="1"/>
      <c r="HG1157" s="1"/>
      <c r="HH1157" s="1"/>
      <c r="HI1157" s="1"/>
      <c r="HJ1157" s="1"/>
      <c r="HK1157" s="1"/>
      <c r="HL1157" s="1"/>
      <c r="HM1157" s="1"/>
      <c r="HN1157" s="1"/>
      <c r="HO1157" s="1"/>
      <c r="HP1157" s="1"/>
      <c r="HQ1157" s="1"/>
      <c r="HR1157" s="1"/>
      <c r="HS1157" s="1"/>
      <c r="HT1157" s="1"/>
      <c r="HU1157" s="1"/>
      <c r="HV1157" s="1"/>
      <c r="HW1157" s="1"/>
      <c r="HX1157" s="1"/>
      <c r="HY1157" s="1"/>
      <c r="HZ1157" s="1"/>
      <c r="IA1157" s="1"/>
      <c r="IB1157" s="1"/>
      <c r="IC1157" s="1"/>
      <c r="ID1157" s="1"/>
      <c r="IE1157" s="1"/>
      <c r="IF1157" s="1"/>
      <c r="IG1157" s="1"/>
      <c r="IH1157" s="1"/>
      <c r="II1157" s="1"/>
      <c r="IJ1157" s="1"/>
      <c r="IK1157" s="1"/>
      <c r="IL1157" s="1"/>
      <c r="IM1157" s="1"/>
      <c r="IN1157" s="1"/>
      <c r="IO1157" s="1"/>
      <c r="IP1157" s="1"/>
      <c r="IQ1157" s="1"/>
      <c r="IR1157" s="1"/>
      <c r="IS1157" s="1"/>
      <c r="IT1157" s="1"/>
      <c r="IU1157" s="1"/>
      <c r="IV1157" s="1"/>
      <c r="IW1157" s="1"/>
      <c r="IX1157" s="1"/>
      <c r="IY1157" s="1"/>
      <c r="IZ1157" s="1"/>
      <c r="JA1157" s="1"/>
      <c r="JB1157" s="1"/>
      <c r="JC1157" s="1"/>
      <c r="JD1157" s="1"/>
    </row>
    <row r="1158" s="504" customFormat="true" ht="12.75" hidden="true" customHeight="true" outlineLevel="0" collapsed="false">
      <c r="A1158" s="5"/>
      <c r="B1158" s="813" t="n">
        <f aca="false">B1157+1</f>
        <v>943</v>
      </c>
      <c r="C1158" s="814" t="n">
        <f aca="false">C1157+D1158</f>
        <v>144537.112116712</v>
      </c>
      <c r="D1158" s="815" t="n">
        <f aca="false">E1158*$E$205*M1158</f>
        <v>227.996900910888</v>
      </c>
      <c r="E1158" s="601" t="n">
        <f aca="false">E1157+$C$204</f>
        <v>14.4594686016545</v>
      </c>
      <c r="F1158" s="816" t="n">
        <f aca="false">F1157+1</f>
        <v>943</v>
      </c>
      <c r="G1158" s="775" t="n">
        <f aca="false">C1158</f>
        <v>144537.112116712</v>
      </c>
      <c r="H1158" s="817" t="n">
        <f aca="false">1000*(E1158-E1157)</f>
        <v>9.99999999999979</v>
      </c>
      <c r="I1158" s="5"/>
      <c r="J1158" s="818" t="n">
        <f aca="false">1000*(E1158-$E$215)/(B1158-$B$215)</f>
        <v>11.6690029995458</v>
      </c>
      <c r="K1158" s="732" t="n">
        <f aca="false">AVERAGE($E$216:E1158)</f>
        <v>9.74140921671292</v>
      </c>
      <c r="L1158" s="819" t="n">
        <f aca="false">L1157+1</f>
        <v>943</v>
      </c>
      <c r="M1158" s="820" t="n">
        <f aca="false">IF(B1158&lt;$E$104,$E$105,$E$106)</f>
        <v>3</v>
      </c>
      <c r="N1158" s="821" t="n">
        <f aca="false">IF(B1158&lt;$E$104,$E$105,$E$111)</f>
        <v>2.5</v>
      </c>
      <c r="O1158" s="822" t="n">
        <f aca="false">E1158*$E$205*N1158</f>
        <v>189.99741742574</v>
      </c>
      <c r="P1158" s="823" t="n">
        <f aca="false">P1157+O1158</f>
        <v>120499.274030969</v>
      </c>
      <c r="Q1158" s="606" t="n">
        <f aca="false">Q1157+1</f>
        <v>943</v>
      </c>
      <c r="R1158" s="824" t="n">
        <f aca="false">R1157-1</f>
        <v>-943</v>
      </c>
      <c r="S1158" s="5"/>
      <c r="T1158" s="5"/>
      <c r="U1158" s="5"/>
      <c r="V1158" s="10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02"/>
      <c r="AU1158" s="502"/>
      <c r="AV1158" s="606"/>
      <c r="AW1158" s="502"/>
      <c r="AX1158" s="502"/>
      <c r="AY1158" s="502"/>
      <c r="AZ1158" s="502"/>
      <c r="BA1158" s="502"/>
      <c r="BB1158" s="502"/>
      <c r="BC1158" s="502"/>
      <c r="BD1158" s="502"/>
      <c r="BE1158" s="502"/>
      <c r="BF1158" s="502"/>
      <c r="BG1158" s="502"/>
      <c r="BH1158" s="502"/>
      <c r="BI1158" s="502"/>
      <c r="BJ1158" s="502"/>
      <c r="BK1158" s="502"/>
      <c r="BL1158" s="502"/>
      <c r="BM1158" s="502"/>
      <c r="BN1158" s="502"/>
      <c r="BO1158" s="502"/>
      <c r="BP1158" s="5"/>
      <c r="BQ1158" s="5"/>
      <c r="BR1158" s="5"/>
      <c r="BS1158" s="5"/>
      <c r="BT1158" s="5"/>
      <c r="BU1158" s="5"/>
      <c r="BV1158" s="5"/>
      <c r="BW1158" s="5"/>
      <c r="BX1158" s="5"/>
      <c r="BY1158" s="5"/>
      <c r="BZ1158" s="5"/>
      <c r="CA1158" s="5"/>
      <c r="CB1158" s="5"/>
      <c r="CC1158" s="5"/>
      <c r="CD1158" s="5"/>
      <c r="CE1158" s="5"/>
      <c r="CF1158" s="5"/>
      <c r="CG1158" s="5"/>
      <c r="CH1158" s="5"/>
      <c r="CI1158" s="5"/>
      <c r="CJ1158" s="5"/>
      <c r="CK1158" s="5"/>
      <c r="CL1158" s="5"/>
      <c r="CM1158" s="5"/>
      <c r="CN1158" s="5"/>
      <c r="CO1158" s="5"/>
      <c r="CP1158" s="5"/>
      <c r="CQ1158" s="5"/>
      <c r="CR1158" s="5"/>
      <c r="CS1158" s="5"/>
      <c r="CT1158" s="5"/>
      <c r="CU1158" s="5"/>
      <c r="CV1158" s="5"/>
      <c r="CW1158" s="5"/>
      <c r="CX1158" s="5"/>
      <c r="CY1158" s="5"/>
      <c r="CZ1158" s="5"/>
      <c r="DA1158" s="5"/>
      <c r="DB1158" s="5"/>
      <c r="DC1158" s="5"/>
      <c r="DD1158" s="5"/>
      <c r="DE1158" s="5"/>
      <c r="DF1158" s="5"/>
      <c r="DG1158" s="5"/>
      <c r="DH1158" s="5"/>
      <c r="DI1158" s="5"/>
      <c r="DJ1158" s="5"/>
      <c r="DK1158" s="5"/>
      <c r="DL1158" s="5"/>
      <c r="DM1158" s="5"/>
      <c r="DN1158" s="5"/>
      <c r="DO1158" s="5"/>
      <c r="DP1158" s="5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  <c r="GV1158" s="1"/>
      <c r="GW1158" s="1"/>
      <c r="GX1158" s="1"/>
      <c r="GY1158" s="1"/>
      <c r="GZ1158" s="1"/>
      <c r="HA1158" s="1"/>
      <c r="HB1158" s="1"/>
      <c r="HC1158" s="1"/>
      <c r="HD1158" s="1"/>
      <c r="HE1158" s="1"/>
      <c r="HF1158" s="1"/>
      <c r="HG1158" s="1"/>
      <c r="HH1158" s="1"/>
      <c r="HI1158" s="1"/>
      <c r="HJ1158" s="1"/>
      <c r="HK1158" s="1"/>
      <c r="HL1158" s="1"/>
      <c r="HM1158" s="1"/>
      <c r="HN1158" s="1"/>
      <c r="HO1158" s="1"/>
      <c r="HP1158" s="1"/>
      <c r="HQ1158" s="1"/>
      <c r="HR1158" s="1"/>
      <c r="HS1158" s="1"/>
      <c r="HT1158" s="1"/>
      <c r="HU1158" s="1"/>
      <c r="HV1158" s="1"/>
      <c r="HW1158" s="1"/>
      <c r="HX1158" s="1"/>
      <c r="HY1158" s="1"/>
      <c r="HZ1158" s="1"/>
      <c r="IA1158" s="1"/>
      <c r="IB1158" s="1"/>
      <c r="IC1158" s="1"/>
      <c r="ID1158" s="1"/>
      <c r="IE1158" s="1"/>
      <c r="IF1158" s="1"/>
      <c r="IG1158" s="1"/>
      <c r="IH1158" s="1"/>
      <c r="II1158" s="1"/>
      <c r="IJ1158" s="1"/>
      <c r="IK1158" s="1"/>
      <c r="IL1158" s="1"/>
      <c r="IM1158" s="1"/>
      <c r="IN1158" s="1"/>
      <c r="IO1158" s="1"/>
      <c r="IP1158" s="1"/>
      <c r="IQ1158" s="1"/>
      <c r="IR1158" s="1"/>
      <c r="IS1158" s="1"/>
      <c r="IT1158" s="1"/>
      <c r="IU1158" s="1"/>
      <c r="IV1158" s="1"/>
      <c r="IW1158" s="1"/>
      <c r="IX1158" s="1"/>
      <c r="IY1158" s="1"/>
      <c r="IZ1158" s="1"/>
      <c r="JA1158" s="1"/>
      <c r="JB1158" s="1"/>
      <c r="JC1158" s="1"/>
      <c r="JD1158" s="1"/>
    </row>
    <row r="1159" s="504" customFormat="true" ht="12.75" hidden="true" customHeight="true" outlineLevel="0" collapsed="false">
      <c r="A1159" s="5"/>
      <c r="B1159" s="813" t="n">
        <f aca="false">B1158+1</f>
        <v>944</v>
      </c>
      <c r="C1159" s="814" t="n">
        <f aca="false">C1158+D1159</f>
        <v>144765.266697623</v>
      </c>
      <c r="D1159" s="815" t="n">
        <f aca="false">E1159*$E$205*M1159</f>
        <v>228.154580910888</v>
      </c>
      <c r="E1159" s="601" t="n">
        <f aca="false">E1158+$C$204</f>
        <v>14.4694686016545</v>
      </c>
      <c r="F1159" s="816" t="n">
        <f aca="false">F1158+1</f>
        <v>944</v>
      </c>
      <c r="G1159" s="775" t="n">
        <f aca="false">C1159</f>
        <v>144765.266697623</v>
      </c>
      <c r="H1159" s="817" t="n">
        <f aca="false">1000*(E1159-E1158)</f>
        <v>9.99999999999979</v>
      </c>
      <c r="I1159" s="5"/>
      <c r="J1159" s="818" t="n">
        <f aca="false">1000*(E1159-$E$215)/(B1159-$B$215)</f>
        <v>11.6672349878937</v>
      </c>
      <c r="K1159" s="732" t="n">
        <f aca="false">AVERAGE($E$216:E1159)</f>
        <v>9.74641775419697</v>
      </c>
      <c r="L1159" s="819" t="n">
        <f aca="false">L1158+1</f>
        <v>944</v>
      </c>
      <c r="M1159" s="820" t="n">
        <f aca="false">IF(B1159&lt;$E$104,$E$105,$E$106)</f>
        <v>3</v>
      </c>
      <c r="N1159" s="821" t="n">
        <f aca="false">IF(B1159&lt;$E$104,$E$105,$E$111)</f>
        <v>2.5</v>
      </c>
      <c r="O1159" s="822" t="n">
        <f aca="false">E1159*$E$205*N1159</f>
        <v>190.12881742574</v>
      </c>
      <c r="P1159" s="823" t="n">
        <f aca="false">P1158+O1159</f>
        <v>120689.402848395</v>
      </c>
      <c r="Q1159" s="606" t="n">
        <f aca="false">Q1158+1</f>
        <v>944</v>
      </c>
      <c r="R1159" s="824" t="n">
        <f aca="false">R1158-1</f>
        <v>-944</v>
      </c>
      <c r="S1159" s="5"/>
      <c r="T1159" s="5"/>
      <c r="U1159" s="5"/>
      <c r="V1159" s="10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02"/>
      <c r="AU1159" s="502"/>
      <c r="AV1159" s="606"/>
      <c r="AW1159" s="502"/>
      <c r="AX1159" s="502"/>
      <c r="AY1159" s="502"/>
      <c r="AZ1159" s="502"/>
      <c r="BA1159" s="502"/>
      <c r="BB1159" s="502"/>
      <c r="BC1159" s="502"/>
      <c r="BD1159" s="502"/>
      <c r="BE1159" s="502"/>
      <c r="BF1159" s="502"/>
      <c r="BG1159" s="502"/>
      <c r="BH1159" s="502"/>
      <c r="BI1159" s="502"/>
      <c r="BJ1159" s="502"/>
      <c r="BK1159" s="502"/>
      <c r="BL1159" s="502"/>
      <c r="BM1159" s="502"/>
      <c r="BN1159" s="502"/>
      <c r="BO1159" s="502"/>
      <c r="BP1159" s="5"/>
      <c r="BQ1159" s="5"/>
      <c r="BR1159" s="5"/>
      <c r="BS1159" s="5"/>
      <c r="BT1159" s="5"/>
      <c r="BU1159" s="5"/>
      <c r="BV1159" s="5"/>
      <c r="BW1159" s="5"/>
      <c r="BX1159" s="5"/>
      <c r="BY1159" s="5"/>
      <c r="BZ1159" s="5"/>
      <c r="CA1159" s="5"/>
      <c r="CB1159" s="5"/>
      <c r="CC1159" s="5"/>
      <c r="CD1159" s="5"/>
      <c r="CE1159" s="5"/>
      <c r="CF1159" s="5"/>
      <c r="CG1159" s="5"/>
      <c r="CH1159" s="5"/>
      <c r="CI1159" s="5"/>
      <c r="CJ1159" s="5"/>
      <c r="CK1159" s="5"/>
      <c r="CL1159" s="5"/>
      <c r="CM1159" s="5"/>
      <c r="CN1159" s="5"/>
      <c r="CO1159" s="5"/>
      <c r="CP1159" s="5"/>
      <c r="CQ1159" s="5"/>
      <c r="CR1159" s="5"/>
      <c r="CS1159" s="5"/>
      <c r="CT1159" s="5"/>
      <c r="CU1159" s="5"/>
      <c r="CV1159" s="5"/>
      <c r="CW1159" s="5"/>
      <c r="CX1159" s="5"/>
      <c r="CY1159" s="5"/>
      <c r="CZ1159" s="5"/>
      <c r="DA1159" s="5"/>
      <c r="DB1159" s="5"/>
      <c r="DC1159" s="5"/>
      <c r="DD1159" s="5"/>
      <c r="DE1159" s="5"/>
      <c r="DF1159" s="5"/>
      <c r="DG1159" s="5"/>
      <c r="DH1159" s="5"/>
      <c r="DI1159" s="5"/>
      <c r="DJ1159" s="5"/>
      <c r="DK1159" s="5"/>
      <c r="DL1159" s="5"/>
      <c r="DM1159" s="5"/>
      <c r="DN1159" s="5"/>
      <c r="DO1159" s="5"/>
      <c r="DP1159" s="5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  <c r="GV1159" s="1"/>
      <c r="GW1159" s="1"/>
      <c r="GX1159" s="1"/>
      <c r="GY1159" s="1"/>
      <c r="GZ1159" s="1"/>
      <c r="HA1159" s="1"/>
      <c r="HB1159" s="1"/>
      <c r="HC1159" s="1"/>
      <c r="HD1159" s="1"/>
      <c r="HE1159" s="1"/>
      <c r="HF1159" s="1"/>
      <c r="HG1159" s="1"/>
      <c r="HH1159" s="1"/>
      <c r="HI1159" s="1"/>
      <c r="HJ1159" s="1"/>
      <c r="HK1159" s="1"/>
      <c r="HL1159" s="1"/>
      <c r="HM1159" s="1"/>
      <c r="HN1159" s="1"/>
      <c r="HO1159" s="1"/>
      <c r="HP1159" s="1"/>
      <c r="HQ1159" s="1"/>
      <c r="HR1159" s="1"/>
      <c r="HS1159" s="1"/>
      <c r="HT1159" s="1"/>
      <c r="HU1159" s="1"/>
      <c r="HV1159" s="1"/>
      <c r="HW1159" s="1"/>
      <c r="HX1159" s="1"/>
      <c r="HY1159" s="1"/>
      <c r="HZ1159" s="1"/>
      <c r="IA1159" s="1"/>
      <c r="IB1159" s="1"/>
      <c r="IC1159" s="1"/>
      <c r="ID1159" s="1"/>
      <c r="IE1159" s="1"/>
      <c r="IF1159" s="1"/>
      <c r="IG1159" s="1"/>
      <c r="IH1159" s="1"/>
      <c r="II1159" s="1"/>
      <c r="IJ1159" s="1"/>
      <c r="IK1159" s="1"/>
      <c r="IL1159" s="1"/>
      <c r="IM1159" s="1"/>
      <c r="IN1159" s="1"/>
      <c r="IO1159" s="1"/>
      <c r="IP1159" s="1"/>
      <c r="IQ1159" s="1"/>
      <c r="IR1159" s="1"/>
      <c r="IS1159" s="1"/>
      <c r="IT1159" s="1"/>
      <c r="IU1159" s="1"/>
      <c r="IV1159" s="1"/>
      <c r="IW1159" s="1"/>
      <c r="IX1159" s="1"/>
      <c r="IY1159" s="1"/>
      <c r="IZ1159" s="1"/>
      <c r="JA1159" s="1"/>
      <c r="JB1159" s="1"/>
      <c r="JC1159" s="1"/>
      <c r="JD1159" s="1"/>
    </row>
    <row r="1160" s="504" customFormat="true" ht="12.75" hidden="true" customHeight="true" outlineLevel="0" collapsed="false">
      <c r="A1160" s="5"/>
      <c r="B1160" s="813" t="n">
        <f aca="false">B1159+1</f>
        <v>945</v>
      </c>
      <c r="C1160" s="814" t="n">
        <f aca="false">C1159+D1160</f>
        <v>144993.578958533</v>
      </c>
      <c r="D1160" s="815" t="n">
        <f aca="false">E1160*$E$205*M1160</f>
        <v>228.312260910888</v>
      </c>
      <c r="E1160" s="601" t="n">
        <f aca="false">E1159+$C$204</f>
        <v>14.4794686016545</v>
      </c>
      <c r="F1160" s="816" t="n">
        <f aca="false">F1159+1</f>
        <v>945</v>
      </c>
      <c r="G1160" s="775" t="n">
        <f aca="false">C1160</f>
        <v>144993.578958533</v>
      </c>
      <c r="H1160" s="817" t="n">
        <f aca="false">1000*(E1160-E1159)</f>
        <v>9.99999999999979</v>
      </c>
      <c r="I1160" s="5"/>
      <c r="J1160" s="818" t="n">
        <f aca="false">1000*(E1160-$E$215)/(B1160-$B$215)</f>
        <v>11.6654707180652</v>
      </c>
      <c r="K1160" s="732" t="n">
        <f aca="false">AVERAGE($E$216:E1160)</f>
        <v>9.75142627361226</v>
      </c>
      <c r="L1160" s="819" t="n">
        <f aca="false">L1159+1</f>
        <v>945</v>
      </c>
      <c r="M1160" s="820" t="n">
        <f aca="false">IF(B1160&lt;$E$104,$E$105,$E$106)</f>
        <v>3</v>
      </c>
      <c r="N1160" s="821" t="n">
        <f aca="false">IF(B1160&lt;$E$104,$E$105,$E$111)</f>
        <v>2.5</v>
      </c>
      <c r="O1160" s="822" t="n">
        <f aca="false">E1160*$E$205*N1160</f>
        <v>190.26021742574</v>
      </c>
      <c r="P1160" s="823" t="n">
        <f aca="false">P1159+O1160</f>
        <v>120879.663065821</v>
      </c>
      <c r="Q1160" s="606" t="n">
        <f aca="false">Q1159+1</f>
        <v>945</v>
      </c>
      <c r="R1160" s="824" t="n">
        <f aca="false">R1159-1</f>
        <v>-945</v>
      </c>
      <c r="S1160" s="5"/>
      <c r="T1160" s="5"/>
      <c r="U1160" s="5"/>
      <c r="V1160" s="10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02"/>
      <c r="AU1160" s="502"/>
      <c r="AV1160" s="606"/>
      <c r="AW1160" s="502"/>
      <c r="AX1160" s="502"/>
      <c r="AY1160" s="502"/>
      <c r="AZ1160" s="502"/>
      <c r="BA1160" s="502"/>
      <c r="BB1160" s="502"/>
      <c r="BC1160" s="502"/>
      <c r="BD1160" s="502"/>
      <c r="BE1160" s="502"/>
      <c r="BF1160" s="502"/>
      <c r="BG1160" s="502"/>
      <c r="BH1160" s="502"/>
      <c r="BI1160" s="502"/>
      <c r="BJ1160" s="502"/>
      <c r="BK1160" s="502"/>
      <c r="BL1160" s="502"/>
      <c r="BM1160" s="502"/>
      <c r="BN1160" s="502"/>
      <c r="BO1160" s="502"/>
      <c r="BP1160" s="5"/>
      <c r="BQ1160" s="5"/>
      <c r="BR1160" s="5"/>
      <c r="BS1160" s="5"/>
      <c r="BT1160" s="5"/>
      <c r="BU1160" s="5"/>
      <c r="BV1160" s="5"/>
      <c r="BW1160" s="5"/>
      <c r="BX1160" s="5"/>
      <c r="BY1160" s="5"/>
      <c r="BZ1160" s="5"/>
      <c r="CA1160" s="5"/>
      <c r="CB1160" s="5"/>
      <c r="CC1160" s="5"/>
      <c r="CD1160" s="5"/>
      <c r="CE1160" s="5"/>
      <c r="CF1160" s="5"/>
      <c r="CG1160" s="5"/>
      <c r="CH1160" s="5"/>
      <c r="CI1160" s="5"/>
      <c r="CJ1160" s="5"/>
      <c r="CK1160" s="5"/>
      <c r="CL1160" s="5"/>
      <c r="CM1160" s="5"/>
      <c r="CN1160" s="5"/>
      <c r="CO1160" s="5"/>
      <c r="CP1160" s="5"/>
      <c r="CQ1160" s="5"/>
      <c r="CR1160" s="5"/>
      <c r="CS1160" s="5"/>
      <c r="CT1160" s="5"/>
      <c r="CU1160" s="5"/>
      <c r="CV1160" s="5"/>
      <c r="CW1160" s="5"/>
      <c r="CX1160" s="5"/>
      <c r="CY1160" s="5"/>
      <c r="CZ1160" s="5"/>
      <c r="DA1160" s="5"/>
      <c r="DB1160" s="5"/>
      <c r="DC1160" s="5"/>
      <c r="DD1160" s="5"/>
      <c r="DE1160" s="5"/>
      <c r="DF1160" s="5"/>
      <c r="DG1160" s="5"/>
      <c r="DH1160" s="5"/>
      <c r="DI1160" s="5"/>
      <c r="DJ1160" s="5"/>
      <c r="DK1160" s="5"/>
      <c r="DL1160" s="5"/>
      <c r="DM1160" s="5"/>
      <c r="DN1160" s="5"/>
      <c r="DO1160" s="5"/>
      <c r="DP1160" s="5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  <c r="GV1160" s="1"/>
      <c r="GW1160" s="1"/>
      <c r="GX1160" s="1"/>
      <c r="GY1160" s="1"/>
      <c r="GZ1160" s="1"/>
      <c r="HA1160" s="1"/>
      <c r="HB1160" s="1"/>
      <c r="HC1160" s="1"/>
      <c r="HD1160" s="1"/>
      <c r="HE1160" s="1"/>
      <c r="HF1160" s="1"/>
      <c r="HG1160" s="1"/>
      <c r="HH1160" s="1"/>
      <c r="HI1160" s="1"/>
      <c r="HJ1160" s="1"/>
      <c r="HK1160" s="1"/>
      <c r="HL1160" s="1"/>
      <c r="HM1160" s="1"/>
      <c r="HN1160" s="1"/>
      <c r="HO1160" s="1"/>
      <c r="HP1160" s="1"/>
      <c r="HQ1160" s="1"/>
      <c r="HR1160" s="1"/>
      <c r="HS1160" s="1"/>
      <c r="HT1160" s="1"/>
      <c r="HU1160" s="1"/>
      <c r="HV1160" s="1"/>
      <c r="HW1160" s="1"/>
      <c r="HX1160" s="1"/>
      <c r="HY1160" s="1"/>
      <c r="HZ1160" s="1"/>
      <c r="IA1160" s="1"/>
      <c r="IB1160" s="1"/>
      <c r="IC1160" s="1"/>
      <c r="ID1160" s="1"/>
      <c r="IE1160" s="1"/>
      <c r="IF1160" s="1"/>
      <c r="IG1160" s="1"/>
      <c r="IH1160" s="1"/>
      <c r="II1160" s="1"/>
      <c r="IJ1160" s="1"/>
      <c r="IK1160" s="1"/>
      <c r="IL1160" s="1"/>
      <c r="IM1160" s="1"/>
      <c r="IN1160" s="1"/>
      <c r="IO1160" s="1"/>
      <c r="IP1160" s="1"/>
      <c r="IQ1160" s="1"/>
      <c r="IR1160" s="1"/>
      <c r="IS1160" s="1"/>
      <c r="IT1160" s="1"/>
      <c r="IU1160" s="1"/>
      <c r="IV1160" s="1"/>
      <c r="IW1160" s="1"/>
      <c r="IX1160" s="1"/>
      <c r="IY1160" s="1"/>
      <c r="IZ1160" s="1"/>
      <c r="JA1160" s="1"/>
      <c r="JB1160" s="1"/>
      <c r="JC1160" s="1"/>
      <c r="JD1160" s="1"/>
    </row>
    <row r="1161" s="504" customFormat="true" ht="12.75" hidden="true" customHeight="true" outlineLevel="0" collapsed="false">
      <c r="A1161" s="5"/>
      <c r="B1161" s="813" t="n">
        <f aca="false">B1160+1</f>
        <v>946</v>
      </c>
      <c r="C1161" s="814" t="n">
        <f aca="false">C1160+D1161</f>
        <v>145222.048899444</v>
      </c>
      <c r="D1161" s="815" t="n">
        <f aca="false">E1161*$E$205*M1161</f>
        <v>228.469940910888</v>
      </c>
      <c r="E1161" s="601" t="n">
        <f aca="false">E1160+$C$204</f>
        <v>14.4894686016545</v>
      </c>
      <c r="F1161" s="816" t="n">
        <f aca="false">F1160+1</f>
        <v>946</v>
      </c>
      <c r="G1161" s="775" t="n">
        <f aca="false">C1161</f>
        <v>145222.048899444</v>
      </c>
      <c r="H1161" s="817" t="n">
        <f aca="false">1000*(E1161-E1160)</f>
        <v>9.99999999999979</v>
      </c>
      <c r="I1161" s="5"/>
      <c r="J1161" s="818" t="n">
        <f aca="false">1000*(E1161-$E$215)/(B1161-$B$215)</f>
        <v>11.6637101781941</v>
      </c>
      <c r="K1161" s="732" t="n">
        <f aca="false">AVERAGE($E$216:E1161)</f>
        <v>9.75643477501611</v>
      </c>
      <c r="L1161" s="819" t="n">
        <f aca="false">L1160+1</f>
        <v>946</v>
      </c>
      <c r="M1161" s="820" t="n">
        <f aca="false">IF(B1161&lt;$E$104,$E$105,$E$106)</f>
        <v>3</v>
      </c>
      <c r="N1161" s="821" t="n">
        <f aca="false">IF(B1161&lt;$E$104,$E$105,$E$111)</f>
        <v>2.5</v>
      </c>
      <c r="O1161" s="822" t="n">
        <f aca="false">E1161*$E$205*N1161</f>
        <v>190.39161742574</v>
      </c>
      <c r="P1161" s="823" t="n">
        <f aca="false">P1160+O1161</f>
        <v>121070.054683247</v>
      </c>
      <c r="Q1161" s="606" t="n">
        <f aca="false">Q1160+1</f>
        <v>946</v>
      </c>
      <c r="R1161" s="824" t="n">
        <f aca="false">R1160-1</f>
        <v>-946</v>
      </c>
      <c r="S1161" s="5"/>
      <c r="T1161" s="5"/>
      <c r="U1161" s="5"/>
      <c r="V1161" s="10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02"/>
      <c r="AU1161" s="502"/>
      <c r="AV1161" s="606"/>
      <c r="AW1161" s="502"/>
      <c r="AX1161" s="502"/>
      <c r="AY1161" s="502"/>
      <c r="AZ1161" s="502"/>
      <c r="BA1161" s="502"/>
      <c r="BB1161" s="502"/>
      <c r="BC1161" s="502"/>
      <c r="BD1161" s="502"/>
      <c r="BE1161" s="502"/>
      <c r="BF1161" s="502"/>
      <c r="BG1161" s="502"/>
      <c r="BH1161" s="502"/>
      <c r="BI1161" s="502"/>
      <c r="BJ1161" s="502"/>
      <c r="BK1161" s="502"/>
      <c r="BL1161" s="502"/>
      <c r="BM1161" s="502"/>
      <c r="BN1161" s="502"/>
      <c r="BO1161" s="502"/>
      <c r="BP1161" s="5"/>
      <c r="BQ1161" s="5"/>
      <c r="BR1161" s="5"/>
      <c r="BS1161" s="5"/>
      <c r="BT1161" s="5"/>
      <c r="BU1161" s="5"/>
      <c r="BV1161" s="5"/>
      <c r="BW1161" s="5"/>
      <c r="BX1161" s="5"/>
      <c r="BY1161" s="5"/>
      <c r="BZ1161" s="5"/>
      <c r="CA1161" s="5"/>
      <c r="CB1161" s="5"/>
      <c r="CC1161" s="5"/>
      <c r="CD1161" s="5"/>
      <c r="CE1161" s="5"/>
      <c r="CF1161" s="5"/>
      <c r="CG1161" s="5"/>
      <c r="CH1161" s="5"/>
      <c r="CI1161" s="5"/>
      <c r="CJ1161" s="5"/>
      <c r="CK1161" s="5"/>
      <c r="CL1161" s="5"/>
      <c r="CM1161" s="5"/>
      <c r="CN1161" s="5"/>
      <c r="CO1161" s="5"/>
      <c r="CP1161" s="5"/>
      <c r="CQ1161" s="5"/>
      <c r="CR1161" s="5"/>
      <c r="CS1161" s="5"/>
      <c r="CT1161" s="5"/>
      <c r="CU1161" s="5"/>
      <c r="CV1161" s="5"/>
      <c r="CW1161" s="5"/>
      <c r="CX1161" s="5"/>
      <c r="CY1161" s="5"/>
      <c r="CZ1161" s="5"/>
      <c r="DA1161" s="5"/>
      <c r="DB1161" s="5"/>
      <c r="DC1161" s="5"/>
      <c r="DD1161" s="5"/>
      <c r="DE1161" s="5"/>
      <c r="DF1161" s="5"/>
      <c r="DG1161" s="5"/>
      <c r="DH1161" s="5"/>
      <c r="DI1161" s="5"/>
      <c r="DJ1161" s="5"/>
      <c r="DK1161" s="5"/>
      <c r="DL1161" s="5"/>
      <c r="DM1161" s="5"/>
      <c r="DN1161" s="5"/>
      <c r="DO1161" s="5"/>
      <c r="DP1161" s="5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  <c r="GV1161" s="1"/>
      <c r="GW1161" s="1"/>
      <c r="GX1161" s="1"/>
      <c r="GY1161" s="1"/>
      <c r="GZ1161" s="1"/>
      <c r="HA1161" s="1"/>
      <c r="HB1161" s="1"/>
      <c r="HC1161" s="1"/>
      <c r="HD1161" s="1"/>
      <c r="HE1161" s="1"/>
      <c r="HF1161" s="1"/>
      <c r="HG1161" s="1"/>
      <c r="HH1161" s="1"/>
      <c r="HI1161" s="1"/>
      <c r="HJ1161" s="1"/>
      <c r="HK1161" s="1"/>
      <c r="HL1161" s="1"/>
      <c r="HM1161" s="1"/>
      <c r="HN1161" s="1"/>
      <c r="HO1161" s="1"/>
      <c r="HP1161" s="1"/>
      <c r="HQ1161" s="1"/>
      <c r="HR1161" s="1"/>
      <c r="HS1161" s="1"/>
      <c r="HT1161" s="1"/>
      <c r="HU1161" s="1"/>
      <c r="HV1161" s="1"/>
      <c r="HW1161" s="1"/>
      <c r="HX1161" s="1"/>
      <c r="HY1161" s="1"/>
      <c r="HZ1161" s="1"/>
      <c r="IA1161" s="1"/>
      <c r="IB1161" s="1"/>
      <c r="IC1161" s="1"/>
      <c r="ID1161" s="1"/>
      <c r="IE1161" s="1"/>
      <c r="IF1161" s="1"/>
      <c r="IG1161" s="1"/>
      <c r="IH1161" s="1"/>
      <c r="II1161" s="1"/>
      <c r="IJ1161" s="1"/>
      <c r="IK1161" s="1"/>
      <c r="IL1161" s="1"/>
      <c r="IM1161" s="1"/>
      <c r="IN1161" s="1"/>
      <c r="IO1161" s="1"/>
      <c r="IP1161" s="1"/>
      <c r="IQ1161" s="1"/>
      <c r="IR1161" s="1"/>
      <c r="IS1161" s="1"/>
      <c r="IT1161" s="1"/>
      <c r="IU1161" s="1"/>
      <c r="IV1161" s="1"/>
      <c r="IW1161" s="1"/>
      <c r="IX1161" s="1"/>
      <c r="IY1161" s="1"/>
      <c r="IZ1161" s="1"/>
      <c r="JA1161" s="1"/>
      <c r="JB1161" s="1"/>
      <c r="JC1161" s="1"/>
      <c r="JD1161" s="1"/>
    </row>
    <row r="1162" s="504" customFormat="true" ht="12.75" hidden="true" customHeight="true" outlineLevel="0" collapsed="false">
      <c r="A1162" s="5"/>
      <c r="B1162" s="813" t="n">
        <f aca="false">B1161+1</f>
        <v>947</v>
      </c>
      <c r="C1162" s="814" t="n">
        <f aca="false">C1161+D1162</f>
        <v>145450.676520355</v>
      </c>
      <c r="D1162" s="815" t="n">
        <f aca="false">E1162*$E$205*M1162</f>
        <v>228.627620910888</v>
      </c>
      <c r="E1162" s="601" t="n">
        <f aca="false">E1161+$C$204</f>
        <v>14.4994686016545</v>
      </c>
      <c r="F1162" s="816" t="n">
        <f aca="false">F1161+1</f>
        <v>947</v>
      </c>
      <c r="G1162" s="775" t="n">
        <f aca="false">C1162</f>
        <v>145450.676520355</v>
      </c>
      <c r="H1162" s="817" t="n">
        <f aca="false">1000*(E1162-E1161)</f>
        <v>9.99999999999979</v>
      </c>
      <c r="I1162" s="5"/>
      <c r="J1162" s="818" t="n">
        <f aca="false">1000*(E1162-$E$215)/(B1162-$B$215)</f>
        <v>11.6619533564642</v>
      </c>
      <c r="K1162" s="732" t="n">
        <f aca="false">AVERAGE($E$216:E1162)</f>
        <v>9.76144325846557</v>
      </c>
      <c r="L1162" s="819" t="n">
        <f aca="false">L1161+1</f>
        <v>947</v>
      </c>
      <c r="M1162" s="820" t="n">
        <f aca="false">IF(B1162&lt;$E$104,$E$105,$E$106)</f>
        <v>3</v>
      </c>
      <c r="N1162" s="821" t="n">
        <f aca="false">IF(B1162&lt;$E$104,$E$105,$E$111)</f>
        <v>2.5</v>
      </c>
      <c r="O1162" s="822" t="n">
        <f aca="false">E1162*$E$205*N1162</f>
        <v>190.52301742574</v>
      </c>
      <c r="P1162" s="823" t="n">
        <f aca="false">P1161+O1162</f>
        <v>121260.577700672</v>
      </c>
      <c r="Q1162" s="606" t="n">
        <f aca="false">Q1161+1</f>
        <v>947</v>
      </c>
      <c r="R1162" s="824" t="n">
        <f aca="false">R1161-1</f>
        <v>-947</v>
      </c>
      <c r="S1162" s="5"/>
      <c r="T1162" s="5"/>
      <c r="U1162" s="5"/>
      <c r="V1162" s="10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02"/>
      <c r="AU1162" s="502"/>
      <c r="AV1162" s="606"/>
      <c r="AW1162" s="502"/>
      <c r="AX1162" s="502"/>
      <c r="AY1162" s="502"/>
      <c r="AZ1162" s="502"/>
      <c r="BA1162" s="502"/>
      <c r="BB1162" s="502"/>
      <c r="BC1162" s="502"/>
      <c r="BD1162" s="502"/>
      <c r="BE1162" s="502"/>
      <c r="BF1162" s="502"/>
      <c r="BG1162" s="502"/>
      <c r="BH1162" s="502"/>
      <c r="BI1162" s="502"/>
      <c r="BJ1162" s="502"/>
      <c r="BK1162" s="502"/>
      <c r="BL1162" s="502"/>
      <c r="BM1162" s="502"/>
      <c r="BN1162" s="502"/>
      <c r="BO1162" s="502"/>
      <c r="BP1162" s="5"/>
      <c r="BQ1162" s="5"/>
      <c r="BR1162" s="5"/>
      <c r="BS1162" s="5"/>
      <c r="BT1162" s="5"/>
      <c r="BU1162" s="5"/>
      <c r="BV1162" s="5"/>
      <c r="BW1162" s="5"/>
      <c r="BX1162" s="5"/>
      <c r="BY1162" s="5"/>
      <c r="BZ1162" s="5"/>
      <c r="CA1162" s="5"/>
      <c r="CB1162" s="5"/>
      <c r="CC1162" s="5"/>
      <c r="CD1162" s="5"/>
      <c r="CE1162" s="5"/>
      <c r="CF1162" s="5"/>
      <c r="CG1162" s="5"/>
      <c r="CH1162" s="5"/>
      <c r="CI1162" s="5"/>
      <c r="CJ1162" s="5"/>
      <c r="CK1162" s="5"/>
      <c r="CL1162" s="5"/>
      <c r="CM1162" s="5"/>
      <c r="CN1162" s="5"/>
      <c r="CO1162" s="5"/>
      <c r="CP1162" s="5"/>
      <c r="CQ1162" s="5"/>
      <c r="CR1162" s="5"/>
      <c r="CS1162" s="5"/>
      <c r="CT1162" s="5"/>
      <c r="CU1162" s="5"/>
      <c r="CV1162" s="5"/>
      <c r="CW1162" s="5"/>
      <c r="CX1162" s="5"/>
      <c r="CY1162" s="5"/>
      <c r="CZ1162" s="5"/>
      <c r="DA1162" s="5"/>
      <c r="DB1162" s="5"/>
      <c r="DC1162" s="5"/>
      <c r="DD1162" s="5"/>
      <c r="DE1162" s="5"/>
      <c r="DF1162" s="5"/>
      <c r="DG1162" s="5"/>
      <c r="DH1162" s="5"/>
      <c r="DI1162" s="5"/>
      <c r="DJ1162" s="5"/>
      <c r="DK1162" s="5"/>
      <c r="DL1162" s="5"/>
      <c r="DM1162" s="5"/>
      <c r="DN1162" s="5"/>
      <c r="DO1162" s="5"/>
      <c r="DP1162" s="5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  <c r="GV1162" s="1"/>
      <c r="GW1162" s="1"/>
      <c r="GX1162" s="1"/>
      <c r="GY1162" s="1"/>
      <c r="GZ1162" s="1"/>
      <c r="HA1162" s="1"/>
      <c r="HB1162" s="1"/>
      <c r="HC1162" s="1"/>
      <c r="HD1162" s="1"/>
      <c r="HE1162" s="1"/>
      <c r="HF1162" s="1"/>
      <c r="HG1162" s="1"/>
      <c r="HH1162" s="1"/>
      <c r="HI1162" s="1"/>
      <c r="HJ1162" s="1"/>
      <c r="HK1162" s="1"/>
      <c r="HL1162" s="1"/>
      <c r="HM1162" s="1"/>
      <c r="HN1162" s="1"/>
      <c r="HO1162" s="1"/>
      <c r="HP1162" s="1"/>
      <c r="HQ1162" s="1"/>
      <c r="HR1162" s="1"/>
      <c r="HS1162" s="1"/>
      <c r="HT1162" s="1"/>
      <c r="HU1162" s="1"/>
      <c r="HV1162" s="1"/>
      <c r="HW1162" s="1"/>
      <c r="HX1162" s="1"/>
      <c r="HY1162" s="1"/>
      <c r="HZ1162" s="1"/>
      <c r="IA1162" s="1"/>
      <c r="IB1162" s="1"/>
      <c r="IC1162" s="1"/>
      <c r="ID1162" s="1"/>
      <c r="IE1162" s="1"/>
      <c r="IF1162" s="1"/>
      <c r="IG1162" s="1"/>
      <c r="IH1162" s="1"/>
      <c r="II1162" s="1"/>
      <c r="IJ1162" s="1"/>
      <c r="IK1162" s="1"/>
      <c r="IL1162" s="1"/>
      <c r="IM1162" s="1"/>
      <c r="IN1162" s="1"/>
      <c r="IO1162" s="1"/>
      <c r="IP1162" s="1"/>
      <c r="IQ1162" s="1"/>
      <c r="IR1162" s="1"/>
      <c r="IS1162" s="1"/>
      <c r="IT1162" s="1"/>
      <c r="IU1162" s="1"/>
      <c r="IV1162" s="1"/>
      <c r="IW1162" s="1"/>
      <c r="IX1162" s="1"/>
      <c r="IY1162" s="1"/>
      <c r="IZ1162" s="1"/>
      <c r="JA1162" s="1"/>
      <c r="JB1162" s="1"/>
      <c r="JC1162" s="1"/>
      <c r="JD1162" s="1"/>
    </row>
    <row r="1163" s="504" customFormat="true" ht="12.75" hidden="true" customHeight="true" outlineLevel="0" collapsed="false">
      <c r="A1163" s="5"/>
      <c r="B1163" s="813" t="n">
        <f aca="false">B1162+1</f>
        <v>948</v>
      </c>
      <c r="C1163" s="814" t="n">
        <f aca="false">C1162+D1163</f>
        <v>145679.461821266</v>
      </c>
      <c r="D1163" s="815" t="n">
        <f aca="false">E1163*$E$205*M1163</f>
        <v>228.785300910888</v>
      </c>
      <c r="E1163" s="601" t="n">
        <f aca="false">E1162+$C$204</f>
        <v>14.5094686016545</v>
      </c>
      <c r="F1163" s="816" t="n">
        <f aca="false">F1162+1</f>
        <v>948</v>
      </c>
      <c r="G1163" s="775" t="n">
        <f aca="false">C1163</f>
        <v>145679.461821266</v>
      </c>
      <c r="H1163" s="817" t="n">
        <f aca="false">1000*(E1163-E1162)</f>
        <v>9.99999999999979</v>
      </c>
      <c r="I1163" s="5"/>
      <c r="J1163" s="818" t="n">
        <f aca="false">1000*(E1163-$E$215)/(B1163-$B$215)</f>
        <v>11.6602002411093</v>
      </c>
      <c r="K1163" s="732" t="n">
        <f aca="false">AVERAGE($E$216:E1163)</f>
        <v>9.76645172401746</v>
      </c>
      <c r="L1163" s="819" t="n">
        <f aca="false">L1162+1</f>
        <v>948</v>
      </c>
      <c r="M1163" s="820" t="n">
        <f aca="false">IF(B1163&lt;$E$104,$E$105,$E$106)</f>
        <v>3</v>
      </c>
      <c r="N1163" s="821" t="n">
        <f aca="false">IF(B1163&lt;$E$104,$E$105,$E$111)</f>
        <v>2.5</v>
      </c>
      <c r="O1163" s="822" t="n">
        <f aca="false">E1163*$E$205*N1163</f>
        <v>190.65441742574</v>
      </c>
      <c r="P1163" s="823" t="n">
        <f aca="false">P1162+O1163</f>
        <v>121451.232118098</v>
      </c>
      <c r="Q1163" s="606" t="n">
        <f aca="false">Q1162+1</f>
        <v>948</v>
      </c>
      <c r="R1163" s="824" t="n">
        <f aca="false">R1162-1</f>
        <v>-948</v>
      </c>
      <c r="S1163" s="5"/>
      <c r="T1163" s="5"/>
      <c r="U1163" s="5"/>
      <c r="V1163" s="10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02"/>
      <c r="AU1163" s="502"/>
      <c r="AV1163" s="606"/>
      <c r="AW1163" s="502"/>
      <c r="AX1163" s="502"/>
      <c r="AY1163" s="502"/>
      <c r="AZ1163" s="502"/>
      <c r="BA1163" s="502"/>
      <c r="BB1163" s="502"/>
      <c r="BC1163" s="502"/>
      <c r="BD1163" s="502"/>
      <c r="BE1163" s="502"/>
      <c r="BF1163" s="502"/>
      <c r="BG1163" s="502"/>
      <c r="BH1163" s="502"/>
      <c r="BI1163" s="502"/>
      <c r="BJ1163" s="502"/>
      <c r="BK1163" s="502"/>
      <c r="BL1163" s="502"/>
      <c r="BM1163" s="502"/>
      <c r="BN1163" s="502"/>
      <c r="BO1163" s="502"/>
      <c r="BP1163" s="5"/>
      <c r="BQ1163" s="5"/>
      <c r="BR1163" s="5"/>
      <c r="BS1163" s="5"/>
      <c r="BT1163" s="5"/>
      <c r="BU1163" s="5"/>
      <c r="BV1163" s="5"/>
      <c r="BW1163" s="5"/>
      <c r="BX1163" s="5"/>
      <c r="BY1163" s="5"/>
      <c r="BZ1163" s="5"/>
      <c r="CA1163" s="5"/>
      <c r="CB1163" s="5"/>
      <c r="CC1163" s="5"/>
      <c r="CD1163" s="5"/>
      <c r="CE1163" s="5"/>
      <c r="CF1163" s="5"/>
      <c r="CG1163" s="5"/>
      <c r="CH1163" s="5"/>
      <c r="CI1163" s="5"/>
      <c r="CJ1163" s="5"/>
      <c r="CK1163" s="5"/>
      <c r="CL1163" s="5"/>
      <c r="CM1163" s="5"/>
      <c r="CN1163" s="5"/>
      <c r="CO1163" s="5"/>
      <c r="CP1163" s="5"/>
      <c r="CQ1163" s="5"/>
      <c r="CR1163" s="5"/>
      <c r="CS1163" s="5"/>
      <c r="CT1163" s="5"/>
      <c r="CU1163" s="5"/>
      <c r="CV1163" s="5"/>
      <c r="CW1163" s="5"/>
      <c r="CX1163" s="5"/>
      <c r="CY1163" s="5"/>
      <c r="CZ1163" s="5"/>
      <c r="DA1163" s="5"/>
      <c r="DB1163" s="5"/>
      <c r="DC1163" s="5"/>
      <c r="DD1163" s="5"/>
      <c r="DE1163" s="5"/>
      <c r="DF1163" s="5"/>
      <c r="DG1163" s="5"/>
      <c r="DH1163" s="5"/>
      <c r="DI1163" s="5"/>
      <c r="DJ1163" s="5"/>
      <c r="DK1163" s="5"/>
      <c r="DL1163" s="5"/>
      <c r="DM1163" s="5"/>
      <c r="DN1163" s="5"/>
      <c r="DO1163" s="5"/>
      <c r="DP1163" s="5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  <c r="GV1163" s="1"/>
      <c r="GW1163" s="1"/>
      <c r="GX1163" s="1"/>
      <c r="GY1163" s="1"/>
      <c r="GZ1163" s="1"/>
      <c r="HA1163" s="1"/>
      <c r="HB1163" s="1"/>
      <c r="HC1163" s="1"/>
      <c r="HD1163" s="1"/>
      <c r="HE1163" s="1"/>
      <c r="HF1163" s="1"/>
      <c r="HG1163" s="1"/>
      <c r="HH1163" s="1"/>
      <c r="HI1163" s="1"/>
      <c r="HJ1163" s="1"/>
      <c r="HK1163" s="1"/>
      <c r="HL1163" s="1"/>
      <c r="HM1163" s="1"/>
      <c r="HN1163" s="1"/>
      <c r="HO1163" s="1"/>
      <c r="HP1163" s="1"/>
      <c r="HQ1163" s="1"/>
      <c r="HR1163" s="1"/>
      <c r="HS1163" s="1"/>
      <c r="HT1163" s="1"/>
      <c r="HU1163" s="1"/>
      <c r="HV1163" s="1"/>
      <c r="HW1163" s="1"/>
      <c r="HX1163" s="1"/>
      <c r="HY1163" s="1"/>
      <c r="HZ1163" s="1"/>
      <c r="IA1163" s="1"/>
      <c r="IB1163" s="1"/>
      <c r="IC1163" s="1"/>
      <c r="ID1163" s="1"/>
      <c r="IE1163" s="1"/>
      <c r="IF1163" s="1"/>
      <c r="IG1163" s="1"/>
      <c r="IH1163" s="1"/>
      <c r="II1163" s="1"/>
      <c r="IJ1163" s="1"/>
      <c r="IK1163" s="1"/>
      <c r="IL1163" s="1"/>
      <c r="IM1163" s="1"/>
      <c r="IN1163" s="1"/>
      <c r="IO1163" s="1"/>
      <c r="IP1163" s="1"/>
      <c r="IQ1163" s="1"/>
      <c r="IR1163" s="1"/>
      <c r="IS1163" s="1"/>
      <c r="IT1163" s="1"/>
      <c r="IU1163" s="1"/>
      <c r="IV1163" s="1"/>
      <c r="IW1163" s="1"/>
      <c r="IX1163" s="1"/>
      <c r="IY1163" s="1"/>
      <c r="IZ1163" s="1"/>
      <c r="JA1163" s="1"/>
      <c r="JB1163" s="1"/>
      <c r="JC1163" s="1"/>
      <c r="JD1163" s="1"/>
    </row>
    <row r="1164" s="504" customFormat="true" ht="12.75" hidden="true" customHeight="true" outlineLevel="0" collapsed="false">
      <c r="A1164" s="5"/>
      <c r="B1164" s="813" t="n">
        <f aca="false">B1163+1</f>
        <v>949</v>
      </c>
      <c r="C1164" s="814" t="n">
        <f aca="false">C1163+D1164</f>
        <v>145908.404802177</v>
      </c>
      <c r="D1164" s="815" t="n">
        <f aca="false">E1164*$E$205*M1164</f>
        <v>228.942980910888</v>
      </c>
      <c r="E1164" s="601" t="n">
        <f aca="false">E1163+$C$204</f>
        <v>14.5194686016545</v>
      </c>
      <c r="F1164" s="816" t="n">
        <f aca="false">F1163+1</f>
        <v>949</v>
      </c>
      <c r="G1164" s="775" t="n">
        <f aca="false">C1164</f>
        <v>145908.404802177</v>
      </c>
      <c r="H1164" s="817" t="n">
        <f aca="false">1000*(E1164-E1163)</f>
        <v>9.99999999999979</v>
      </c>
      <c r="I1164" s="5"/>
      <c r="J1164" s="818" t="n">
        <f aca="false">1000*(E1164-$E$215)/(B1164-$B$215)</f>
        <v>11.6584508204127</v>
      </c>
      <c r="K1164" s="732" t="n">
        <f aca="false">AVERAGE($E$216:E1164)</f>
        <v>9.77146017172835</v>
      </c>
      <c r="L1164" s="819" t="n">
        <f aca="false">L1163+1</f>
        <v>949</v>
      </c>
      <c r="M1164" s="820" t="n">
        <f aca="false">IF(B1164&lt;$E$104,$E$105,$E$106)</f>
        <v>3</v>
      </c>
      <c r="N1164" s="821" t="n">
        <f aca="false">IF(B1164&lt;$E$104,$E$105,$E$111)</f>
        <v>2.5</v>
      </c>
      <c r="O1164" s="822" t="n">
        <f aca="false">E1164*$E$205*N1164</f>
        <v>190.78581742574</v>
      </c>
      <c r="P1164" s="823" t="n">
        <f aca="false">P1163+O1164</f>
        <v>121642.017935524</v>
      </c>
      <c r="Q1164" s="606" t="n">
        <f aca="false">Q1163+1</f>
        <v>949</v>
      </c>
      <c r="R1164" s="824" t="n">
        <f aca="false">R1163-1</f>
        <v>-949</v>
      </c>
      <c r="S1164" s="5"/>
      <c r="T1164" s="5"/>
      <c r="U1164" s="5"/>
      <c r="V1164" s="10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02"/>
      <c r="AU1164" s="502"/>
      <c r="AV1164" s="606"/>
      <c r="AW1164" s="502"/>
      <c r="AX1164" s="502"/>
      <c r="AY1164" s="502"/>
      <c r="AZ1164" s="502"/>
      <c r="BA1164" s="502"/>
      <c r="BB1164" s="502"/>
      <c r="BC1164" s="502"/>
      <c r="BD1164" s="502"/>
      <c r="BE1164" s="502"/>
      <c r="BF1164" s="502"/>
      <c r="BG1164" s="502"/>
      <c r="BH1164" s="502"/>
      <c r="BI1164" s="502"/>
      <c r="BJ1164" s="502"/>
      <c r="BK1164" s="502"/>
      <c r="BL1164" s="502"/>
      <c r="BM1164" s="502"/>
      <c r="BN1164" s="502"/>
      <c r="BO1164" s="502"/>
      <c r="BP1164" s="5"/>
      <c r="BQ1164" s="5"/>
      <c r="BR1164" s="5"/>
      <c r="BS1164" s="5"/>
      <c r="BT1164" s="5"/>
      <c r="BU1164" s="5"/>
      <c r="BV1164" s="5"/>
      <c r="BW1164" s="5"/>
      <c r="BX1164" s="5"/>
      <c r="BY1164" s="5"/>
      <c r="BZ1164" s="5"/>
      <c r="CA1164" s="5"/>
      <c r="CB1164" s="5"/>
      <c r="CC1164" s="5"/>
      <c r="CD1164" s="5"/>
      <c r="CE1164" s="5"/>
      <c r="CF1164" s="5"/>
      <c r="CG1164" s="5"/>
      <c r="CH1164" s="5"/>
      <c r="CI1164" s="5"/>
      <c r="CJ1164" s="5"/>
      <c r="CK1164" s="5"/>
      <c r="CL1164" s="5"/>
      <c r="CM1164" s="5"/>
      <c r="CN1164" s="5"/>
      <c r="CO1164" s="5"/>
      <c r="CP1164" s="5"/>
      <c r="CQ1164" s="5"/>
      <c r="CR1164" s="5"/>
      <c r="CS1164" s="5"/>
      <c r="CT1164" s="5"/>
      <c r="CU1164" s="5"/>
      <c r="CV1164" s="5"/>
      <c r="CW1164" s="5"/>
      <c r="CX1164" s="5"/>
      <c r="CY1164" s="5"/>
      <c r="CZ1164" s="5"/>
      <c r="DA1164" s="5"/>
      <c r="DB1164" s="5"/>
      <c r="DC1164" s="5"/>
      <c r="DD1164" s="5"/>
      <c r="DE1164" s="5"/>
      <c r="DF1164" s="5"/>
      <c r="DG1164" s="5"/>
      <c r="DH1164" s="5"/>
      <c r="DI1164" s="5"/>
      <c r="DJ1164" s="5"/>
      <c r="DK1164" s="5"/>
      <c r="DL1164" s="5"/>
      <c r="DM1164" s="5"/>
      <c r="DN1164" s="5"/>
      <c r="DO1164" s="5"/>
      <c r="DP1164" s="5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  <c r="GV1164" s="1"/>
      <c r="GW1164" s="1"/>
      <c r="GX1164" s="1"/>
      <c r="GY1164" s="1"/>
      <c r="GZ1164" s="1"/>
      <c r="HA1164" s="1"/>
      <c r="HB1164" s="1"/>
      <c r="HC1164" s="1"/>
      <c r="HD1164" s="1"/>
      <c r="HE1164" s="1"/>
      <c r="HF1164" s="1"/>
      <c r="HG1164" s="1"/>
      <c r="HH1164" s="1"/>
      <c r="HI1164" s="1"/>
      <c r="HJ1164" s="1"/>
      <c r="HK1164" s="1"/>
      <c r="HL1164" s="1"/>
      <c r="HM1164" s="1"/>
      <c r="HN1164" s="1"/>
      <c r="HO1164" s="1"/>
      <c r="HP1164" s="1"/>
      <c r="HQ1164" s="1"/>
      <c r="HR1164" s="1"/>
      <c r="HS1164" s="1"/>
      <c r="HT1164" s="1"/>
      <c r="HU1164" s="1"/>
      <c r="HV1164" s="1"/>
      <c r="HW1164" s="1"/>
      <c r="HX1164" s="1"/>
      <c r="HY1164" s="1"/>
      <c r="HZ1164" s="1"/>
      <c r="IA1164" s="1"/>
      <c r="IB1164" s="1"/>
      <c r="IC1164" s="1"/>
      <c r="ID1164" s="1"/>
      <c r="IE1164" s="1"/>
      <c r="IF1164" s="1"/>
      <c r="IG1164" s="1"/>
      <c r="IH1164" s="1"/>
      <c r="II1164" s="1"/>
      <c r="IJ1164" s="1"/>
      <c r="IK1164" s="1"/>
      <c r="IL1164" s="1"/>
      <c r="IM1164" s="1"/>
      <c r="IN1164" s="1"/>
      <c r="IO1164" s="1"/>
      <c r="IP1164" s="1"/>
      <c r="IQ1164" s="1"/>
      <c r="IR1164" s="1"/>
      <c r="IS1164" s="1"/>
      <c r="IT1164" s="1"/>
      <c r="IU1164" s="1"/>
      <c r="IV1164" s="1"/>
      <c r="IW1164" s="1"/>
      <c r="IX1164" s="1"/>
      <c r="IY1164" s="1"/>
      <c r="IZ1164" s="1"/>
      <c r="JA1164" s="1"/>
      <c r="JB1164" s="1"/>
      <c r="JC1164" s="1"/>
      <c r="JD1164" s="1"/>
    </row>
    <row r="1165" s="504" customFormat="true" ht="12.75" hidden="true" customHeight="true" outlineLevel="0" collapsed="false">
      <c r="A1165" s="5"/>
      <c r="B1165" s="813" t="n">
        <f aca="false">B1164+1</f>
        <v>950</v>
      </c>
      <c r="C1165" s="814" t="n">
        <f aca="false">C1164+D1165</f>
        <v>146137.505463088</v>
      </c>
      <c r="D1165" s="815" t="n">
        <f aca="false">E1165*$E$205*M1165</f>
        <v>229.100660910888</v>
      </c>
      <c r="E1165" s="601" t="n">
        <f aca="false">E1164+$C$204</f>
        <v>14.5294686016545</v>
      </c>
      <c r="F1165" s="816" t="n">
        <f aca="false">F1164+1</f>
        <v>950</v>
      </c>
      <c r="G1165" s="775" t="n">
        <f aca="false">C1165</f>
        <v>146137.505463088</v>
      </c>
      <c r="H1165" s="817" t="n">
        <f aca="false">1000*(E1165-E1164)</f>
        <v>9.99999999999979</v>
      </c>
      <c r="I1165" s="5"/>
      <c r="J1165" s="818" t="n">
        <f aca="false">1000*(E1165-$E$215)/(B1165-$B$215)</f>
        <v>11.656705082707</v>
      </c>
      <c r="K1165" s="732" t="n">
        <f aca="false">AVERAGE($E$216:E1165)</f>
        <v>9.77646860165459</v>
      </c>
      <c r="L1165" s="819" t="n">
        <f aca="false">L1164+1</f>
        <v>950</v>
      </c>
      <c r="M1165" s="820" t="n">
        <f aca="false">IF(B1165&lt;$E$104,$E$105,$E$106)</f>
        <v>3</v>
      </c>
      <c r="N1165" s="821" t="n">
        <f aca="false">IF(B1165&lt;$E$104,$E$105,$E$111)</f>
        <v>2.5</v>
      </c>
      <c r="O1165" s="822" t="n">
        <f aca="false">E1165*$E$205*N1165</f>
        <v>190.91721742574</v>
      </c>
      <c r="P1165" s="823" t="n">
        <f aca="false">P1164+O1165</f>
        <v>121832.935152949</v>
      </c>
      <c r="Q1165" s="606" t="n">
        <f aca="false">Q1164+1</f>
        <v>950</v>
      </c>
      <c r="R1165" s="824" t="n">
        <f aca="false">R1164-1</f>
        <v>-950</v>
      </c>
      <c r="S1165" s="5"/>
      <c r="T1165" s="5"/>
      <c r="U1165" s="5"/>
      <c r="V1165" s="10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02"/>
      <c r="AU1165" s="502"/>
      <c r="AV1165" s="606"/>
      <c r="AW1165" s="502"/>
      <c r="AX1165" s="502"/>
      <c r="AY1165" s="502"/>
      <c r="AZ1165" s="502"/>
      <c r="BA1165" s="502"/>
      <c r="BB1165" s="502"/>
      <c r="BC1165" s="502"/>
      <c r="BD1165" s="502"/>
      <c r="BE1165" s="502"/>
      <c r="BF1165" s="502"/>
      <c r="BG1165" s="502"/>
      <c r="BH1165" s="502"/>
      <c r="BI1165" s="502"/>
      <c r="BJ1165" s="502"/>
      <c r="BK1165" s="502"/>
      <c r="BL1165" s="502"/>
      <c r="BM1165" s="502"/>
      <c r="BN1165" s="502"/>
      <c r="BO1165" s="502"/>
      <c r="BP1165" s="5"/>
      <c r="BQ1165" s="5"/>
      <c r="BR1165" s="5"/>
      <c r="BS1165" s="5"/>
      <c r="BT1165" s="5"/>
      <c r="BU1165" s="5"/>
      <c r="BV1165" s="5"/>
      <c r="BW1165" s="5"/>
      <c r="BX1165" s="5"/>
      <c r="BY1165" s="5"/>
      <c r="BZ1165" s="5"/>
      <c r="CA1165" s="5"/>
      <c r="CB1165" s="5"/>
      <c r="CC1165" s="5"/>
      <c r="CD1165" s="5"/>
      <c r="CE1165" s="5"/>
      <c r="CF1165" s="5"/>
      <c r="CG1165" s="5"/>
      <c r="CH1165" s="5"/>
      <c r="CI1165" s="5"/>
      <c r="CJ1165" s="5"/>
      <c r="CK1165" s="5"/>
      <c r="CL1165" s="5"/>
      <c r="CM1165" s="5"/>
      <c r="CN1165" s="5"/>
      <c r="CO1165" s="5"/>
      <c r="CP1165" s="5"/>
      <c r="CQ1165" s="5"/>
      <c r="CR1165" s="5"/>
      <c r="CS1165" s="5"/>
      <c r="CT1165" s="5"/>
      <c r="CU1165" s="5"/>
      <c r="CV1165" s="5"/>
      <c r="CW1165" s="5"/>
      <c r="CX1165" s="5"/>
      <c r="CY1165" s="5"/>
      <c r="CZ1165" s="5"/>
      <c r="DA1165" s="5"/>
      <c r="DB1165" s="5"/>
      <c r="DC1165" s="5"/>
      <c r="DD1165" s="5"/>
      <c r="DE1165" s="5"/>
      <c r="DF1165" s="5"/>
      <c r="DG1165" s="5"/>
      <c r="DH1165" s="5"/>
      <c r="DI1165" s="5"/>
      <c r="DJ1165" s="5"/>
      <c r="DK1165" s="5"/>
      <c r="DL1165" s="5"/>
      <c r="DM1165" s="5"/>
      <c r="DN1165" s="5"/>
      <c r="DO1165" s="5"/>
      <c r="DP1165" s="5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  <c r="GV1165" s="1"/>
      <c r="GW1165" s="1"/>
      <c r="GX1165" s="1"/>
      <c r="GY1165" s="1"/>
      <c r="GZ1165" s="1"/>
      <c r="HA1165" s="1"/>
      <c r="HB1165" s="1"/>
      <c r="HC1165" s="1"/>
      <c r="HD1165" s="1"/>
      <c r="HE1165" s="1"/>
      <c r="HF1165" s="1"/>
      <c r="HG1165" s="1"/>
      <c r="HH1165" s="1"/>
      <c r="HI1165" s="1"/>
      <c r="HJ1165" s="1"/>
      <c r="HK1165" s="1"/>
      <c r="HL1165" s="1"/>
      <c r="HM1165" s="1"/>
      <c r="HN1165" s="1"/>
      <c r="HO1165" s="1"/>
      <c r="HP1165" s="1"/>
      <c r="HQ1165" s="1"/>
      <c r="HR1165" s="1"/>
      <c r="HS1165" s="1"/>
      <c r="HT1165" s="1"/>
      <c r="HU1165" s="1"/>
      <c r="HV1165" s="1"/>
      <c r="HW1165" s="1"/>
      <c r="HX1165" s="1"/>
      <c r="HY1165" s="1"/>
      <c r="HZ1165" s="1"/>
      <c r="IA1165" s="1"/>
      <c r="IB1165" s="1"/>
      <c r="IC1165" s="1"/>
      <c r="ID1165" s="1"/>
      <c r="IE1165" s="1"/>
      <c r="IF1165" s="1"/>
      <c r="IG1165" s="1"/>
      <c r="IH1165" s="1"/>
      <c r="II1165" s="1"/>
      <c r="IJ1165" s="1"/>
      <c r="IK1165" s="1"/>
      <c r="IL1165" s="1"/>
      <c r="IM1165" s="1"/>
      <c r="IN1165" s="1"/>
      <c r="IO1165" s="1"/>
      <c r="IP1165" s="1"/>
      <c r="IQ1165" s="1"/>
      <c r="IR1165" s="1"/>
      <c r="IS1165" s="1"/>
      <c r="IT1165" s="1"/>
      <c r="IU1165" s="1"/>
      <c r="IV1165" s="1"/>
      <c r="IW1165" s="1"/>
      <c r="IX1165" s="1"/>
      <c r="IY1165" s="1"/>
      <c r="IZ1165" s="1"/>
      <c r="JA1165" s="1"/>
      <c r="JB1165" s="1"/>
      <c r="JC1165" s="1"/>
      <c r="JD1165" s="1"/>
    </row>
    <row r="1166" s="504" customFormat="true" ht="12.75" hidden="true" customHeight="true" outlineLevel="0" collapsed="false">
      <c r="A1166" s="5"/>
      <c r="B1166" s="813" t="n">
        <f aca="false">B1165+1</f>
        <v>951</v>
      </c>
      <c r="C1166" s="814" t="n">
        <f aca="false">C1165+D1166</f>
        <v>146366.763803999</v>
      </c>
      <c r="D1166" s="815" t="n">
        <f aca="false">E1166*$E$205*M1166</f>
        <v>229.258340910888</v>
      </c>
      <c r="E1166" s="601" t="n">
        <f aca="false">E1165+$C$204</f>
        <v>14.5394686016545</v>
      </c>
      <c r="F1166" s="816" t="n">
        <f aca="false">F1165+1</f>
        <v>951</v>
      </c>
      <c r="G1166" s="775" t="n">
        <f aca="false">C1166</f>
        <v>146366.763803999</v>
      </c>
      <c r="H1166" s="817" t="n">
        <f aca="false">1000*(E1166-E1165)</f>
        <v>9.99999999999979</v>
      </c>
      <c r="I1166" s="5"/>
      <c r="J1166" s="818" t="n">
        <f aca="false">1000*(E1166-$E$215)/(B1166-$B$215)</f>
        <v>11.654963016374</v>
      </c>
      <c r="K1166" s="732" t="n">
        <f aca="false">AVERAGE($E$216:E1166)</f>
        <v>9.78147701385228</v>
      </c>
      <c r="L1166" s="819" t="n">
        <f aca="false">L1165+1</f>
        <v>951</v>
      </c>
      <c r="M1166" s="820" t="n">
        <f aca="false">IF(B1166&lt;$E$104,$E$105,$E$106)</f>
        <v>3</v>
      </c>
      <c r="N1166" s="821" t="n">
        <f aca="false">IF(B1166&lt;$E$104,$E$105,$E$111)</f>
        <v>2.5</v>
      </c>
      <c r="O1166" s="822" t="n">
        <f aca="false">E1166*$E$205*N1166</f>
        <v>191.04861742574</v>
      </c>
      <c r="P1166" s="823" t="n">
        <f aca="false">P1165+O1166</f>
        <v>122023.983770375</v>
      </c>
      <c r="Q1166" s="606" t="n">
        <f aca="false">Q1165+1</f>
        <v>951</v>
      </c>
      <c r="R1166" s="824" t="n">
        <f aca="false">R1165-1</f>
        <v>-951</v>
      </c>
      <c r="S1166" s="5"/>
      <c r="T1166" s="5"/>
      <c r="U1166" s="5"/>
      <c r="V1166" s="10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02"/>
      <c r="AU1166" s="502"/>
      <c r="AV1166" s="606"/>
      <c r="AW1166" s="502"/>
      <c r="AX1166" s="502"/>
      <c r="AY1166" s="502"/>
      <c r="AZ1166" s="502"/>
      <c r="BA1166" s="502"/>
      <c r="BB1166" s="502"/>
      <c r="BC1166" s="502"/>
      <c r="BD1166" s="502"/>
      <c r="BE1166" s="502"/>
      <c r="BF1166" s="502"/>
      <c r="BG1166" s="502"/>
      <c r="BH1166" s="502"/>
      <c r="BI1166" s="502"/>
      <c r="BJ1166" s="502"/>
      <c r="BK1166" s="502"/>
      <c r="BL1166" s="502"/>
      <c r="BM1166" s="502"/>
      <c r="BN1166" s="502"/>
      <c r="BO1166" s="502"/>
      <c r="BP1166" s="5"/>
      <c r="BQ1166" s="5"/>
      <c r="BR1166" s="5"/>
      <c r="BS1166" s="5"/>
      <c r="BT1166" s="5"/>
      <c r="BU1166" s="5"/>
      <c r="BV1166" s="5"/>
      <c r="BW1166" s="5"/>
      <c r="BX1166" s="5"/>
      <c r="BY1166" s="5"/>
      <c r="BZ1166" s="5"/>
      <c r="CA1166" s="5"/>
      <c r="CB1166" s="5"/>
      <c r="CC1166" s="5"/>
      <c r="CD1166" s="5"/>
      <c r="CE1166" s="5"/>
      <c r="CF1166" s="5"/>
      <c r="CG1166" s="5"/>
      <c r="CH1166" s="5"/>
      <c r="CI1166" s="5"/>
      <c r="CJ1166" s="5"/>
      <c r="CK1166" s="5"/>
      <c r="CL1166" s="5"/>
      <c r="CM1166" s="5"/>
      <c r="CN1166" s="5"/>
      <c r="CO1166" s="5"/>
      <c r="CP1166" s="5"/>
      <c r="CQ1166" s="5"/>
      <c r="CR1166" s="5"/>
      <c r="CS1166" s="5"/>
      <c r="CT1166" s="5"/>
      <c r="CU1166" s="5"/>
      <c r="CV1166" s="5"/>
      <c r="CW1166" s="5"/>
      <c r="CX1166" s="5"/>
      <c r="CY1166" s="5"/>
      <c r="CZ1166" s="5"/>
      <c r="DA1166" s="5"/>
      <c r="DB1166" s="5"/>
      <c r="DC1166" s="5"/>
      <c r="DD1166" s="5"/>
      <c r="DE1166" s="5"/>
      <c r="DF1166" s="5"/>
      <c r="DG1166" s="5"/>
      <c r="DH1166" s="5"/>
      <c r="DI1166" s="5"/>
      <c r="DJ1166" s="5"/>
      <c r="DK1166" s="5"/>
      <c r="DL1166" s="5"/>
      <c r="DM1166" s="5"/>
      <c r="DN1166" s="5"/>
      <c r="DO1166" s="5"/>
      <c r="DP1166" s="5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  <c r="GV1166" s="1"/>
      <c r="GW1166" s="1"/>
      <c r="GX1166" s="1"/>
      <c r="GY1166" s="1"/>
      <c r="GZ1166" s="1"/>
      <c r="HA1166" s="1"/>
      <c r="HB1166" s="1"/>
      <c r="HC1166" s="1"/>
      <c r="HD1166" s="1"/>
      <c r="HE1166" s="1"/>
      <c r="HF1166" s="1"/>
      <c r="HG1166" s="1"/>
      <c r="HH1166" s="1"/>
      <c r="HI1166" s="1"/>
      <c r="HJ1166" s="1"/>
      <c r="HK1166" s="1"/>
      <c r="HL1166" s="1"/>
      <c r="HM1166" s="1"/>
      <c r="HN1166" s="1"/>
      <c r="HO1166" s="1"/>
      <c r="HP1166" s="1"/>
      <c r="HQ1166" s="1"/>
      <c r="HR1166" s="1"/>
      <c r="HS1166" s="1"/>
      <c r="HT1166" s="1"/>
      <c r="HU1166" s="1"/>
      <c r="HV1166" s="1"/>
      <c r="HW1166" s="1"/>
      <c r="HX1166" s="1"/>
      <c r="HY1166" s="1"/>
      <c r="HZ1166" s="1"/>
      <c r="IA1166" s="1"/>
      <c r="IB1166" s="1"/>
      <c r="IC1166" s="1"/>
      <c r="ID1166" s="1"/>
      <c r="IE1166" s="1"/>
      <c r="IF1166" s="1"/>
      <c r="IG1166" s="1"/>
      <c r="IH1166" s="1"/>
      <c r="II1166" s="1"/>
      <c r="IJ1166" s="1"/>
      <c r="IK1166" s="1"/>
      <c r="IL1166" s="1"/>
      <c r="IM1166" s="1"/>
      <c r="IN1166" s="1"/>
      <c r="IO1166" s="1"/>
      <c r="IP1166" s="1"/>
      <c r="IQ1166" s="1"/>
      <c r="IR1166" s="1"/>
      <c r="IS1166" s="1"/>
      <c r="IT1166" s="1"/>
      <c r="IU1166" s="1"/>
      <c r="IV1166" s="1"/>
      <c r="IW1166" s="1"/>
      <c r="IX1166" s="1"/>
      <c r="IY1166" s="1"/>
      <c r="IZ1166" s="1"/>
      <c r="JA1166" s="1"/>
      <c r="JB1166" s="1"/>
      <c r="JC1166" s="1"/>
      <c r="JD1166" s="1"/>
    </row>
    <row r="1167" s="504" customFormat="true" ht="12.75" hidden="true" customHeight="true" outlineLevel="0" collapsed="false">
      <c r="A1167" s="5"/>
      <c r="B1167" s="813" t="n">
        <f aca="false">B1166+1</f>
        <v>952</v>
      </c>
      <c r="C1167" s="814" t="n">
        <f aca="false">C1166+D1167</f>
        <v>146596.17982491</v>
      </c>
      <c r="D1167" s="815" t="n">
        <f aca="false">E1167*$E$205*M1167</f>
        <v>229.416020910888</v>
      </c>
      <c r="E1167" s="601" t="n">
        <f aca="false">E1166+$C$204</f>
        <v>14.5494686016545</v>
      </c>
      <c r="F1167" s="816" t="n">
        <f aca="false">F1166+1</f>
        <v>952</v>
      </c>
      <c r="G1167" s="775" t="n">
        <f aca="false">C1167</f>
        <v>146596.17982491</v>
      </c>
      <c r="H1167" s="817" t="n">
        <f aca="false">1000*(E1167-E1166)</f>
        <v>9.99999999999979</v>
      </c>
      <c r="I1167" s="5"/>
      <c r="J1167" s="818" t="n">
        <f aca="false">1000*(E1167-$E$215)/(B1167-$B$215)</f>
        <v>11.6532246098442</v>
      </c>
      <c r="K1167" s="732" t="n">
        <f aca="false">AVERAGE($E$216:E1167)</f>
        <v>9.78648540837728</v>
      </c>
      <c r="L1167" s="819" t="n">
        <f aca="false">L1166+1</f>
        <v>952</v>
      </c>
      <c r="M1167" s="820" t="n">
        <f aca="false">IF(B1167&lt;$E$104,$E$105,$E$106)</f>
        <v>3</v>
      </c>
      <c r="N1167" s="821" t="n">
        <f aca="false">IF(B1167&lt;$E$104,$E$105,$E$111)</f>
        <v>2.5</v>
      </c>
      <c r="O1167" s="822" t="n">
        <f aca="false">E1167*$E$205*N1167</f>
        <v>191.18001742574</v>
      </c>
      <c r="P1167" s="823" t="n">
        <f aca="false">P1166+O1167</f>
        <v>122215.163787801</v>
      </c>
      <c r="Q1167" s="606" t="n">
        <f aca="false">Q1166+1</f>
        <v>952</v>
      </c>
      <c r="R1167" s="824" t="n">
        <f aca="false">R1166-1</f>
        <v>-952</v>
      </c>
      <c r="S1167" s="5"/>
      <c r="T1167" s="5"/>
      <c r="U1167" s="5"/>
      <c r="V1167" s="10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02"/>
      <c r="AU1167" s="502"/>
      <c r="AV1167" s="606"/>
      <c r="AW1167" s="502"/>
      <c r="AX1167" s="502"/>
      <c r="AY1167" s="502"/>
      <c r="AZ1167" s="502"/>
      <c r="BA1167" s="502"/>
      <c r="BB1167" s="502"/>
      <c r="BC1167" s="502"/>
      <c r="BD1167" s="502"/>
      <c r="BE1167" s="502"/>
      <c r="BF1167" s="502"/>
      <c r="BG1167" s="502"/>
      <c r="BH1167" s="502"/>
      <c r="BI1167" s="502"/>
      <c r="BJ1167" s="502"/>
      <c r="BK1167" s="502"/>
      <c r="BL1167" s="502"/>
      <c r="BM1167" s="502"/>
      <c r="BN1167" s="502"/>
      <c r="BO1167" s="502"/>
      <c r="BP1167" s="5"/>
      <c r="BQ1167" s="5"/>
      <c r="BR1167" s="5"/>
      <c r="BS1167" s="5"/>
      <c r="BT1167" s="5"/>
      <c r="BU1167" s="5"/>
      <c r="BV1167" s="5"/>
      <c r="BW1167" s="5"/>
      <c r="BX1167" s="5"/>
      <c r="BY1167" s="5"/>
      <c r="BZ1167" s="5"/>
      <c r="CA1167" s="5"/>
      <c r="CB1167" s="5"/>
      <c r="CC1167" s="5"/>
      <c r="CD1167" s="5"/>
      <c r="CE1167" s="5"/>
      <c r="CF1167" s="5"/>
      <c r="CG1167" s="5"/>
      <c r="CH1167" s="5"/>
      <c r="CI1167" s="5"/>
      <c r="CJ1167" s="5"/>
      <c r="CK1167" s="5"/>
      <c r="CL1167" s="5"/>
      <c r="CM1167" s="5"/>
      <c r="CN1167" s="5"/>
      <c r="CO1167" s="5"/>
      <c r="CP1167" s="5"/>
      <c r="CQ1167" s="5"/>
      <c r="CR1167" s="5"/>
      <c r="CS1167" s="5"/>
      <c r="CT1167" s="5"/>
      <c r="CU1167" s="5"/>
      <c r="CV1167" s="5"/>
      <c r="CW1167" s="5"/>
      <c r="CX1167" s="5"/>
      <c r="CY1167" s="5"/>
      <c r="CZ1167" s="5"/>
      <c r="DA1167" s="5"/>
      <c r="DB1167" s="5"/>
      <c r="DC1167" s="5"/>
      <c r="DD1167" s="5"/>
      <c r="DE1167" s="5"/>
      <c r="DF1167" s="5"/>
      <c r="DG1167" s="5"/>
      <c r="DH1167" s="5"/>
      <c r="DI1167" s="5"/>
      <c r="DJ1167" s="5"/>
      <c r="DK1167" s="5"/>
      <c r="DL1167" s="5"/>
      <c r="DM1167" s="5"/>
      <c r="DN1167" s="5"/>
      <c r="DO1167" s="5"/>
      <c r="DP1167" s="5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  <c r="GV1167" s="1"/>
      <c r="GW1167" s="1"/>
      <c r="GX1167" s="1"/>
      <c r="GY1167" s="1"/>
      <c r="GZ1167" s="1"/>
      <c r="HA1167" s="1"/>
      <c r="HB1167" s="1"/>
      <c r="HC1167" s="1"/>
      <c r="HD1167" s="1"/>
      <c r="HE1167" s="1"/>
      <c r="HF1167" s="1"/>
      <c r="HG1167" s="1"/>
      <c r="HH1167" s="1"/>
      <c r="HI1167" s="1"/>
      <c r="HJ1167" s="1"/>
      <c r="HK1167" s="1"/>
      <c r="HL1167" s="1"/>
      <c r="HM1167" s="1"/>
      <c r="HN1167" s="1"/>
      <c r="HO1167" s="1"/>
      <c r="HP1167" s="1"/>
      <c r="HQ1167" s="1"/>
      <c r="HR1167" s="1"/>
      <c r="HS1167" s="1"/>
      <c r="HT1167" s="1"/>
      <c r="HU1167" s="1"/>
      <c r="HV1167" s="1"/>
      <c r="HW1167" s="1"/>
      <c r="HX1167" s="1"/>
      <c r="HY1167" s="1"/>
      <c r="HZ1167" s="1"/>
      <c r="IA1167" s="1"/>
      <c r="IB1167" s="1"/>
      <c r="IC1167" s="1"/>
      <c r="ID1167" s="1"/>
      <c r="IE1167" s="1"/>
      <c r="IF1167" s="1"/>
      <c r="IG1167" s="1"/>
      <c r="IH1167" s="1"/>
      <c r="II1167" s="1"/>
      <c r="IJ1167" s="1"/>
      <c r="IK1167" s="1"/>
      <c r="IL1167" s="1"/>
      <c r="IM1167" s="1"/>
      <c r="IN1167" s="1"/>
      <c r="IO1167" s="1"/>
      <c r="IP1167" s="1"/>
      <c r="IQ1167" s="1"/>
      <c r="IR1167" s="1"/>
      <c r="IS1167" s="1"/>
      <c r="IT1167" s="1"/>
      <c r="IU1167" s="1"/>
      <c r="IV1167" s="1"/>
      <c r="IW1167" s="1"/>
      <c r="IX1167" s="1"/>
      <c r="IY1167" s="1"/>
      <c r="IZ1167" s="1"/>
      <c r="JA1167" s="1"/>
      <c r="JB1167" s="1"/>
      <c r="JC1167" s="1"/>
      <c r="JD1167" s="1"/>
    </row>
    <row r="1168" s="504" customFormat="true" ht="12.75" hidden="true" customHeight="true" outlineLevel="0" collapsed="false">
      <c r="A1168" s="5"/>
      <c r="B1168" s="813" t="n">
        <f aca="false">B1167+1</f>
        <v>953</v>
      </c>
      <c r="C1168" s="814" t="n">
        <f aca="false">C1167+D1168</f>
        <v>146825.753525821</v>
      </c>
      <c r="D1168" s="815" t="n">
        <f aca="false">E1168*$E$205*M1168</f>
        <v>229.573700910888</v>
      </c>
      <c r="E1168" s="601" t="n">
        <f aca="false">E1167+$C$204</f>
        <v>14.5594686016545</v>
      </c>
      <c r="F1168" s="816" t="n">
        <f aca="false">F1167+1</f>
        <v>953</v>
      </c>
      <c r="G1168" s="775" t="n">
        <f aca="false">C1168</f>
        <v>146825.753525821</v>
      </c>
      <c r="H1168" s="817" t="n">
        <f aca="false">1000*(E1168-E1167)</f>
        <v>9.99999999999979</v>
      </c>
      <c r="I1168" s="5"/>
      <c r="J1168" s="818" t="n">
        <f aca="false">1000*(E1168-$E$215)/(B1168-$B$215)</f>
        <v>11.6514898515967</v>
      </c>
      <c r="K1168" s="732" t="n">
        <f aca="false">AVERAGE($E$216:E1168)</f>
        <v>9.79149378528523</v>
      </c>
      <c r="L1168" s="819" t="n">
        <f aca="false">L1167+1</f>
        <v>953</v>
      </c>
      <c r="M1168" s="820" t="n">
        <f aca="false">IF(B1168&lt;$E$104,$E$105,$E$106)</f>
        <v>3</v>
      </c>
      <c r="N1168" s="821" t="n">
        <f aca="false">IF(B1168&lt;$E$104,$E$105,$E$111)</f>
        <v>2.5</v>
      </c>
      <c r="O1168" s="822" t="n">
        <f aca="false">E1168*$E$205*N1168</f>
        <v>191.31141742574</v>
      </c>
      <c r="P1168" s="823" t="n">
        <f aca="false">P1167+O1168</f>
        <v>122406.475205227</v>
      </c>
      <c r="Q1168" s="606" t="n">
        <f aca="false">Q1167+1</f>
        <v>953</v>
      </c>
      <c r="R1168" s="824" t="n">
        <f aca="false">R1167-1</f>
        <v>-953</v>
      </c>
      <c r="S1168" s="5"/>
      <c r="T1168" s="5"/>
      <c r="U1168" s="5"/>
      <c r="V1168" s="10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02"/>
      <c r="AU1168" s="502"/>
      <c r="AV1168" s="606"/>
      <c r="AW1168" s="502"/>
      <c r="AX1168" s="502"/>
      <c r="AY1168" s="502"/>
      <c r="AZ1168" s="502"/>
      <c r="BA1168" s="502"/>
      <c r="BB1168" s="502"/>
      <c r="BC1168" s="502"/>
      <c r="BD1168" s="502"/>
      <c r="BE1168" s="502"/>
      <c r="BF1168" s="502"/>
      <c r="BG1168" s="502"/>
      <c r="BH1168" s="502"/>
      <c r="BI1168" s="502"/>
      <c r="BJ1168" s="502"/>
      <c r="BK1168" s="502"/>
      <c r="BL1168" s="502"/>
      <c r="BM1168" s="502"/>
      <c r="BN1168" s="502"/>
      <c r="BO1168" s="502"/>
      <c r="BP1168" s="5"/>
      <c r="BQ1168" s="5"/>
      <c r="BR1168" s="5"/>
      <c r="BS1168" s="5"/>
      <c r="BT1168" s="5"/>
      <c r="BU1168" s="5"/>
      <c r="BV1168" s="5"/>
      <c r="BW1168" s="5"/>
      <c r="BX1168" s="5"/>
      <c r="BY1168" s="5"/>
      <c r="BZ1168" s="5"/>
      <c r="CA1168" s="5"/>
      <c r="CB1168" s="5"/>
      <c r="CC1168" s="5"/>
      <c r="CD1168" s="5"/>
      <c r="CE1168" s="5"/>
      <c r="CF1168" s="5"/>
      <c r="CG1168" s="5"/>
      <c r="CH1168" s="5"/>
      <c r="CI1168" s="5"/>
      <c r="CJ1168" s="5"/>
      <c r="CK1168" s="5"/>
      <c r="CL1168" s="5"/>
      <c r="CM1168" s="5"/>
      <c r="CN1168" s="5"/>
      <c r="CO1168" s="5"/>
      <c r="CP1168" s="5"/>
      <c r="CQ1168" s="5"/>
      <c r="CR1168" s="5"/>
      <c r="CS1168" s="5"/>
      <c r="CT1168" s="5"/>
      <c r="CU1168" s="5"/>
      <c r="CV1168" s="5"/>
      <c r="CW1168" s="5"/>
      <c r="CX1168" s="5"/>
      <c r="CY1168" s="5"/>
      <c r="CZ1168" s="5"/>
      <c r="DA1168" s="5"/>
      <c r="DB1168" s="5"/>
      <c r="DC1168" s="5"/>
      <c r="DD1168" s="5"/>
      <c r="DE1168" s="5"/>
      <c r="DF1168" s="5"/>
      <c r="DG1168" s="5"/>
      <c r="DH1168" s="5"/>
      <c r="DI1168" s="5"/>
      <c r="DJ1168" s="5"/>
      <c r="DK1168" s="5"/>
      <c r="DL1168" s="5"/>
      <c r="DM1168" s="5"/>
      <c r="DN1168" s="5"/>
      <c r="DO1168" s="5"/>
      <c r="DP1168" s="5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  <c r="GV1168" s="1"/>
      <c r="GW1168" s="1"/>
      <c r="GX1168" s="1"/>
      <c r="GY1168" s="1"/>
      <c r="GZ1168" s="1"/>
      <c r="HA1168" s="1"/>
      <c r="HB1168" s="1"/>
      <c r="HC1168" s="1"/>
      <c r="HD1168" s="1"/>
      <c r="HE1168" s="1"/>
      <c r="HF1168" s="1"/>
      <c r="HG1168" s="1"/>
      <c r="HH1168" s="1"/>
      <c r="HI1168" s="1"/>
      <c r="HJ1168" s="1"/>
      <c r="HK1168" s="1"/>
      <c r="HL1168" s="1"/>
      <c r="HM1168" s="1"/>
      <c r="HN1168" s="1"/>
      <c r="HO1168" s="1"/>
      <c r="HP1168" s="1"/>
      <c r="HQ1168" s="1"/>
      <c r="HR1168" s="1"/>
      <c r="HS1168" s="1"/>
      <c r="HT1168" s="1"/>
      <c r="HU1168" s="1"/>
      <c r="HV1168" s="1"/>
      <c r="HW1168" s="1"/>
      <c r="HX1168" s="1"/>
      <c r="HY1168" s="1"/>
      <c r="HZ1168" s="1"/>
      <c r="IA1168" s="1"/>
      <c r="IB1168" s="1"/>
      <c r="IC1168" s="1"/>
      <c r="ID1168" s="1"/>
      <c r="IE1168" s="1"/>
      <c r="IF1168" s="1"/>
      <c r="IG1168" s="1"/>
      <c r="IH1168" s="1"/>
      <c r="II1168" s="1"/>
      <c r="IJ1168" s="1"/>
      <c r="IK1168" s="1"/>
      <c r="IL1168" s="1"/>
      <c r="IM1168" s="1"/>
      <c r="IN1168" s="1"/>
      <c r="IO1168" s="1"/>
      <c r="IP1168" s="1"/>
      <c r="IQ1168" s="1"/>
      <c r="IR1168" s="1"/>
      <c r="IS1168" s="1"/>
      <c r="IT1168" s="1"/>
      <c r="IU1168" s="1"/>
      <c r="IV1168" s="1"/>
      <c r="IW1168" s="1"/>
      <c r="IX1168" s="1"/>
      <c r="IY1168" s="1"/>
      <c r="IZ1168" s="1"/>
      <c r="JA1168" s="1"/>
      <c r="JB1168" s="1"/>
      <c r="JC1168" s="1"/>
      <c r="JD1168" s="1"/>
    </row>
    <row r="1169" s="504" customFormat="true" ht="12.75" hidden="true" customHeight="true" outlineLevel="0" collapsed="false">
      <c r="A1169" s="5"/>
      <c r="B1169" s="813" t="n">
        <f aca="false">B1168+1</f>
        <v>954</v>
      </c>
      <c r="C1169" s="814" t="n">
        <f aca="false">C1168+D1169</f>
        <v>147055.484906731</v>
      </c>
      <c r="D1169" s="815" t="n">
        <f aca="false">E1169*$E$205*M1169</f>
        <v>229.731380910888</v>
      </c>
      <c r="E1169" s="601" t="n">
        <f aca="false">E1168+$C$204</f>
        <v>14.5694686016545</v>
      </c>
      <c r="F1169" s="816" t="n">
        <f aca="false">F1168+1</f>
        <v>954</v>
      </c>
      <c r="G1169" s="775" t="n">
        <f aca="false">C1169</f>
        <v>147055.484906731</v>
      </c>
      <c r="H1169" s="817" t="n">
        <f aca="false">1000*(E1169-E1168)</f>
        <v>9.99999999999979</v>
      </c>
      <c r="I1169" s="5"/>
      <c r="J1169" s="818" t="n">
        <f aca="false">1000*(E1169-$E$215)/(B1169-$B$215)</f>
        <v>11.649758730159</v>
      </c>
      <c r="K1169" s="732" t="n">
        <f aca="false">AVERAGE($E$216:E1169)</f>
        <v>9.79650214463153</v>
      </c>
      <c r="L1169" s="819" t="n">
        <f aca="false">L1168+1</f>
        <v>954</v>
      </c>
      <c r="M1169" s="820" t="n">
        <f aca="false">IF(B1169&lt;$E$104,$E$105,$E$106)</f>
        <v>3</v>
      </c>
      <c r="N1169" s="821" t="n">
        <f aca="false">IF(B1169&lt;$E$104,$E$105,$E$111)</f>
        <v>2.5</v>
      </c>
      <c r="O1169" s="822" t="n">
        <f aca="false">E1169*$E$205*N1169</f>
        <v>191.44281742574</v>
      </c>
      <c r="P1169" s="823" t="n">
        <f aca="false">P1168+O1169</f>
        <v>122597.918022652</v>
      </c>
      <c r="Q1169" s="606" t="n">
        <f aca="false">Q1168+1</f>
        <v>954</v>
      </c>
      <c r="R1169" s="824" t="n">
        <f aca="false">R1168-1</f>
        <v>-954</v>
      </c>
      <c r="S1169" s="5"/>
      <c r="T1169" s="5"/>
      <c r="U1169" s="5"/>
      <c r="V1169" s="10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02"/>
      <c r="AU1169" s="502"/>
      <c r="AV1169" s="606"/>
      <c r="AW1169" s="502"/>
      <c r="AX1169" s="502"/>
      <c r="AY1169" s="502"/>
      <c r="AZ1169" s="502"/>
      <c r="BA1169" s="502"/>
      <c r="BB1169" s="502"/>
      <c r="BC1169" s="502"/>
      <c r="BD1169" s="502"/>
      <c r="BE1169" s="502"/>
      <c r="BF1169" s="502"/>
      <c r="BG1169" s="502"/>
      <c r="BH1169" s="502"/>
      <c r="BI1169" s="502"/>
      <c r="BJ1169" s="502"/>
      <c r="BK1169" s="502"/>
      <c r="BL1169" s="502"/>
      <c r="BM1169" s="502"/>
      <c r="BN1169" s="502"/>
      <c r="BO1169" s="502"/>
      <c r="BP1169" s="5"/>
      <c r="BQ1169" s="5"/>
      <c r="BR1169" s="5"/>
      <c r="BS1169" s="5"/>
      <c r="BT1169" s="5"/>
      <c r="BU1169" s="5"/>
      <c r="BV1169" s="5"/>
      <c r="BW1169" s="5"/>
      <c r="BX1169" s="5"/>
      <c r="BY1169" s="5"/>
      <c r="BZ1169" s="5"/>
      <c r="CA1169" s="5"/>
      <c r="CB1169" s="5"/>
      <c r="CC1169" s="5"/>
      <c r="CD1169" s="5"/>
      <c r="CE1169" s="5"/>
      <c r="CF1169" s="5"/>
      <c r="CG1169" s="5"/>
      <c r="CH1169" s="5"/>
      <c r="CI1169" s="5"/>
      <c r="CJ1169" s="5"/>
      <c r="CK1169" s="5"/>
      <c r="CL1169" s="5"/>
      <c r="CM1169" s="5"/>
      <c r="CN1169" s="5"/>
      <c r="CO1169" s="5"/>
      <c r="CP1169" s="5"/>
      <c r="CQ1169" s="5"/>
      <c r="CR1169" s="5"/>
      <c r="CS1169" s="5"/>
      <c r="CT1169" s="5"/>
      <c r="CU1169" s="5"/>
      <c r="CV1169" s="5"/>
      <c r="CW1169" s="5"/>
      <c r="CX1169" s="5"/>
      <c r="CY1169" s="5"/>
      <c r="CZ1169" s="5"/>
      <c r="DA1169" s="5"/>
      <c r="DB1169" s="5"/>
      <c r="DC1169" s="5"/>
      <c r="DD1169" s="5"/>
      <c r="DE1169" s="5"/>
      <c r="DF1169" s="5"/>
      <c r="DG1169" s="5"/>
      <c r="DH1169" s="5"/>
      <c r="DI1169" s="5"/>
      <c r="DJ1169" s="5"/>
      <c r="DK1169" s="5"/>
      <c r="DL1169" s="5"/>
      <c r="DM1169" s="5"/>
      <c r="DN1169" s="5"/>
      <c r="DO1169" s="5"/>
      <c r="DP1169" s="5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  <c r="GV1169" s="1"/>
      <c r="GW1169" s="1"/>
      <c r="GX1169" s="1"/>
      <c r="GY1169" s="1"/>
      <c r="GZ1169" s="1"/>
      <c r="HA1169" s="1"/>
      <c r="HB1169" s="1"/>
      <c r="HC1169" s="1"/>
      <c r="HD1169" s="1"/>
      <c r="HE1169" s="1"/>
      <c r="HF1169" s="1"/>
      <c r="HG1169" s="1"/>
      <c r="HH1169" s="1"/>
      <c r="HI1169" s="1"/>
      <c r="HJ1169" s="1"/>
      <c r="HK1169" s="1"/>
      <c r="HL1169" s="1"/>
      <c r="HM1169" s="1"/>
      <c r="HN1169" s="1"/>
      <c r="HO1169" s="1"/>
      <c r="HP1169" s="1"/>
      <c r="HQ1169" s="1"/>
      <c r="HR1169" s="1"/>
      <c r="HS1169" s="1"/>
      <c r="HT1169" s="1"/>
      <c r="HU1169" s="1"/>
      <c r="HV1169" s="1"/>
      <c r="HW1169" s="1"/>
      <c r="HX1169" s="1"/>
      <c r="HY1169" s="1"/>
      <c r="HZ1169" s="1"/>
      <c r="IA1169" s="1"/>
      <c r="IB1169" s="1"/>
      <c r="IC1169" s="1"/>
      <c r="ID1169" s="1"/>
      <c r="IE1169" s="1"/>
      <c r="IF1169" s="1"/>
      <c r="IG1169" s="1"/>
      <c r="IH1169" s="1"/>
      <c r="II1169" s="1"/>
      <c r="IJ1169" s="1"/>
      <c r="IK1169" s="1"/>
      <c r="IL1169" s="1"/>
      <c r="IM1169" s="1"/>
      <c r="IN1169" s="1"/>
      <c r="IO1169" s="1"/>
      <c r="IP1169" s="1"/>
      <c r="IQ1169" s="1"/>
      <c r="IR1169" s="1"/>
      <c r="IS1169" s="1"/>
      <c r="IT1169" s="1"/>
      <c r="IU1169" s="1"/>
      <c r="IV1169" s="1"/>
      <c r="IW1169" s="1"/>
      <c r="IX1169" s="1"/>
      <c r="IY1169" s="1"/>
      <c r="IZ1169" s="1"/>
      <c r="JA1169" s="1"/>
      <c r="JB1169" s="1"/>
      <c r="JC1169" s="1"/>
      <c r="JD1169" s="1"/>
    </row>
    <row r="1170" s="504" customFormat="true" ht="12.75" hidden="true" customHeight="true" outlineLevel="0" collapsed="false">
      <c r="A1170" s="5"/>
      <c r="B1170" s="813" t="n">
        <f aca="false">B1169+1</f>
        <v>955</v>
      </c>
      <c r="C1170" s="814" t="n">
        <f aca="false">C1169+D1170</f>
        <v>147285.373967642</v>
      </c>
      <c r="D1170" s="815" t="n">
        <f aca="false">E1170*$E$205*M1170</f>
        <v>229.889060910888</v>
      </c>
      <c r="E1170" s="601" t="n">
        <f aca="false">E1169+$C$204</f>
        <v>14.5794686016545</v>
      </c>
      <c r="F1170" s="816" t="n">
        <f aca="false">F1169+1</f>
        <v>955</v>
      </c>
      <c r="G1170" s="775" t="n">
        <f aca="false">C1170</f>
        <v>147285.373967642</v>
      </c>
      <c r="H1170" s="817" t="n">
        <f aca="false">1000*(E1170-E1169)</f>
        <v>9.99999999999979</v>
      </c>
      <c r="I1170" s="5"/>
      <c r="J1170" s="818" t="n">
        <f aca="false">1000*(E1170-$E$215)/(B1170-$B$215)</f>
        <v>11.6480312341064</v>
      </c>
      <c r="K1170" s="732" t="n">
        <f aca="false">AVERAGE($E$216:E1170)</f>
        <v>9.80151048647135</v>
      </c>
      <c r="L1170" s="819" t="n">
        <f aca="false">L1169+1</f>
        <v>955</v>
      </c>
      <c r="M1170" s="820" t="n">
        <f aca="false">IF(B1170&lt;$E$104,$E$105,$E$106)</f>
        <v>3</v>
      </c>
      <c r="N1170" s="821" t="n">
        <f aca="false">IF(B1170&lt;$E$104,$E$105,$E$111)</f>
        <v>2.5</v>
      </c>
      <c r="O1170" s="822" t="n">
        <f aca="false">E1170*$E$205*N1170</f>
        <v>191.57421742574</v>
      </c>
      <c r="P1170" s="823" t="n">
        <f aca="false">P1169+O1170</f>
        <v>122789.492240078</v>
      </c>
      <c r="Q1170" s="606" t="n">
        <f aca="false">Q1169+1</f>
        <v>955</v>
      </c>
      <c r="R1170" s="824" t="n">
        <f aca="false">R1169-1</f>
        <v>-955</v>
      </c>
      <c r="S1170" s="5"/>
      <c r="T1170" s="5"/>
      <c r="U1170" s="5"/>
      <c r="V1170" s="10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02"/>
      <c r="AU1170" s="502"/>
      <c r="AV1170" s="606"/>
      <c r="AW1170" s="502"/>
      <c r="AX1170" s="502"/>
      <c r="AY1170" s="502"/>
      <c r="AZ1170" s="502"/>
      <c r="BA1170" s="502"/>
      <c r="BB1170" s="502"/>
      <c r="BC1170" s="502"/>
      <c r="BD1170" s="502"/>
      <c r="BE1170" s="502"/>
      <c r="BF1170" s="502"/>
      <c r="BG1170" s="502"/>
      <c r="BH1170" s="502"/>
      <c r="BI1170" s="502"/>
      <c r="BJ1170" s="502"/>
      <c r="BK1170" s="502"/>
      <c r="BL1170" s="502"/>
      <c r="BM1170" s="502"/>
      <c r="BN1170" s="502"/>
      <c r="BO1170" s="502"/>
      <c r="BP1170" s="5"/>
      <c r="BQ1170" s="5"/>
      <c r="BR1170" s="5"/>
      <c r="BS1170" s="5"/>
      <c r="BT1170" s="5"/>
      <c r="BU1170" s="5"/>
      <c r="BV1170" s="5"/>
      <c r="BW1170" s="5"/>
      <c r="BX1170" s="5"/>
      <c r="BY1170" s="5"/>
      <c r="BZ1170" s="5"/>
      <c r="CA1170" s="5"/>
      <c r="CB1170" s="5"/>
      <c r="CC1170" s="5"/>
      <c r="CD1170" s="5"/>
      <c r="CE1170" s="5"/>
      <c r="CF1170" s="5"/>
      <c r="CG1170" s="5"/>
      <c r="CH1170" s="5"/>
      <c r="CI1170" s="5"/>
      <c r="CJ1170" s="5"/>
      <c r="CK1170" s="5"/>
      <c r="CL1170" s="5"/>
      <c r="CM1170" s="5"/>
      <c r="CN1170" s="5"/>
      <c r="CO1170" s="5"/>
      <c r="CP1170" s="5"/>
      <c r="CQ1170" s="5"/>
      <c r="CR1170" s="5"/>
      <c r="CS1170" s="5"/>
      <c r="CT1170" s="5"/>
      <c r="CU1170" s="5"/>
      <c r="CV1170" s="5"/>
      <c r="CW1170" s="5"/>
      <c r="CX1170" s="5"/>
      <c r="CY1170" s="5"/>
      <c r="CZ1170" s="5"/>
      <c r="DA1170" s="5"/>
      <c r="DB1170" s="5"/>
      <c r="DC1170" s="5"/>
      <c r="DD1170" s="5"/>
      <c r="DE1170" s="5"/>
      <c r="DF1170" s="5"/>
      <c r="DG1170" s="5"/>
      <c r="DH1170" s="5"/>
      <c r="DI1170" s="5"/>
      <c r="DJ1170" s="5"/>
      <c r="DK1170" s="5"/>
      <c r="DL1170" s="5"/>
      <c r="DM1170" s="5"/>
      <c r="DN1170" s="5"/>
      <c r="DO1170" s="5"/>
      <c r="DP1170" s="5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  <c r="GV1170" s="1"/>
      <c r="GW1170" s="1"/>
      <c r="GX1170" s="1"/>
      <c r="GY1170" s="1"/>
      <c r="GZ1170" s="1"/>
      <c r="HA1170" s="1"/>
      <c r="HB1170" s="1"/>
      <c r="HC1170" s="1"/>
      <c r="HD1170" s="1"/>
      <c r="HE1170" s="1"/>
      <c r="HF1170" s="1"/>
      <c r="HG1170" s="1"/>
      <c r="HH1170" s="1"/>
      <c r="HI1170" s="1"/>
      <c r="HJ1170" s="1"/>
      <c r="HK1170" s="1"/>
      <c r="HL1170" s="1"/>
      <c r="HM1170" s="1"/>
      <c r="HN1170" s="1"/>
      <c r="HO1170" s="1"/>
      <c r="HP1170" s="1"/>
      <c r="HQ1170" s="1"/>
      <c r="HR1170" s="1"/>
      <c r="HS1170" s="1"/>
      <c r="HT1170" s="1"/>
      <c r="HU1170" s="1"/>
      <c r="HV1170" s="1"/>
      <c r="HW1170" s="1"/>
      <c r="HX1170" s="1"/>
      <c r="HY1170" s="1"/>
      <c r="HZ1170" s="1"/>
      <c r="IA1170" s="1"/>
      <c r="IB1170" s="1"/>
      <c r="IC1170" s="1"/>
      <c r="ID1170" s="1"/>
      <c r="IE1170" s="1"/>
      <c r="IF1170" s="1"/>
      <c r="IG1170" s="1"/>
      <c r="IH1170" s="1"/>
      <c r="II1170" s="1"/>
      <c r="IJ1170" s="1"/>
      <c r="IK1170" s="1"/>
      <c r="IL1170" s="1"/>
      <c r="IM1170" s="1"/>
      <c r="IN1170" s="1"/>
      <c r="IO1170" s="1"/>
      <c r="IP1170" s="1"/>
      <c r="IQ1170" s="1"/>
      <c r="IR1170" s="1"/>
      <c r="IS1170" s="1"/>
      <c r="IT1170" s="1"/>
      <c r="IU1170" s="1"/>
      <c r="IV1170" s="1"/>
      <c r="IW1170" s="1"/>
      <c r="IX1170" s="1"/>
      <c r="IY1170" s="1"/>
      <c r="IZ1170" s="1"/>
      <c r="JA1170" s="1"/>
      <c r="JB1170" s="1"/>
      <c r="JC1170" s="1"/>
      <c r="JD1170" s="1"/>
    </row>
    <row r="1171" s="504" customFormat="true" ht="12.75" hidden="true" customHeight="true" outlineLevel="0" collapsed="false">
      <c r="A1171" s="5"/>
      <c r="B1171" s="813" t="n">
        <f aca="false">B1170+1</f>
        <v>956</v>
      </c>
      <c r="C1171" s="814" t="n">
        <f aca="false">C1170+D1171</f>
        <v>147515.420708553</v>
      </c>
      <c r="D1171" s="815" t="n">
        <f aca="false">E1171*$E$205*M1171</f>
        <v>230.046740910888</v>
      </c>
      <c r="E1171" s="601" t="n">
        <f aca="false">E1170+$C$204</f>
        <v>14.5894686016545</v>
      </c>
      <c r="F1171" s="816" t="n">
        <f aca="false">F1170+1</f>
        <v>956</v>
      </c>
      <c r="G1171" s="775" t="n">
        <f aca="false">C1171</f>
        <v>147515.420708553</v>
      </c>
      <c r="H1171" s="817" t="n">
        <f aca="false">1000*(E1171-E1170)</f>
        <v>9.99999999999979</v>
      </c>
      <c r="I1171" s="5"/>
      <c r="J1171" s="818" t="n">
        <f aca="false">1000*(E1171-$E$215)/(B1171-$B$215)</f>
        <v>11.6463073520624</v>
      </c>
      <c r="K1171" s="732" t="n">
        <f aca="false">AVERAGE($E$216:E1171)</f>
        <v>9.80651881085961</v>
      </c>
      <c r="L1171" s="819" t="n">
        <f aca="false">L1170+1</f>
        <v>956</v>
      </c>
      <c r="M1171" s="820" t="n">
        <f aca="false">IF(B1171&lt;$E$104,$E$105,$E$106)</f>
        <v>3</v>
      </c>
      <c r="N1171" s="821" t="n">
        <f aca="false">IF(B1171&lt;$E$104,$E$105,$E$111)</f>
        <v>2.5</v>
      </c>
      <c r="O1171" s="822" t="n">
        <f aca="false">E1171*$E$205*N1171</f>
        <v>191.70561742574</v>
      </c>
      <c r="P1171" s="823" t="n">
        <f aca="false">P1170+O1171</f>
        <v>122981.197857504</v>
      </c>
      <c r="Q1171" s="606" t="n">
        <f aca="false">Q1170+1</f>
        <v>956</v>
      </c>
      <c r="R1171" s="824" t="n">
        <f aca="false">R1170-1</f>
        <v>-956</v>
      </c>
      <c r="S1171" s="5"/>
      <c r="T1171" s="5"/>
      <c r="U1171" s="5"/>
      <c r="V1171" s="10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02"/>
      <c r="AU1171" s="502"/>
      <c r="AV1171" s="606"/>
      <c r="AW1171" s="502"/>
      <c r="AX1171" s="502"/>
      <c r="AY1171" s="502"/>
      <c r="AZ1171" s="502"/>
      <c r="BA1171" s="502"/>
      <c r="BB1171" s="502"/>
      <c r="BC1171" s="502"/>
      <c r="BD1171" s="502"/>
      <c r="BE1171" s="502"/>
      <c r="BF1171" s="502"/>
      <c r="BG1171" s="502"/>
      <c r="BH1171" s="502"/>
      <c r="BI1171" s="502"/>
      <c r="BJ1171" s="502"/>
      <c r="BK1171" s="502"/>
      <c r="BL1171" s="502"/>
      <c r="BM1171" s="502"/>
      <c r="BN1171" s="502"/>
      <c r="BO1171" s="502"/>
      <c r="BP1171" s="5"/>
      <c r="BQ1171" s="5"/>
      <c r="BR1171" s="5"/>
      <c r="BS1171" s="5"/>
      <c r="BT1171" s="5"/>
      <c r="BU1171" s="5"/>
      <c r="BV1171" s="5"/>
      <c r="BW1171" s="5"/>
      <c r="BX1171" s="5"/>
      <c r="BY1171" s="5"/>
      <c r="BZ1171" s="5"/>
      <c r="CA1171" s="5"/>
      <c r="CB1171" s="5"/>
      <c r="CC1171" s="5"/>
      <c r="CD1171" s="5"/>
      <c r="CE1171" s="5"/>
      <c r="CF1171" s="5"/>
      <c r="CG1171" s="5"/>
      <c r="CH1171" s="5"/>
      <c r="CI1171" s="5"/>
      <c r="CJ1171" s="5"/>
      <c r="CK1171" s="5"/>
      <c r="CL1171" s="5"/>
      <c r="CM1171" s="5"/>
      <c r="CN1171" s="5"/>
      <c r="CO1171" s="5"/>
      <c r="CP1171" s="5"/>
      <c r="CQ1171" s="5"/>
      <c r="CR1171" s="5"/>
      <c r="CS1171" s="5"/>
      <c r="CT1171" s="5"/>
      <c r="CU1171" s="5"/>
      <c r="CV1171" s="5"/>
      <c r="CW1171" s="5"/>
      <c r="CX1171" s="5"/>
      <c r="CY1171" s="5"/>
      <c r="CZ1171" s="5"/>
      <c r="DA1171" s="5"/>
      <c r="DB1171" s="5"/>
      <c r="DC1171" s="5"/>
      <c r="DD1171" s="5"/>
      <c r="DE1171" s="5"/>
      <c r="DF1171" s="5"/>
      <c r="DG1171" s="5"/>
      <c r="DH1171" s="5"/>
      <c r="DI1171" s="5"/>
      <c r="DJ1171" s="5"/>
      <c r="DK1171" s="5"/>
      <c r="DL1171" s="5"/>
      <c r="DM1171" s="5"/>
      <c r="DN1171" s="5"/>
      <c r="DO1171" s="5"/>
      <c r="DP1171" s="5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  <c r="GV1171" s="1"/>
      <c r="GW1171" s="1"/>
      <c r="GX1171" s="1"/>
      <c r="GY1171" s="1"/>
      <c r="GZ1171" s="1"/>
      <c r="HA1171" s="1"/>
      <c r="HB1171" s="1"/>
      <c r="HC1171" s="1"/>
      <c r="HD1171" s="1"/>
      <c r="HE1171" s="1"/>
      <c r="HF1171" s="1"/>
      <c r="HG1171" s="1"/>
      <c r="HH1171" s="1"/>
      <c r="HI1171" s="1"/>
      <c r="HJ1171" s="1"/>
      <c r="HK1171" s="1"/>
      <c r="HL1171" s="1"/>
      <c r="HM1171" s="1"/>
      <c r="HN1171" s="1"/>
      <c r="HO1171" s="1"/>
      <c r="HP1171" s="1"/>
      <c r="HQ1171" s="1"/>
      <c r="HR1171" s="1"/>
      <c r="HS1171" s="1"/>
      <c r="HT1171" s="1"/>
      <c r="HU1171" s="1"/>
      <c r="HV1171" s="1"/>
      <c r="HW1171" s="1"/>
      <c r="HX1171" s="1"/>
      <c r="HY1171" s="1"/>
      <c r="HZ1171" s="1"/>
      <c r="IA1171" s="1"/>
      <c r="IB1171" s="1"/>
      <c r="IC1171" s="1"/>
      <c r="ID1171" s="1"/>
      <c r="IE1171" s="1"/>
      <c r="IF1171" s="1"/>
      <c r="IG1171" s="1"/>
      <c r="IH1171" s="1"/>
      <c r="II1171" s="1"/>
      <c r="IJ1171" s="1"/>
      <c r="IK1171" s="1"/>
      <c r="IL1171" s="1"/>
      <c r="IM1171" s="1"/>
      <c r="IN1171" s="1"/>
      <c r="IO1171" s="1"/>
      <c r="IP1171" s="1"/>
      <c r="IQ1171" s="1"/>
      <c r="IR1171" s="1"/>
      <c r="IS1171" s="1"/>
      <c r="IT1171" s="1"/>
      <c r="IU1171" s="1"/>
      <c r="IV1171" s="1"/>
      <c r="IW1171" s="1"/>
      <c r="IX1171" s="1"/>
      <c r="IY1171" s="1"/>
      <c r="IZ1171" s="1"/>
      <c r="JA1171" s="1"/>
      <c r="JB1171" s="1"/>
      <c r="JC1171" s="1"/>
      <c r="JD1171" s="1"/>
    </row>
    <row r="1172" s="504" customFormat="true" ht="12.75" hidden="true" customHeight="true" outlineLevel="0" collapsed="false">
      <c r="A1172" s="5"/>
      <c r="B1172" s="813" t="n">
        <f aca="false">B1171+1</f>
        <v>957</v>
      </c>
      <c r="C1172" s="814" t="n">
        <f aca="false">C1171+D1172</f>
        <v>147745.625129464</v>
      </c>
      <c r="D1172" s="815" t="n">
        <f aca="false">E1172*$E$205*M1172</f>
        <v>230.204420910888</v>
      </c>
      <c r="E1172" s="601" t="n">
        <f aca="false">E1171+$C$204</f>
        <v>14.5994686016545</v>
      </c>
      <c r="F1172" s="816" t="n">
        <f aca="false">F1171+1</f>
        <v>957</v>
      </c>
      <c r="G1172" s="775" t="n">
        <f aca="false">C1172</f>
        <v>147745.625129464</v>
      </c>
      <c r="H1172" s="817" t="n">
        <f aca="false">1000*(E1172-E1171)</f>
        <v>9.99999999999979</v>
      </c>
      <c r="I1172" s="5"/>
      <c r="J1172" s="818" t="n">
        <f aca="false">1000*(E1172-$E$215)/(B1172-$B$215)</f>
        <v>11.6445870726976</v>
      </c>
      <c r="K1172" s="732" t="n">
        <f aca="false">AVERAGE($E$216:E1172)</f>
        <v>9.81152711785104</v>
      </c>
      <c r="L1172" s="819" t="n">
        <f aca="false">L1171+1</f>
        <v>957</v>
      </c>
      <c r="M1172" s="820" t="n">
        <f aca="false">IF(B1172&lt;$E$104,$E$105,$E$106)</f>
        <v>3</v>
      </c>
      <c r="N1172" s="821" t="n">
        <f aca="false">IF(B1172&lt;$E$104,$E$105,$E$111)</f>
        <v>2.5</v>
      </c>
      <c r="O1172" s="822" t="n">
        <f aca="false">E1172*$E$205*N1172</f>
        <v>191.83701742574</v>
      </c>
      <c r="P1172" s="823" t="n">
        <f aca="false">P1171+O1172</f>
        <v>123173.03487493</v>
      </c>
      <c r="Q1172" s="606" t="n">
        <f aca="false">Q1171+1</f>
        <v>957</v>
      </c>
      <c r="R1172" s="824" t="n">
        <f aca="false">R1171-1</f>
        <v>-957</v>
      </c>
      <c r="S1172" s="5"/>
      <c r="T1172" s="5"/>
      <c r="U1172" s="5"/>
      <c r="V1172" s="10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02"/>
      <c r="AU1172" s="502"/>
      <c r="AV1172" s="606"/>
      <c r="AW1172" s="502"/>
      <c r="AX1172" s="502"/>
      <c r="AY1172" s="502"/>
      <c r="AZ1172" s="502"/>
      <c r="BA1172" s="502"/>
      <c r="BB1172" s="502"/>
      <c r="BC1172" s="502"/>
      <c r="BD1172" s="502"/>
      <c r="BE1172" s="502"/>
      <c r="BF1172" s="502"/>
      <c r="BG1172" s="502"/>
      <c r="BH1172" s="502"/>
      <c r="BI1172" s="502"/>
      <c r="BJ1172" s="502"/>
      <c r="BK1172" s="502"/>
      <c r="BL1172" s="502"/>
      <c r="BM1172" s="502"/>
      <c r="BN1172" s="502"/>
      <c r="BO1172" s="502"/>
      <c r="BP1172" s="5"/>
      <c r="BQ1172" s="5"/>
      <c r="BR1172" s="5"/>
      <c r="BS1172" s="5"/>
      <c r="BT1172" s="5"/>
      <c r="BU1172" s="5"/>
      <c r="BV1172" s="5"/>
      <c r="BW1172" s="5"/>
      <c r="BX1172" s="5"/>
      <c r="BY1172" s="5"/>
      <c r="BZ1172" s="5"/>
      <c r="CA1172" s="5"/>
      <c r="CB1172" s="5"/>
      <c r="CC1172" s="5"/>
      <c r="CD1172" s="5"/>
      <c r="CE1172" s="5"/>
      <c r="CF1172" s="5"/>
      <c r="CG1172" s="5"/>
      <c r="CH1172" s="5"/>
      <c r="CI1172" s="5"/>
      <c r="CJ1172" s="5"/>
      <c r="CK1172" s="5"/>
      <c r="CL1172" s="5"/>
      <c r="CM1172" s="5"/>
      <c r="CN1172" s="5"/>
      <c r="CO1172" s="5"/>
      <c r="CP1172" s="5"/>
      <c r="CQ1172" s="5"/>
      <c r="CR1172" s="5"/>
      <c r="CS1172" s="5"/>
      <c r="CT1172" s="5"/>
      <c r="CU1172" s="5"/>
      <c r="CV1172" s="5"/>
      <c r="CW1172" s="5"/>
      <c r="CX1172" s="5"/>
      <c r="CY1172" s="5"/>
      <c r="CZ1172" s="5"/>
      <c r="DA1172" s="5"/>
      <c r="DB1172" s="5"/>
      <c r="DC1172" s="5"/>
      <c r="DD1172" s="5"/>
      <c r="DE1172" s="5"/>
      <c r="DF1172" s="5"/>
      <c r="DG1172" s="5"/>
      <c r="DH1172" s="5"/>
      <c r="DI1172" s="5"/>
      <c r="DJ1172" s="5"/>
      <c r="DK1172" s="5"/>
      <c r="DL1172" s="5"/>
      <c r="DM1172" s="5"/>
      <c r="DN1172" s="5"/>
      <c r="DO1172" s="5"/>
      <c r="DP1172" s="5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  <c r="GV1172" s="1"/>
      <c r="GW1172" s="1"/>
      <c r="GX1172" s="1"/>
      <c r="GY1172" s="1"/>
      <c r="GZ1172" s="1"/>
      <c r="HA1172" s="1"/>
      <c r="HB1172" s="1"/>
      <c r="HC1172" s="1"/>
      <c r="HD1172" s="1"/>
      <c r="HE1172" s="1"/>
      <c r="HF1172" s="1"/>
      <c r="HG1172" s="1"/>
      <c r="HH1172" s="1"/>
      <c r="HI1172" s="1"/>
      <c r="HJ1172" s="1"/>
      <c r="HK1172" s="1"/>
      <c r="HL1172" s="1"/>
      <c r="HM1172" s="1"/>
      <c r="HN1172" s="1"/>
      <c r="HO1172" s="1"/>
      <c r="HP1172" s="1"/>
      <c r="HQ1172" s="1"/>
      <c r="HR1172" s="1"/>
      <c r="HS1172" s="1"/>
      <c r="HT1172" s="1"/>
      <c r="HU1172" s="1"/>
      <c r="HV1172" s="1"/>
      <c r="HW1172" s="1"/>
      <c r="HX1172" s="1"/>
      <c r="HY1172" s="1"/>
      <c r="HZ1172" s="1"/>
      <c r="IA1172" s="1"/>
      <c r="IB1172" s="1"/>
      <c r="IC1172" s="1"/>
      <c r="ID1172" s="1"/>
      <c r="IE1172" s="1"/>
      <c r="IF1172" s="1"/>
      <c r="IG1172" s="1"/>
      <c r="IH1172" s="1"/>
      <c r="II1172" s="1"/>
      <c r="IJ1172" s="1"/>
      <c r="IK1172" s="1"/>
      <c r="IL1172" s="1"/>
      <c r="IM1172" s="1"/>
      <c r="IN1172" s="1"/>
      <c r="IO1172" s="1"/>
      <c r="IP1172" s="1"/>
      <c r="IQ1172" s="1"/>
      <c r="IR1172" s="1"/>
      <c r="IS1172" s="1"/>
      <c r="IT1172" s="1"/>
      <c r="IU1172" s="1"/>
      <c r="IV1172" s="1"/>
      <c r="IW1172" s="1"/>
      <c r="IX1172" s="1"/>
      <c r="IY1172" s="1"/>
      <c r="IZ1172" s="1"/>
      <c r="JA1172" s="1"/>
      <c r="JB1172" s="1"/>
      <c r="JC1172" s="1"/>
      <c r="JD1172" s="1"/>
    </row>
    <row r="1173" s="504" customFormat="true" ht="12.75" hidden="true" customHeight="true" outlineLevel="0" collapsed="false">
      <c r="A1173" s="5"/>
      <c r="B1173" s="813" t="n">
        <f aca="false">B1172+1</f>
        <v>958</v>
      </c>
      <c r="C1173" s="814" t="n">
        <f aca="false">C1172+D1173</f>
        <v>147975.987230375</v>
      </c>
      <c r="D1173" s="815" t="n">
        <f aca="false">E1173*$E$205*M1173</f>
        <v>230.362100910888</v>
      </c>
      <c r="E1173" s="601" t="n">
        <f aca="false">E1172+$C$204</f>
        <v>14.6094686016545</v>
      </c>
      <c r="F1173" s="816" t="n">
        <f aca="false">F1172+1</f>
        <v>958</v>
      </c>
      <c r="G1173" s="775" t="n">
        <f aca="false">C1173</f>
        <v>147975.987230375</v>
      </c>
      <c r="H1173" s="817" t="n">
        <f aca="false">1000*(E1173-E1172)</f>
        <v>9.99999999999979</v>
      </c>
      <c r="I1173" s="5"/>
      <c r="J1173" s="818" t="n">
        <f aca="false">1000*(E1173-$E$215)/(B1173-$B$215)</f>
        <v>11.6428703847303</v>
      </c>
      <c r="K1173" s="732" t="n">
        <f aca="false">AVERAGE($E$216:E1173)</f>
        <v>9.8165354075001</v>
      </c>
      <c r="L1173" s="819" t="n">
        <f aca="false">L1172+1</f>
        <v>958</v>
      </c>
      <c r="M1173" s="820" t="n">
        <f aca="false">IF(B1173&lt;$E$104,$E$105,$E$106)</f>
        <v>3</v>
      </c>
      <c r="N1173" s="821" t="n">
        <f aca="false">IF(B1173&lt;$E$104,$E$105,$E$111)</f>
        <v>2.5</v>
      </c>
      <c r="O1173" s="822" t="n">
        <f aca="false">E1173*$E$205*N1173</f>
        <v>191.96841742574</v>
      </c>
      <c r="P1173" s="823" t="n">
        <f aca="false">P1172+O1173</f>
        <v>123365.003292355</v>
      </c>
      <c r="Q1173" s="606" t="n">
        <f aca="false">Q1172+1</f>
        <v>958</v>
      </c>
      <c r="R1173" s="824" t="n">
        <f aca="false">R1172-1</f>
        <v>-958</v>
      </c>
      <c r="S1173" s="5"/>
      <c r="T1173" s="5"/>
      <c r="U1173" s="5"/>
      <c r="V1173" s="10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02"/>
      <c r="AU1173" s="502"/>
      <c r="AV1173" s="606"/>
      <c r="AW1173" s="502"/>
      <c r="AX1173" s="502"/>
      <c r="AY1173" s="502"/>
      <c r="AZ1173" s="502"/>
      <c r="BA1173" s="502"/>
      <c r="BB1173" s="502"/>
      <c r="BC1173" s="502"/>
      <c r="BD1173" s="502"/>
      <c r="BE1173" s="502"/>
      <c r="BF1173" s="502"/>
      <c r="BG1173" s="502"/>
      <c r="BH1173" s="502"/>
      <c r="BI1173" s="502"/>
      <c r="BJ1173" s="502"/>
      <c r="BK1173" s="502"/>
      <c r="BL1173" s="502"/>
      <c r="BM1173" s="502"/>
      <c r="BN1173" s="502"/>
      <c r="BO1173" s="502"/>
      <c r="BP1173" s="5"/>
      <c r="BQ1173" s="5"/>
      <c r="BR1173" s="5"/>
      <c r="BS1173" s="5"/>
      <c r="BT1173" s="5"/>
      <c r="BU1173" s="5"/>
      <c r="BV1173" s="5"/>
      <c r="BW1173" s="5"/>
      <c r="BX1173" s="5"/>
      <c r="BY1173" s="5"/>
      <c r="BZ1173" s="5"/>
      <c r="CA1173" s="5"/>
      <c r="CB1173" s="5"/>
      <c r="CC1173" s="5"/>
      <c r="CD1173" s="5"/>
      <c r="CE1173" s="5"/>
      <c r="CF1173" s="5"/>
      <c r="CG1173" s="5"/>
      <c r="CH1173" s="5"/>
      <c r="CI1173" s="5"/>
      <c r="CJ1173" s="5"/>
      <c r="CK1173" s="5"/>
      <c r="CL1173" s="5"/>
      <c r="CM1173" s="5"/>
      <c r="CN1173" s="5"/>
      <c r="CO1173" s="5"/>
      <c r="CP1173" s="5"/>
      <c r="CQ1173" s="5"/>
      <c r="CR1173" s="5"/>
      <c r="CS1173" s="5"/>
      <c r="CT1173" s="5"/>
      <c r="CU1173" s="5"/>
      <c r="CV1173" s="5"/>
      <c r="CW1173" s="5"/>
      <c r="CX1173" s="5"/>
      <c r="CY1173" s="5"/>
      <c r="CZ1173" s="5"/>
      <c r="DA1173" s="5"/>
      <c r="DB1173" s="5"/>
      <c r="DC1173" s="5"/>
      <c r="DD1173" s="5"/>
      <c r="DE1173" s="5"/>
      <c r="DF1173" s="5"/>
      <c r="DG1173" s="5"/>
      <c r="DH1173" s="5"/>
      <c r="DI1173" s="5"/>
      <c r="DJ1173" s="5"/>
      <c r="DK1173" s="5"/>
      <c r="DL1173" s="5"/>
      <c r="DM1173" s="5"/>
      <c r="DN1173" s="5"/>
      <c r="DO1173" s="5"/>
      <c r="DP1173" s="5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  <c r="GV1173" s="1"/>
      <c r="GW1173" s="1"/>
      <c r="GX1173" s="1"/>
      <c r="GY1173" s="1"/>
      <c r="GZ1173" s="1"/>
      <c r="HA1173" s="1"/>
      <c r="HB1173" s="1"/>
      <c r="HC1173" s="1"/>
      <c r="HD1173" s="1"/>
      <c r="HE1173" s="1"/>
      <c r="HF1173" s="1"/>
      <c r="HG1173" s="1"/>
      <c r="HH1173" s="1"/>
      <c r="HI1173" s="1"/>
      <c r="HJ1173" s="1"/>
      <c r="HK1173" s="1"/>
      <c r="HL1173" s="1"/>
      <c r="HM1173" s="1"/>
      <c r="HN1173" s="1"/>
      <c r="HO1173" s="1"/>
      <c r="HP1173" s="1"/>
      <c r="HQ1173" s="1"/>
      <c r="HR1173" s="1"/>
      <c r="HS1173" s="1"/>
      <c r="HT1173" s="1"/>
      <c r="HU1173" s="1"/>
      <c r="HV1173" s="1"/>
      <c r="HW1173" s="1"/>
      <c r="HX1173" s="1"/>
      <c r="HY1173" s="1"/>
      <c r="HZ1173" s="1"/>
      <c r="IA1173" s="1"/>
      <c r="IB1173" s="1"/>
      <c r="IC1173" s="1"/>
      <c r="ID1173" s="1"/>
      <c r="IE1173" s="1"/>
      <c r="IF1173" s="1"/>
      <c r="IG1173" s="1"/>
      <c r="IH1173" s="1"/>
      <c r="II1173" s="1"/>
      <c r="IJ1173" s="1"/>
      <c r="IK1173" s="1"/>
      <c r="IL1173" s="1"/>
      <c r="IM1173" s="1"/>
      <c r="IN1173" s="1"/>
      <c r="IO1173" s="1"/>
      <c r="IP1173" s="1"/>
      <c r="IQ1173" s="1"/>
      <c r="IR1173" s="1"/>
      <c r="IS1173" s="1"/>
      <c r="IT1173" s="1"/>
      <c r="IU1173" s="1"/>
      <c r="IV1173" s="1"/>
      <c r="IW1173" s="1"/>
      <c r="IX1173" s="1"/>
      <c r="IY1173" s="1"/>
      <c r="IZ1173" s="1"/>
      <c r="JA1173" s="1"/>
      <c r="JB1173" s="1"/>
      <c r="JC1173" s="1"/>
      <c r="JD1173" s="1"/>
    </row>
    <row r="1174" s="504" customFormat="true" ht="12.75" hidden="true" customHeight="true" outlineLevel="0" collapsed="false">
      <c r="A1174" s="5"/>
      <c r="B1174" s="813" t="n">
        <f aca="false">B1173+1</f>
        <v>959</v>
      </c>
      <c r="C1174" s="814" t="n">
        <f aca="false">C1173+D1174</f>
        <v>148206.507011286</v>
      </c>
      <c r="D1174" s="815" t="n">
        <f aca="false">E1174*$E$205*M1174</f>
        <v>230.519780910888</v>
      </c>
      <c r="E1174" s="601" t="n">
        <f aca="false">E1173+$C$204</f>
        <v>14.6194686016545</v>
      </c>
      <c r="F1174" s="816" t="n">
        <f aca="false">F1173+1</f>
        <v>959</v>
      </c>
      <c r="G1174" s="775" t="n">
        <f aca="false">C1174</f>
        <v>148206.507011286</v>
      </c>
      <c r="H1174" s="817" t="n">
        <f aca="false">1000*(E1174-E1173)</f>
        <v>9.99999999999979</v>
      </c>
      <c r="I1174" s="5"/>
      <c r="J1174" s="818" t="n">
        <f aca="false">1000*(E1174-$E$215)/(B1174-$B$215)</f>
        <v>11.6411572769256</v>
      </c>
      <c r="K1174" s="732" t="n">
        <f aca="false">AVERAGE($E$216:E1174)</f>
        <v>9.82154367986106</v>
      </c>
      <c r="L1174" s="819" t="n">
        <f aca="false">L1173+1</f>
        <v>959</v>
      </c>
      <c r="M1174" s="820" t="n">
        <f aca="false">IF(B1174&lt;$E$104,$E$105,$E$106)</f>
        <v>3</v>
      </c>
      <c r="N1174" s="821" t="n">
        <f aca="false">IF(B1174&lt;$E$104,$E$105,$E$111)</f>
        <v>2.5</v>
      </c>
      <c r="O1174" s="822" t="n">
        <f aca="false">E1174*$E$205*N1174</f>
        <v>192.09981742574</v>
      </c>
      <c r="P1174" s="823" t="n">
        <f aca="false">P1173+O1174</f>
        <v>123557.103109781</v>
      </c>
      <c r="Q1174" s="606" t="n">
        <f aca="false">Q1173+1</f>
        <v>959</v>
      </c>
      <c r="R1174" s="824" t="n">
        <f aca="false">R1173-1</f>
        <v>-959</v>
      </c>
      <c r="S1174" s="5"/>
      <c r="T1174" s="5"/>
      <c r="U1174" s="5"/>
      <c r="V1174" s="10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02"/>
      <c r="AU1174" s="502"/>
      <c r="AV1174" s="606"/>
      <c r="AW1174" s="502"/>
      <c r="AX1174" s="502"/>
      <c r="AY1174" s="502"/>
      <c r="AZ1174" s="502"/>
      <c r="BA1174" s="502"/>
      <c r="BB1174" s="502"/>
      <c r="BC1174" s="502"/>
      <c r="BD1174" s="502"/>
      <c r="BE1174" s="502"/>
      <c r="BF1174" s="502"/>
      <c r="BG1174" s="502"/>
      <c r="BH1174" s="502"/>
      <c r="BI1174" s="502"/>
      <c r="BJ1174" s="502"/>
      <c r="BK1174" s="502"/>
      <c r="BL1174" s="502"/>
      <c r="BM1174" s="502"/>
      <c r="BN1174" s="502"/>
      <c r="BO1174" s="502"/>
      <c r="BP1174" s="5"/>
      <c r="BQ1174" s="5"/>
      <c r="BR1174" s="5"/>
      <c r="BS1174" s="5"/>
      <c r="BT1174" s="5"/>
      <c r="BU1174" s="5"/>
      <c r="BV1174" s="5"/>
      <c r="BW1174" s="5"/>
      <c r="BX1174" s="5"/>
      <c r="BY1174" s="5"/>
      <c r="BZ1174" s="5"/>
      <c r="CA1174" s="5"/>
      <c r="CB1174" s="5"/>
      <c r="CC1174" s="5"/>
      <c r="CD1174" s="5"/>
      <c r="CE1174" s="5"/>
      <c r="CF1174" s="5"/>
      <c r="CG1174" s="5"/>
      <c r="CH1174" s="5"/>
      <c r="CI1174" s="5"/>
      <c r="CJ1174" s="5"/>
      <c r="CK1174" s="5"/>
      <c r="CL1174" s="5"/>
      <c r="CM1174" s="5"/>
      <c r="CN1174" s="5"/>
      <c r="CO1174" s="5"/>
      <c r="CP1174" s="5"/>
      <c r="CQ1174" s="5"/>
      <c r="CR1174" s="5"/>
      <c r="CS1174" s="5"/>
      <c r="CT1174" s="5"/>
      <c r="CU1174" s="5"/>
      <c r="CV1174" s="5"/>
      <c r="CW1174" s="5"/>
      <c r="CX1174" s="5"/>
      <c r="CY1174" s="5"/>
      <c r="CZ1174" s="5"/>
      <c r="DA1174" s="5"/>
      <c r="DB1174" s="5"/>
      <c r="DC1174" s="5"/>
      <c r="DD1174" s="5"/>
      <c r="DE1174" s="5"/>
      <c r="DF1174" s="5"/>
      <c r="DG1174" s="5"/>
      <c r="DH1174" s="5"/>
      <c r="DI1174" s="5"/>
      <c r="DJ1174" s="5"/>
      <c r="DK1174" s="5"/>
      <c r="DL1174" s="5"/>
      <c r="DM1174" s="5"/>
      <c r="DN1174" s="5"/>
      <c r="DO1174" s="5"/>
      <c r="DP1174" s="5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  <c r="GV1174" s="1"/>
      <c r="GW1174" s="1"/>
      <c r="GX1174" s="1"/>
      <c r="GY1174" s="1"/>
      <c r="GZ1174" s="1"/>
      <c r="HA1174" s="1"/>
      <c r="HB1174" s="1"/>
      <c r="HC1174" s="1"/>
      <c r="HD1174" s="1"/>
      <c r="HE1174" s="1"/>
      <c r="HF1174" s="1"/>
      <c r="HG1174" s="1"/>
      <c r="HH1174" s="1"/>
      <c r="HI1174" s="1"/>
      <c r="HJ1174" s="1"/>
      <c r="HK1174" s="1"/>
      <c r="HL1174" s="1"/>
      <c r="HM1174" s="1"/>
      <c r="HN1174" s="1"/>
      <c r="HO1174" s="1"/>
      <c r="HP1174" s="1"/>
      <c r="HQ1174" s="1"/>
      <c r="HR1174" s="1"/>
      <c r="HS1174" s="1"/>
      <c r="HT1174" s="1"/>
      <c r="HU1174" s="1"/>
      <c r="HV1174" s="1"/>
      <c r="HW1174" s="1"/>
      <c r="HX1174" s="1"/>
      <c r="HY1174" s="1"/>
      <c r="HZ1174" s="1"/>
      <c r="IA1174" s="1"/>
      <c r="IB1174" s="1"/>
      <c r="IC1174" s="1"/>
      <c r="ID1174" s="1"/>
      <c r="IE1174" s="1"/>
      <c r="IF1174" s="1"/>
      <c r="IG1174" s="1"/>
      <c r="IH1174" s="1"/>
      <c r="II1174" s="1"/>
      <c r="IJ1174" s="1"/>
      <c r="IK1174" s="1"/>
      <c r="IL1174" s="1"/>
      <c r="IM1174" s="1"/>
      <c r="IN1174" s="1"/>
      <c r="IO1174" s="1"/>
      <c r="IP1174" s="1"/>
      <c r="IQ1174" s="1"/>
      <c r="IR1174" s="1"/>
      <c r="IS1174" s="1"/>
      <c r="IT1174" s="1"/>
      <c r="IU1174" s="1"/>
      <c r="IV1174" s="1"/>
      <c r="IW1174" s="1"/>
      <c r="IX1174" s="1"/>
      <c r="IY1174" s="1"/>
      <c r="IZ1174" s="1"/>
      <c r="JA1174" s="1"/>
      <c r="JB1174" s="1"/>
      <c r="JC1174" s="1"/>
      <c r="JD1174" s="1"/>
    </row>
    <row r="1175" s="504" customFormat="true" ht="12.75" hidden="true" customHeight="true" outlineLevel="0" collapsed="false">
      <c r="A1175" s="5"/>
      <c r="B1175" s="813" t="n">
        <f aca="false">B1174+1</f>
        <v>960</v>
      </c>
      <c r="C1175" s="814" t="n">
        <f aca="false">C1174+D1175</f>
        <v>148437.184472197</v>
      </c>
      <c r="D1175" s="815" t="n">
        <f aca="false">E1175*$E$205*M1175</f>
        <v>230.677460910888</v>
      </c>
      <c r="E1175" s="601" t="n">
        <f aca="false">E1174+$C$204</f>
        <v>14.6294686016545</v>
      </c>
      <c r="F1175" s="816" t="n">
        <f aca="false">F1174+1</f>
        <v>960</v>
      </c>
      <c r="G1175" s="775" t="n">
        <f aca="false">C1175</f>
        <v>148437.184472197</v>
      </c>
      <c r="H1175" s="817" t="n">
        <f aca="false">1000*(E1175-E1174)</f>
        <v>9.99999999999979</v>
      </c>
      <c r="I1175" s="5"/>
      <c r="J1175" s="818" t="n">
        <f aca="false">1000*(E1175-$E$215)/(B1175-$B$215)</f>
        <v>11.6394477380955</v>
      </c>
      <c r="K1175" s="732" t="n">
        <f aca="false">AVERAGE($E$216:E1175)</f>
        <v>9.82655193498793</v>
      </c>
      <c r="L1175" s="819" t="n">
        <f aca="false">L1174+1</f>
        <v>960</v>
      </c>
      <c r="M1175" s="820" t="n">
        <f aca="false">IF(B1175&lt;$E$104,$E$105,$E$106)</f>
        <v>3</v>
      </c>
      <c r="N1175" s="821" t="n">
        <f aca="false">IF(B1175&lt;$E$104,$E$105,$E$111)</f>
        <v>2.5</v>
      </c>
      <c r="O1175" s="822" t="n">
        <f aca="false">E1175*$E$205*N1175</f>
        <v>192.23121742574</v>
      </c>
      <c r="P1175" s="823" t="n">
        <f aca="false">P1174+O1175</f>
        <v>123749.334327207</v>
      </c>
      <c r="Q1175" s="606" t="n">
        <f aca="false">Q1174+1</f>
        <v>960</v>
      </c>
      <c r="R1175" s="824" t="n">
        <f aca="false">R1174-1</f>
        <v>-960</v>
      </c>
      <c r="S1175" s="5"/>
      <c r="T1175" s="5"/>
      <c r="U1175" s="5"/>
      <c r="V1175" s="10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02"/>
      <c r="AU1175" s="502"/>
      <c r="AV1175" s="606"/>
      <c r="AW1175" s="502"/>
      <c r="AX1175" s="502"/>
      <c r="AY1175" s="502"/>
      <c r="AZ1175" s="502"/>
      <c r="BA1175" s="502"/>
      <c r="BB1175" s="502"/>
      <c r="BC1175" s="502"/>
      <c r="BD1175" s="502"/>
      <c r="BE1175" s="502"/>
      <c r="BF1175" s="502"/>
      <c r="BG1175" s="502"/>
      <c r="BH1175" s="502"/>
      <c r="BI1175" s="502"/>
      <c r="BJ1175" s="502"/>
      <c r="BK1175" s="502"/>
      <c r="BL1175" s="502"/>
      <c r="BM1175" s="502"/>
      <c r="BN1175" s="502"/>
      <c r="BO1175" s="502"/>
      <c r="BP1175" s="5"/>
      <c r="BQ1175" s="5"/>
      <c r="BR1175" s="5"/>
      <c r="BS1175" s="5"/>
      <c r="BT1175" s="5"/>
      <c r="BU1175" s="5"/>
      <c r="BV1175" s="5"/>
      <c r="BW1175" s="5"/>
      <c r="BX1175" s="5"/>
      <c r="BY1175" s="5"/>
      <c r="BZ1175" s="5"/>
      <c r="CA1175" s="5"/>
      <c r="CB1175" s="5"/>
      <c r="CC1175" s="5"/>
      <c r="CD1175" s="5"/>
      <c r="CE1175" s="5"/>
      <c r="CF1175" s="5"/>
      <c r="CG1175" s="5"/>
      <c r="CH1175" s="5"/>
      <c r="CI1175" s="5"/>
      <c r="CJ1175" s="5"/>
      <c r="CK1175" s="5"/>
      <c r="CL1175" s="5"/>
      <c r="CM1175" s="5"/>
      <c r="CN1175" s="5"/>
      <c r="CO1175" s="5"/>
      <c r="CP1175" s="5"/>
      <c r="CQ1175" s="5"/>
      <c r="CR1175" s="5"/>
      <c r="CS1175" s="5"/>
      <c r="CT1175" s="5"/>
      <c r="CU1175" s="5"/>
      <c r="CV1175" s="5"/>
      <c r="CW1175" s="5"/>
      <c r="CX1175" s="5"/>
      <c r="CY1175" s="5"/>
      <c r="CZ1175" s="5"/>
      <c r="DA1175" s="5"/>
      <c r="DB1175" s="5"/>
      <c r="DC1175" s="5"/>
      <c r="DD1175" s="5"/>
      <c r="DE1175" s="5"/>
      <c r="DF1175" s="5"/>
      <c r="DG1175" s="5"/>
      <c r="DH1175" s="5"/>
      <c r="DI1175" s="5"/>
      <c r="DJ1175" s="5"/>
      <c r="DK1175" s="5"/>
      <c r="DL1175" s="5"/>
      <c r="DM1175" s="5"/>
      <c r="DN1175" s="5"/>
      <c r="DO1175" s="5"/>
      <c r="DP1175" s="5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  <c r="GV1175" s="1"/>
      <c r="GW1175" s="1"/>
      <c r="GX1175" s="1"/>
      <c r="GY1175" s="1"/>
      <c r="GZ1175" s="1"/>
      <c r="HA1175" s="1"/>
      <c r="HB1175" s="1"/>
      <c r="HC1175" s="1"/>
      <c r="HD1175" s="1"/>
      <c r="HE1175" s="1"/>
      <c r="HF1175" s="1"/>
      <c r="HG1175" s="1"/>
      <c r="HH1175" s="1"/>
      <c r="HI1175" s="1"/>
      <c r="HJ1175" s="1"/>
      <c r="HK1175" s="1"/>
      <c r="HL1175" s="1"/>
      <c r="HM1175" s="1"/>
      <c r="HN1175" s="1"/>
      <c r="HO1175" s="1"/>
      <c r="HP1175" s="1"/>
      <c r="HQ1175" s="1"/>
      <c r="HR1175" s="1"/>
      <c r="HS1175" s="1"/>
      <c r="HT1175" s="1"/>
      <c r="HU1175" s="1"/>
      <c r="HV1175" s="1"/>
      <c r="HW1175" s="1"/>
      <c r="HX1175" s="1"/>
      <c r="HY1175" s="1"/>
      <c r="HZ1175" s="1"/>
      <c r="IA1175" s="1"/>
      <c r="IB1175" s="1"/>
      <c r="IC1175" s="1"/>
      <c r="ID1175" s="1"/>
      <c r="IE1175" s="1"/>
      <c r="IF1175" s="1"/>
      <c r="IG1175" s="1"/>
      <c r="IH1175" s="1"/>
      <c r="II1175" s="1"/>
      <c r="IJ1175" s="1"/>
      <c r="IK1175" s="1"/>
      <c r="IL1175" s="1"/>
      <c r="IM1175" s="1"/>
      <c r="IN1175" s="1"/>
      <c r="IO1175" s="1"/>
      <c r="IP1175" s="1"/>
      <c r="IQ1175" s="1"/>
      <c r="IR1175" s="1"/>
      <c r="IS1175" s="1"/>
      <c r="IT1175" s="1"/>
      <c r="IU1175" s="1"/>
      <c r="IV1175" s="1"/>
      <c r="IW1175" s="1"/>
      <c r="IX1175" s="1"/>
      <c r="IY1175" s="1"/>
      <c r="IZ1175" s="1"/>
      <c r="JA1175" s="1"/>
      <c r="JB1175" s="1"/>
      <c r="JC1175" s="1"/>
      <c r="JD1175" s="1"/>
    </row>
    <row r="1176" s="504" customFormat="true" ht="12.75" hidden="true" customHeight="true" outlineLevel="0" collapsed="false">
      <c r="A1176" s="5"/>
      <c r="B1176" s="813" t="n">
        <f aca="false">B1175+1</f>
        <v>961</v>
      </c>
      <c r="C1176" s="814" t="n">
        <f aca="false">C1175+D1176</f>
        <v>148668.019613108</v>
      </c>
      <c r="D1176" s="815" t="n">
        <f aca="false">E1176*$E$205*M1176</f>
        <v>230.835140910888</v>
      </c>
      <c r="E1176" s="601" t="n">
        <f aca="false">E1175+$C$204</f>
        <v>14.6394686016545</v>
      </c>
      <c r="F1176" s="816" t="n">
        <f aca="false">F1175+1</f>
        <v>961</v>
      </c>
      <c r="G1176" s="775" t="n">
        <f aca="false">C1176</f>
        <v>148668.019613108</v>
      </c>
      <c r="H1176" s="817" t="n">
        <f aca="false">1000*(E1176-E1175)</f>
        <v>9.99999999999979</v>
      </c>
      <c r="I1176" s="5"/>
      <c r="J1176" s="818" t="n">
        <f aca="false">1000*(E1176-$E$215)/(B1176-$B$215)</f>
        <v>11.6377417570985</v>
      </c>
      <c r="K1176" s="732" t="n">
        <f aca="false">AVERAGE($E$216:E1176)</f>
        <v>9.83156017293451</v>
      </c>
      <c r="L1176" s="819" t="n">
        <f aca="false">L1175+1</f>
        <v>961</v>
      </c>
      <c r="M1176" s="820" t="n">
        <f aca="false">IF(B1176&lt;$E$104,$E$105,$E$106)</f>
        <v>3</v>
      </c>
      <c r="N1176" s="821" t="n">
        <f aca="false">IF(B1176&lt;$E$104,$E$105,$E$111)</f>
        <v>2.5</v>
      </c>
      <c r="O1176" s="822" t="n">
        <f aca="false">E1176*$E$205*N1176</f>
        <v>192.36261742574</v>
      </c>
      <c r="P1176" s="823" t="n">
        <f aca="false">P1175+O1176</f>
        <v>123941.696944633</v>
      </c>
      <c r="Q1176" s="606" t="n">
        <f aca="false">Q1175+1</f>
        <v>961</v>
      </c>
      <c r="R1176" s="824" t="n">
        <f aca="false">R1175-1</f>
        <v>-961</v>
      </c>
      <c r="S1176" s="5"/>
      <c r="T1176" s="5"/>
      <c r="U1176" s="5"/>
      <c r="V1176" s="10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02"/>
      <c r="AU1176" s="502"/>
      <c r="AV1176" s="606"/>
      <c r="AW1176" s="502"/>
      <c r="AX1176" s="502"/>
      <c r="AY1176" s="502"/>
      <c r="AZ1176" s="502"/>
      <c r="BA1176" s="502"/>
      <c r="BB1176" s="502"/>
      <c r="BC1176" s="502"/>
      <c r="BD1176" s="502"/>
      <c r="BE1176" s="502"/>
      <c r="BF1176" s="502"/>
      <c r="BG1176" s="502"/>
      <c r="BH1176" s="502"/>
      <c r="BI1176" s="502"/>
      <c r="BJ1176" s="502"/>
      <c r="BK1176" s="502"/>
      <c r="BL1176" s="502"/>
      <c r="BM1176" s="502"/>
      <c r="BN1176" s="502"/>
      <c r="BO1176" s="502"/>
      <c r="BP1176" s="5"/>
      <c r="BQ1176" s="5"/>
      <c r="BR1176" s="5"/>
      <c r="BS1176" s="5"/>
      <c r="BT1176" s="5"/>
      <c r="BU1176" s="5"/>
      <c r="BV1176" s="5"/>
      <c r="BW1176" s="5"/>
      <c r="BX1176" s="5"/>
      <c r="BY1176" s="5"/>
      <c r="BZ1176" s="5"/>
      <c r="CA1176" s="5"/>
      <c r="CB1176" s="5"/>
      <c r="CC1176" s="5"/>
      <c r="CD1176" s="5"/>
      <c r="CE1176" s="5"/>
      <c r="CF1176" s="5"/>
      <c r="CG1176" s="5"/>
      <c r="CH1176" s="5"/>
      <c r="CI1176" s="5"/>
      <c r="CJ1176" s="5"/>
      <c r="CK1176" s="5"/>
      <c r="CL1176" s="5"/>
      <c r="CM1176" s="5"/>
      <c r="CN1176" s="5"/>
      <c r="CO1176" s="5"/>
      <c r="CP1176" s="5"/>
      <c r="CQ1176" s="5"/>
      <c r="CR1176" s="5"/>
      <c r="CS1176" s="5"/>
      <c r="CT1176" s="5"/>
      <c r="CU1176" s="5"/>
      <c r="CV1176" s="5"/>
      <c r="CW1176" s="5"/>
      <c r="CX1176" s="5"/>
      <c r="CY1176" s="5"/>
      <c r="CZ1176" s="5"/>
      <c r="DA1176" s="5"/>
      <c r="DB1176" s="5"/>
      <c r="DC1176" s="5"/>
      <c r="DD1176" s="5"/>
      <c r="DE1176" s="5"/>
      <c r="DF1176" s="5"/>
      <c r="DG1176" s="5"/>
      <c r="DH1176" s="5"/>
      <c r="DI1176" s="5"/>
      <c r="DJ1176" s="5"/>
      <c r="DK1176" s="5"/>
      <c r="DL1176" s="5"/>
      <c r="DM1176" s="5"/>
      <c r="DN1176" s="5"/>
      <c r="DO1176" s="5"/>
      <c r="DP1176" s="5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  <c r="GV1176" s="1"/>
      <c r="GW1176" s="1"/>
      <c r="GX1176" s="1"/>
      <c r="GY1176" s="1"/>
      <c r="GZ1176" s="1"/>
      <c r="HA1176" s="1"/>
      <c r="HB1176" s="1"/>
      <c r="HC1176" s="1"/>
      <c r="HD1176" s="1"/>
      <c r="HE1176" s="1"/>
      <c r="HF1176" s="1"/>
      <c r="HG1176" s="1"/>
      <c r="HH1176" s="1"/>
      <c r="HI1176" s="1"/>
      <c r="HJ1176" s="1"/>
      <c r="HK1176" s="1"/>
      <c r="HL1176" s="1"/>
      <c r="HM1176" s="1"/>
      <c r="HN1176" s="1"/>
      <c r="HO1176" s="1"/>
      <c r="HP1176" s="1"/>
      <c r="HQ1176" s="1"/>
      <c r="HR1176" s="1"/>
      <c r="HS1176" s="1"/>
      <c r="HT1176" s="1"/>
      <c r="HU1176" s="1"/>
      <c r="HV1176" s="1"/>
      <c r="HW1176" s="1"/>
      <c r="HX1176" s="1"/>
      <c r="HY1176" s="1"/>
      <c r="HZ1176" s="1"/>
      <c r="IA1176" s="1"/>
      <c r="IB1176" s="1"/>
      <c r="IC1176" s="1"/>
      <c r="ID1176" s="1"/>
      <c r="IE1176" s="1"/>
      <c r="IF1176" s="1"/>
      <c r="IG1176" s="1"/>
      <c r="IH1176" s="1"/>
      <c r="II1176" s="1"/>
      <c r="IJ1176" s="1"/>
      <c r="IK1176" s="1"/>
      <c r="IL1176" s="1"/>
      <c r="IM1176" s="1"/>
      <c r="IN1176" s="1"/>
      <c r="IO1176" s="1"/>
      <c r="IP1176" s="1"/>
      <c r="IQ1176" s="1"/>
      <c r="IR1176" s="1"/>
      <c r="IS1176" s="1"/>
      <c r="IT1176" s="1"/>
      <c r="IU1176" s="1"/>
      <c r="IV1176" s="1"/>
      <c r="IW1176" s="1"/>
      <c r="IX1176" s="1"/>
      <c r="IY1176" s="1"/>
      <c r="IZ1176" s="1"/>
      <c r="JA1176" s="1"/>
      <c r="JB1176" s="1"/>
      <c r="JC1176" s="1"/>
      <c r="JD1176" s="1"/>
    </row>
    <row r="1177" s="504" customFormat="true" ht="12.75" hidden="true" customHeight="true" outlineLevel="0" collapsed="false">
      <c r="A1177" s="5"/>
      <c r="B1177" s="813" t="n">
        <f aca="false">B1176+1</f>
        <v>962</v>
      </c>
      <c r="C1177" s="814" t="n">
        <f aca="false">C1176+D1177</f>
        <v>148899.012434019</v>
      </c>
      <c r="D1177" s="815" t="n">
        <f aca="false">E1177*$E$205*M1177</f>
        <v>230.992820910888</v>
      </c>
      <c r="E1177" s="601" t="n">
        <f aca="false">E1176+$C$204</f>
        <v>14.6494686016545</v>
      </c>
      <c r="F1177" s="816" t="n">
        <f aca="false">F1176+1</f>
        <v>962</v>
      </c>
      <c r="G1177" s="775" t="n">
        <f aca="false">C1177</f>
        <v>148899.012434019</v>
      </c>
      <c r="H1177" s="817" t="n">
        <f aca="false">1000*(E1177-E1176)</f>
        <v>9.99999999999979</v>
      </c>
      <c r="I1177" s="5"/>
      <c r="J1177" s="818" t="n">
        <f aca="false">1000*(E1177-$E$215)/(B1177-$B$215)</f>
        <v>11.6360393228395</v>
      </c>
      <c r="K1177" s="732" t="n">
        <f aca="false">AVERAGE($E$216:E1177)</f>
        <v>9.83656839375438</v>
      </c>
      <c r="L1177" s="819" t="n">
        <f aca="false">L1176+1</f>
        <v>962</v>
      </c>
      <c r="M1177" s="820" t="n">
        <f aca="false">IF(B1177&lt;$E$104,$E$105,$E$106)</f>
        <v>3</v>
      </c>
      <c r="N1177" s="821" t="n">
        <f aca="false">IF(B1177&lt;$E$104,$E$105,$E$111)</f>
        <v>2.5</v>
      </c>
      <c r="O1177" s="822" t="n">
        <f aca="false">E1177*$E$205*N1177</f>
        <v>192.49401742574</v>
      </c>
      <c r="P1177" s="823" t="n">
        <f aca="false">P1176+O1177</f>
        <v>124134.190962058</v>
      </c>
      <c r="Q1177" s="606" t="n">
        <f aca="false">Q1176+1</f>
        <v>962</v>
      </c>
      <c r="R1177" s="824" t="n">
        <f aca="false">R1176-1</f>
        <v>-962</v>
      </c>
      <c r="S1177" s="5"/>
      <c r="T1177" s="5"/>
      <c r="U1177" s="5"/>
      <c r="V1177" s="10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02"/>
      <c r="AU1177" s="502"/>
      <c r="AV1177" s="606"/>
      <c r="AW1177" s="502"/>
      <c r="AX1177" s="502"/>
      <c r="AY1177" s="502"/>
      <c r="AZ1177" s="502"/>
      <c r="BA1177" s="502"/>
      <c r="BB1177" s="502"/>
      <c r="BC1177" s="502"/>
      <c r="BD1177" s="502"/>
      <c r="BE1177" s="502"/>
      <c r="BF1177" s="502"/>
      <c r="BG1177" s="502"/>
      <c r="BH1177" s="502"/>
      <c r="BI1177" s="502"/>
      <c r="BJ1177" s="502"/>
      <c r="BK1177" s="502"/>
      <c r="BL1177" s="502"/>
      <c r="BM1177" s="502"/>
      <c r="BN1177" s="502"/>
      <c r="BO1177" s="502"/>
      <c r="BP1177" s="5"/>
      <c r="BQ1177" s="5"/>
      <c r="BR1177" s="5"/>
      <c r="BS1177" s="5"/>
      <c r="BT1177" s="5"/>
      <c r="BU1177" s="5"/>
      <c r="BV1177" s="5"/>
      <c r="BW1177" s="5"/>
      <c r="BX1177" s="5"/>
      <c r="BY1177" s="5"/>
      <c r="BZ1177" s="5"/>
      <c r="CA1177" s="5"/>
      <c r="CB1177" s="5"/>
      <c r="CC1177" s="5"/>
      <c r="CD1177" s="5"/>
      <c r="CE1177" s="5"/>
      <c r="CF1177" s="5"/>
      <c r="CG1177" s="5"/>
      <c r="CH1177" s="5"/>
      <c r="CI1177" s="5"/>
      <c r="CJ1177" s="5"/>
      <c r="CK1177" s="5"/>
      <c r="CL1177" s="5"/>
      <c r="CM1177" s="5"/>
      <c r="CN1177" s="5"/>
      <c r="CO1177" s="5"/>
      <c r="CP1177" s="5"/>
      <c r="CQ1177" s="5"/>
      <c r="CR1177" s="5"/>
      <c r="CS1177" s="5"/>
      <c r="CT1177" s="5"/>
      <c r="CU1177" s="5"/>
      <c r="CV1177" s="5"/>
      <c r="CW1177" s="5"/>
      <c r="CX1177" s="5"/>
      <c r="CY1177" s="5"/>
      <c r="CZ1177" s="5"/>
      <c r="DA1177" s="5"/>
      <c r="DB1177" s="5"/>
      <c r="DC1177" s="5"/>
      <c r="DD1177" s="5"/>
      <c r="DE1177" s="5"/>
      <c r="DF1177" s="5"/>
      <c r="DG1177" s="5"/>
      <c r="DH1177" s="5"/>
      <c r="DI1177" s="5"/>
      <c r="DJ1177" s="5"/>
      <c r="DK1177" s="5"/>
      <c r="DL1177" s="5"/>
      <c r="DM1177" s="5"/>
      <c r="DN1177" s="5"/>
      <c r="DO1177" s="5"/>
      <c r="DP1177" s="5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  <c r="GV1177" s="1"/>
      <c r="GW1177" s="1"/>
      <c r="GX1177" s="1"/>
      <c r="GY1177" s="1"/>
      <c r="GZ1177" s="1"/>
      <c r="HA1177" s="1"/>
      <c r="HB1177" s="1"/>
      <c r="HC1177" s="1"/>
      <c r="HD1177" s="1"/>
      <c r="HE1177" s="1"/>
      <c r="HF1177" s="1"/>
      <c r="HG1177" s="1"/>
      <c r="HH1177" s="1"/>
      <c r="HI1177" s="1"/>
      <c r="HJ1177" s="1"/>
      <c r="HK1177" s="1"/>
      <c r="HL1177" s="1"/>
      <c r="HM1177" s="1"/>
      <c r="HN1177" s="1"/>
      <c r="HO1177" s="1"/>
      <c r="HP1177" s="1"/>
      <c r="HQ1177" s="1"/>
      <c r="HR1177" s="1"/>
      <c r="HS1177" s="1"/>
      <c r="HT1177" s="1"/>
      <c r="HU1177" s="1"/>
      <c r="HV1177" s="1"/>
      <c r="HW1177" s="1"/>
      <c r="HX1177" s="1"/>
      <c r="HY1177" s="1"/>
      <c r="HZ1177" s="1"/>
      <c r="IA1177" s="1"/>
      <c r="IB1177" s="1"/>
      <c r="IC1177" s="1"/>
      <c r="ID1177" s="1"/>
      <c r="IE1177" s="1"/>
      <c r="IF1177" s="1"/>
      <c r="IG1177" s="1"/>
      <c r="IH1177" s="1"/>
      <c r="II1177" s="1"/>
      <c r="IJ1177" s="1"/>
      <c r="IK1177" s="1"/>
      <c r="IL1177" s="1"/>
      <c r="IM1177" s="1"/>
      <c r="IN1177" s="1"/>
      <c r="IO1177" s="1"/>
      <c r="IP1177" s="1"/>
      <c r="IQ1177" s="1"/>
      <c r="IR1177" s="1"/>
      <c r="IS1177" s="1"/>
      <c r="IT1177" s="1"/>
      <c r="IU1177" s="1"/>
      <c r="IV1177" s="1"/>
      <c r="IW1177" s="1"/>
      <c r="IX1177" s="1"/>
      <c r="IY1177" s="1"/>
      <c r="IZ1177" s="1"/>
      <c r="JA1177" s="1"/>
      <c r="JB1177" s="1"/>
      <c r="JC1177" s="1"/>
      <c r="JD1177" s="1"/>
    </row>
    <row r="1178" s="504" customFormat="true" ht="12.75" hidden="true" customHeight="true" outlineLevel="0" collapsed="false">
      <c r="A1178" s="5"/>
      <c r="B1178" s="813" t="n">
        <f aca="false">B1177+1</f>
        <v>963</v>
      </c>
      <c r="C1178" s="814" t="n">
        <f aca="false">C1177+D1178</f>
        <v>149130.162934929</v>
      </c>
      <c r="D1178" s="815" t="n">
        <f aca="false">E1178*$E$205*M1178</f>
        <v>231.150500910888</v>
      </c>
      <c r="E1178" s="601" t="n">
        <f aca="false">E1177+$C$204</f>
        <v>14.6594686016545</v>
      </c>
      <c r="F1178" s="816" t="n">
        <f aca="false">F1177+1</f>
        <v>963</v>
      </c>
      <c r="G1178" s="775" t="n">
        <f aca="false">C1178</f>
        <v>149130.162934929</v>
      </c>
      <c r="H1178" s="817" t="n">
        <f aca="false">1000*(E1178-E1177)</f>
        <v>9.99999999999979</v>
      </c>
      <c r="I1178" s="5"/>
      <c r="J1178" s="818" t="n">
        <f aca="false">1000*(E1178-$E$215)/(B1178-$B$215)</f>
        <v>11.6343404242696</v>
      </c>
      <c r="K1178" s="732" t="n">
        <f aca="false">AVERAGE($E$216:E1178)</f>
        <v>9.8415765975009</v>
      </c>
      <c r="L1178" s="819" t="n">
        <f aca="false">L1177+1</f>
        <v>963</v>
      </c>
      <c r="M1178" s="820" t="n">
        <f aca="false">IF(B1178&lt;$E$104,$E$105,$E$106)</f>
        <v>3</v>
      </c>
      <c r="N1178" s="821" t="n">
        <f aca="false">IF(B1178&lt;$E$104,$E$105,$E$111)</f>
        <v>2.5</v>
      </c>
      <c r="O1178" s="822" t="n">
        <f aca="false">E1178*$E$205*N1178</f>
        <v>192.62541742574</v>
      </c>
      <c r="P1178" s="823" t="n">
        <f aca="false">P1177+O1178</f>
        <v>124326.816379484</v>
      </c>
      <c r="Q1178" s="606" t="n">
        <f aca="false">Q1177+1</f>
        <v>963</v>
      </c>
      <c r="R1178" s="824" t="n">
        <f aca="false">R1177-1</f>
        <v>-963</v>
      </c>
      <c r="S1178" s="5"/>
      <c r="T1178" s="5"/>
      <c r="U1178" s="5"/>
      <c r="V1178" s="10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02"/>
      <c r="AU1178" s="502"/>
      <c r="AV1178" s="606"/>
      <c r="AW1178" s="502"/>
      <c r="AX1178" s="502"/>
      <c r="AY1178" s="502"/>
      <c r="AZ1178" s="502"/>
      <c r="BA1178" s="502"/>
      <c r="BB1178" s="502"/>
      <c r="BC1178" s="502"/>
      <c r="BD1178" s="502"/>
      <c r="BE1178" s="502"/>
      <c r="BF1178" s="502"/>
      <c r="BG1178" s="502"/>
      <c r="BH1178" s="502"/>
      <c r="BI1178" s="502"/>
      <c r="BJ1178" s="502"/>
      <c r="BK1178" s="502"/>
      <c r="BL1178" s="502"/>
      <c r="BM1178" s="502"/>
      <c r="BN1178" s="502"/>
      <c r="BO1178" s="502"/>
      <c r="BP1178" s="5"/>
      <c r="BQ1178" s="5"/>
      <c r="BR1178" s="5"/>
      <c r="BS1178" s="5"/>
      <c r="BT1178" s="5"/>
      <c r="BU1178" s="5"/>
      <c r="BV1178" s="5"/>
      <c r="BW1178" s="5"/>
      <c r="BX1178" s="5"/>
      <c r="BY1178" s="5"/>
      <c r="BZ1178" s="5"/>
      <c r="CA1178" s="5"/>
      <c r="CB1178" s="5"/>
      <c r="CC1178" s="5"/>
      <c r="CD1178" s="5"/>
      <c r="CE1178" s="5"/>
      <c r="CF1178" s="5"/>
      <c r="CG1178" s="5"/>
      <c r="CH1178" s="5"/>
      <c r="CI1178" s="5"/>
      <c r="CJ1178" s="5"/>
      <c r="CK1178" s="5"/>
      <c r="CL1178" s="5"/>
      <c r="CM1178" s="5"/>
      <c r="CN1178" s="5"/>
      <c r="CO1178" s="5"/>
      <c r="CP1178" s="5"/>
      <c r="CQ1178" s="5"/>
      <c r="CR1178" s="5"/>
      <c r="CS1178" s="5"/>
      <c r="CT1178" s="5"/>
      <c r="CU1178" s="5"/>
      <c r="CV1178" s="5"/>
      <c r="CW1178" s="5"/>
      <c r="CX1178" s="5"/>
      <c r="CY1178" s="5"/>
      <c r="CZ1178" s="5"/>
      <c r="DA1178" s="5"/>
      <c r="DB1178" s="5"/>
      <c r="DC1178" s="5"/>
      <c r="DD1178" s="5"/>
      <c r="DE1178" s="5"/>
      <c r="DF1178" s="5"/>
      <c r="DG1178" s="5"/>
      <c r="DH1178" s="5"/>
      <c r="DI1178" s="5"/>
      <c r="DJ1178" s="5"/>
      <c r="DK1178" s="5"/>
      <c r="DL1178" s="5"/>
      <c r="DM1178" s="5"/>
      <c r="DN1178" s="5"/>
      <c r="DO1178" s="5"/>
      <c r="DP1178" s="5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  <c r="GV1178" s="1"/>
      <c r="GW1178" s="1"/>
      <c r="GX1178" s="1"/>
      <c r="GY1178" s="1"/>
      <c r="GZ1178" s="1"/>
      <c r="HA1178" s="1"/>
      <c r="HB1178" s="1"/>
      <c r="HC1178" s="1"/>
      <c r="HD1178" s="1"/>
      <c r="HE1178" s="1"/>
      <c r="HF1178" s="1"/>
      <c r="HG1178" s="1"/>
      <c r="HH1178" s="1"/>
      <c r="HI1178" s="1"/>
      <c r="HJ1178" s="1"/>
      <c r="HK1178" s="1"/>
      <c r="HL1178" s="1"/>
      <c r="HM1178" s="1"/>
      <c r="HN1178" s="1"/>
      <c r="HO1178" s="1"/>
      <c r="HP1178" s="1"/>
      <c r="HQ1178" s="1"/>
      <c r="HR1178" s="1"/>
      <c r="HS1178" s="1"/>
      <c r="HT1178" s="1"/>
      <c r="HU1178" s="1"/>
      <c r="HV1178" s="1"/>
      <c r="HW1178" s="1"/>
      <c r="HX1178" s="1"/>
      <c r="HY1178" s="1"/>
      <c r="HZ1178" s="1"/>
      <c r="IA1178" s="1"/>
      <c r="IB1178" s="1"/>
      <c r="IC1178" s="1"/>
      <c r="ID1178" s="1"/>
      <c r="IE1178" s="1"/>
      <c r="IF1178" s="1"/>
      <c r="IG1178" s="1"/>
      <c r="IH1178" s="1"/>
      <c r="II1178" s="1"/>
      <c r="IJ1178" s="1"/>
      <c r="IK1178" s="1"/>
      <c r="IL1178" s="1"/>
      <c r="IM1178" s="1"/>
      <c r="IN1178" s="1"/>
      <c r="IO1178" s="1"/>
      <c r="IP1178" s="1"/>
      <c r="IQ1178" s="1"/>
      <c r="IR1178" s="1"/>
      <c r="IS1178" s="1"/>
      <c r="IT1178" s="1"/>
      <c r="IU1178" s="1"/>
      <c r="IV1178" s="1"/>
      <c r="IW1178" s="1"/>
      <c r="IX1178" s="1"/>
      <c r="IY1178" s="1"/>
      <c r="IZ1178" s="1"/>
      <c r="JA1178" s="1"/>
      <c r="JB1178" s="1"/>
      <c r="JC1178" s="1"/>
      <c r="JD1178" s="1"/>
    </row>
    <row r="1179" s="504" customFormat="true" ht="12.75" hidden="true" customHeight="true" outlineLevel="0" collapsed="false">
      <c r="A1179" s="5"/>
      <c r="B1179" s="813" t="n">
        <f aca="false">B1178+1</f>
        <v>964</v>
      </c>
      <c r="C1179" s="814" t="n">
        <f aca="false">C1178+D1179</f>
        <v>149361.47111584</v>
      </c>
      <c r="D1179" s="815" t="n">
        <f aca="false">E1179*$E$205*M1179</f>
        <v>231.308180910888</v>
      </c>
      <c r="E1179" s="601" t="n">
        <f aca="false">E1178+$C$204</f>
        <v>14.6694686016545</v>
      </c>
      <c r="F1179" s="816" t="n">
        <f aca="false">F1178+1</f>
        <v>964</v>
      </c>
      <c r="G1179" s="775" t="n">
        <f aca="false">C1179</f>
        <v>149361.47111584</v>
      </c>
      <c r="H1179" s="817" t="n">
        <f aca="false">1000*(E1179-E1178)</f>
        <v>9.99999999999979</v>
      </c>
      <c r="I1179" s="5"/>
      <c r="J1179" s="818" t="n">
        <f aca="false">1000*(E1179-$E$215)/(B1179-$B$215)</f>
        <v>11.6326450503855</v>
      </c>
      <c r="K1179" s="732" t="n">
        <f aca="false">AVERAGE($E$216:E1179)</f>
        <v>9.8465847842272</v>
      </c>
      <c r="L1179" s="819" t="n">
        <f aca="false">L1178+1</f>
        <v>964</v>
      </c>
      <c r="M1179" s="820" t="n">
        <f aca="false">IF(B1179&lt;$E$104,$E$105,$E$106)</f>
        <v>3</v>
      </c>
      <c r="N1179" s="821" t="n">
        <f aca="false">IF(B1179&lt;$E$104,$E$105,$E$111)</f>
        <v>2.5</v>
      </c>
      <c r="O1179" s="822" t="n">
        <f aca="false">E1179*$E$205*N1179</f>
        <v>192.75681742574</v>
      </c>
      <c r="P1179" s="823" t="n">
        <f aca="false">P1178+O1179</f>
        <v>124519.57319691</v>
      </c>
      <c r="Q1179" s="606" t="n">
        <f aca="false">Q1178+1</f>
        <v>964</v>
      </c>
      <c r="R1179" s="824" t="n">
        <f aca="false">R1178-1</f>
        <v>-964</v>
      </c>
      <c r="S1179" s="5"/>
      <c r="T1179" s="5"/>
      <c r="U1179" s="5"/>
      <c r="V1179" s="10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02"/>
      <c r="AU1179" s="502"/>
      <c r="AV1179" s="606"/>
      <c r="AW1179" s="502"/>
      <c r="AX1179" s="502"/>
      <c r="AY1179" s="502"/>
      <c r="AZ1179" s="502"/>
      <c r="BA1179" s="502"/>
      <c r="BB1179" s="502"/>
      <c r="BC1179" s="502"/>
      <c r="BD1179" s="502"/>
      <c r="BE1179" s="502"/>
      <c r="BF1179" s="502"/>
      <c r="BG1179" s="502"/>
      <c r="BH1179" s="502"/>
      <c r="BI1179" s="502"/>
      <c r="BJ1179" s="502"/>
      <c r="BK1179" s="502"/>
      <c r="BL1179" s="502"/>
      <c r="BM1179" s="502"/>
      <c r="BN1179" s="502"/>
      <c r="BO1179" s="502"/>
      <c r="BP1179" s="5"/>
      <c r="BQ1179" s="5"/>
      <c r="BR1179" s="5"/>
      <c r="BS1179" s="5"/>
      <c r="BT1179" s="5"/>
      <c r="BU1179" s="5"/>
      <c r="BV1179" s="5"/>
      <c r="BW1179" s="5"/>
      <c r="BX1179" s="5"/>
      <c r="BY1179" s="5"/>
      <c r="BZ1179" s="5"/>
      <c r="CA1179" s="5"/>
      <c r="CB1179" s="5"/>
      <c r="CC1179" s="5"/>
      <c r="CD1179" s="5"/>
      <c r="CE1179" s="5"/>
      <c r="CF1179" s="5"/>
      <c r="CG1179" s="5"/>
      <c r="CH1179" s="5"/>
      <c r="CI1179" s="5"/>
      <c r="CJ1179" s="5"/>
      <c r="CK1179" s="5"/>
      <c r="CL1179" s="5"/>
      <c r="CM1179" s="5"/>
      <c r="CN1179" s="5"/>
      <c r="CO1179" s="5"/>
      <c r="CP1179" s="5"/>
      <c r="CQ1179" s="5"/>
      <c r="CR1179" s="5"/>
      <c r="CS1179" s="5"/>
      <c r="CT1179" s="5"/>
      <c r="CU1179" s="5"/>
      <c r="CV1179" s="5"/>
      <c r="CW1179" s="5"/>
      <c r="CX1179" s="5"/>
      <c r="CY1179" s="5"/>
      <c r="CZ1179" s="5"/>
      <c r="DA1179" s="5"/>
      <c r="DB1179" s="5"/>
      <c r="DC1179" s="5"/>
      <c r="DD1179" s="5"/>
      <c r="DE1179" s="5"/>
      <c r="DF1179" s="5"/>
      <c r="DG1179" s="5"/>
      <c r="DH1179" s="5"/>
      <c r="DI1179" s="5"/>
      <c r="DJ1179" s="5"/>
      <c r="DK1179" s="5"/>
      <c r="DL1179" s="5"/>
      <c r="DM1179" s="5"/>
      <c r="DN1179" s="5"/>
      <c r="DO1179" s="5"/>
      <c r="DP1179" s="5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  <c r="GV1179" s="1"/>
      <c r="GW1179" s="1"/>
      <c r="GX1179" s="1"/>
      <c r="GY1179" s="1"/>
      <c r="GZ1179" s="1"/>
      <c r="HA1179" s="1"/>
      <c r="HB1179" s="1"/>
      <c r="HC1179" s="1"/>
      <c r="HD1179" s="1"/>
      <c r="HE1179" s="1"/>
      <c r="HF1179" s="1"/>
      <c r="HG1179" s="1"/>
      <c r="HH1179" s="1"/>
      <c r="HI1179" s="1"/>
      <c r="HJ1179" s="1"/>
      <c r="HK1179" s="1"/>
      <c r="HL1179" s="1"/>
      <c r="HM1179" s="1"/>
      <c r="HN1179" s="1"/>
      <c r="HO1179" s="1"/>
      <c r="HP1179" s="1"/>
      <c r="HQ1179" s="1"/>
      <c r="HR1179" s="1"/>
      <c r="HS1179" s="1"/>
      <c r="HT1179" s="1"/>
      <c r="HU1179" s="1"/>
      <c r="HV1179" s="1"/>
      <c r="HW1179" s="1"/>
      <c r="HX1179" s="1"/>
      <c r="HY1179" s="1"/>
      <c r="HZ1179" s="1"/>
      <c r="IA1179" s="1"/>
      <c r="IB1179" s="1"/>
      <c r="IC1179" s="1"/>
      <c r="ID1179" s="1"/>
      <c r="IE1179" s="1"/>
      <c r="IF1179" s="1"/>
      <c r="IG1179" s="1"/>
      <c r="IH1179" s="1"/>
      <c r="II1179" s="1"/>
      <c r="IJ1179" s="1"/>
      <c r="IK1179" s="1"/>
      <c r="IL1179" s="1"/>
      <c r="IM1179" s="1"/>
      <c r="IN1179" s="1"/>
      <c r="IO1179" s="1"/>
      <c r="IP1179" s="1"/>
      <c r="IQ1179" s="1"/>
      <c r="IR1179" s="1"/>
      <c r="IS1179" s="1"/>
      <c r="IT1179" s="1"/>
      <c r="IU1179" s="1"/>
      <c r="IV1179" s="1"/>
      <c r="IW1179" s="1"/>
      <c r="IX1179" s="1"/>
      <c r="IY1179" s="1"/>
      <c r="IZ1179" s="1"/>
      <c r="JA1179" s="1"/>
      <c r="JB1179" s="1"/>
      <c r="JC1179" s="1"/>
      <c r="JD1179" s="1"/>
    </row>
    <row r="1180" s="504" customFormat="true" ht="12.75" hidden="true" customHeight="true" outlineLevel="0" collapsed="false">
      <c r="A1180" s="5"/>
      <c r="B1180" s="813" t="n">
        <f aca="false">B1179+1</f>
        <v>965</v>
      </c>
      <c r="C1180" s="814" t="n">
        <f aca="false">C1179+D1180</f>
        <v>149592.936976751</v>
      </c>
      <c r="D1180" s="815" t="n">
        <f aca="false">E1180*$E$205*M1180</f>
        <v>231.465860910888</v>
      </c>
      <c r="E1180" s="601" t="n">
        <f aca="false">E1179+$C$204</f>
        <v>14.6794686016545</v>
      </c>
      <c r="F1180" s="816" t="n">
        <f aca="false">F1179+1</f>
        <v>965</v>
      </c>
      <c r="G1180" s="775" t="n">
        <f aca="false">C1180</f>
        <v>149592.936976751</v>
      </c>
      <c r="H1180" s="817" t="n">
        <f aca="false">1000*(E1180-E1179)</f>
        <v>9.99999999999979</v>
      </c>
      <c r="I1180" s="5"/>
      <c r="J1180" s="818" t="n">
        <f aca="false">1000*(E1180-$E$215)/(B1180-$B$215)</f>
        <v>11.6309531902297</v>
      </c>
      <c r="K1180" s="732" t="n">
        <f aca="false">AVERAGE($E$216:E1180)</f>
        <v>9.8515929539862</v>
      </c>
      <c r="L1180" s="819" t="n">
        <f aca="false">L1179+1</f>
        <v>965</v>
      </c>
      <c r="M1180" s="820" t="n">
        <f aca="false">IF(B1180&lt;$E$104,$E$105,$E$106)</f>
        <v>3</v>
      </c>
      <c r="N1180" s="821" t="n">
        <f aca="false">IF(B1180&lt;$E$104,$E$105,$E$111)</f>
        <v>2.5</v>
      </c>
      <c r="O1180" s="822" t="n">
        <f aca="false">E1180*$E$205*N1180</f>
        <v>192.88821742574</v>
      </c>
      <c r="P1180" s="823" t="n">
        <f aca="false">P1179+O1180</f>
        <v>124712.461414336</v>
      </c>
      <c r="Q1180" s="606" t="n">
        <f aca="false">Q1179+1</f>
        <v>965</v>
      </c>
      <c r="R1180" s="824" t="n">
        <f aca="false">R1179-1</f>
        <v>-965</v>
      </c>
      <c r="S1180" s="5"/>
      <c r="T1180" s="5"/>
      <c r="U1180" s="5"/>
      <c r="V1180" s="10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02"/>
      <c r="AU1180" s="502"/>
      <c r="AV1180" s="606"/>
      <c r="AW1180" s="502"/>
      <c r="AX1180" s="502"/>
      <c r="AY1180" s="502"/>
      <c r="AZ1180" s="502"/>
      <c r="BA1180" s="502"/>
      <c r="BB1180" s="502"/>
      <c r="BC1180" s="502"/>
      <c r="BD1180" s="502"/>
      <c r="BE1180" s="502"/>
      <c r="BF1180" s="502"/>
      <c r="BG1180" s="502"/>
      <c r="BH1180" s="502"/>
      <c r="BI1180" s="502"/>
      <c r="BJ1180" s="502"/>
      <c r="BK1180" s="502"/>
      <c r="BL1180" s="502"/>
      <c r="BM1180" s="502"/>
      <c r="BN1180" s="502"/>
      <c r="BO1180" s="502"/>
      <c r="BP1180" s="5"/>
      <c r="BQ1180" s="5"/>
      <c r="BR1180" s="5"/>
      <c r="BS1180" s="5"/>
      <c r="BT1180" s="5"/>
      <c r="BU1180" s="5"/>
      <c r="BV1180" s="5"/>
      <c r="BW1180" s="5"/>
      <c r="BX1180" s="5"/>
      <c r="BY1180" s="5"/>
      <c r="BZ1180" s="5"/>
      <c r="CA1180" s="5"/>
      <c r="CB1180" s="5"/>
      <c r="CC1180" s="5"/>
      <c r="CD1180" s="5"/>
      <c r="CE1180" s="5"/>
      <c r="CF1180" s="5"/>
      <c r="CG1180" s="5"/>
      <c r="CH1180" s="5"/>
      <c r="CI1180" s="5"/>
      <c r="CJ1180" s="5"/>
      <c r="CK1180" s="5"/>
      <c r="CL1180" s="5"/>
      <c r="CM1180" s="5"/>
      <c r="CN1180" s="5"/>
      <c r="CO1180" s="5"/>
      <c r="CP1180" s="5"/>
      <c r="CQ1180" s="5"/>
      <c r="CR1180" s="5"/>
      <c r="CS1180" s="5"/>
      <c r="CT1180" s="5"/>
      <c r="CU1180" s="5"/>
      <c r="CV1180" s="5"/>
      <c r="CW1180" s="5"/>
      <c r="CX1180" s="5"/>
      <c r="CY1180" s="5"/>
      <c r="CZ1180" s="5"/>
      <c r="DA1180" s="5"/>
      <c r="DB1180" s="5"/>
      <c r="DC1180" s="5"/>
      <c r="DD1180" s="5"/>
      <c r="DE1180" s="5"/>
      <c r="DF1180" s="5"/>
      <c r="DG1180" s="5"/>
      <c r="DH1180" s="5"/>
      <c r="DI1180" s="5"/>
      <c r="DJ1180" s="5"/>
      <c r="DK1180" s="5"/>
      <c r="DL1180" s="5"/>
      <c r="DM1180" s="5"/>
      <c r="DN1180" s="5"/>
      <c r="DO1180" s="5"/>
      <c r="DP1180" s="5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  <c r="GV1180" s="1"/>
      <c r="GW1180" s="1"/>
      <c r="GX1180" s="1"/>
      <c r="GY1180" s="1"/>
      <c r="GZ1180" s="1"/>
      <c r="HA1180" s="1"/>
      <c r="HB1180" s="1"/>
      <c r="HC1180" s="1"/>
      <c r="HD1180" s="1"/>
      <c r="HE1180" s="1"/>
      <c r="HF1180" s="1"/>
      <c r="HG1180" s="1"/>
      <c r="HH1180" s="1"/>
      <c r="HI1180" s="1"/>
      <c r="HJ1180" s="1"/>
      <c r="HK1180" s="1"/>
      <c r="HL1180" s="1"/>
      <c r="HM1180" s="1"/>
      <c r="HN1180" s="1"/>
      <c r="HO1180" s="1"/>
      <c r="HP1180" s="1"/>
      <c r="HQ1180" s="1"/>
      <c r="HR1180" s="1"/>
      <c r="HS1180" s="1"/>
      <c r="HT1180" s="1"/>
      <c r="HU1180" s="1"/>
      <c r="HV1180" s="1"/>
      <c r="HW1180" s="1"/>
      <c r="HX1180" s="1"/>
      <c r="HY1180" s="1"/>
      <c r="HZ1180" s="1"/>
      <c r="IA1180" s="1"/>
      <c r="IB1180" s="1"/>
      <c r="IC1180" s="1"/>
      <c r="ID1180" s="1"/>
      <c r="IE1180" s="1"/>
      <c r="IF1180" s="1"/>
      <c r="IG1180" s="1"/>
      <c r="IH1180" s="1"/>
      <c r="II1180" s="1"/>
      <c r="IJ1180" s="1"/>
      <c r="IK1180" s="1"/>
      <c r="IL1180" s="1"/>
      <c r="IM1180" s="1"/>
      <c r="IN1180" s="1"/>
      <c r="IO1180" s="1"/>
      <c r="IP1180" s="1"/>
      <c r="IQ1180" s="1"/>
      <c r="IR1180" s="1"/>
      <c r="IS1180" s="1"/>
      <c r="IT1180" s="1"/>
      <c r="IU1180" s="1"/>
      <c r="IV1180" s="1"/>
      <c r="IW1180" s="1"/>
      <c r="IX1180" s="1"/>
      <c r="IY1180" s="1"/>
      <c r="IZ1180" s="1"/>
      <c r="JA1180" s="1"/>
      <c r="JB1180" s="1"/>
      <c r="JC1180" s="1"/>
      <c r="JD1180" s="1"/>
    </row>
    <row r="1181" s="504" customFormat="true" ht="12.75" hidden="true" customHeight="true" outlineLevel="0" collapsed="false">
      <c r="A1181" s="5"/>
      <c r="B1181" s="813" t="n">
        <f aca="false">B1180+1</f>
        <v>966</v>
      </c>
      <c r="C1181" s="814" t="n">
        <f aca="false">C1180+D1181</f>
        <v>149824.560517662</v>
      </c>
      <c r="D1181" s="815" t="n">
        <f aca="false">E1181*$E$205*M1181</f>
        <v>231.623540910888</v>
      </c>
      <c r="E1181" s="601" t="n">
        <f aca="false">E1180+$C$204</f>
        <v>14.6894686016545</v>
      </c>
      <c r="F1181" s="816" t="n">
        <f aca="false">F1180+1</f>
        <v>966</v>
      </c>
      <c r="G1181" s="775" t="n">
        <f aca="false">C1181</f>
        <v>149824.560517662</v>
      </c>
      <c r="H1181" s="817" t="n">
        <f aca="false">1000*(E1181-E1180)</f>
        <v>9.99999999999979</v>
      </c>
      <c r="I1181" s="5"/>
      <c r="J1181" s="818" t="n">
        <f aca="false">1000*(E1181-$E$215)/(B1181-$B$215)</f>
        <v>11.6292648328899</v>
      </c>
      <c r="K1181" s="732" t="n">
        <f aca="false">AVERAGE($E$216:E1181)</f>
        <v>9.85660110683057</v>
      </c>
      <c r="L1181" s="819" t="n">
        <f aca="false">L1180+1</f>
        <v>966</v>
      </c>
      <c r="M1181" s="820" t="n">
        <f aca="false">IF(B1181&lt;$E$104,$E$105,$E$106)</f>
        <v>3</v>
      </c>
      <c r="N1181" s="821" t="n">
        <f aca="false">IF(B1181&lt;$E$104,$E$105,$E$111)</f>
        <v>2.5</v>
      </c>
      <c r="O1181" s="822" t="n">
        <f aca="false">E1181*$E$205*N1181</f>
        <v>193.01961742574</v>
      </c>
      <c r="P1181" s="823" t="n">
        <f aca="false">P1180+O1181</f>
        <v>124905.481031761</v>
      </c>
      <c r="Q1181" s="606" t="n">
        <f aca="false">Q1180+1</f>
        <v>966</v>
      </c>
      <c r="R1181" s="824" t="n">
        <f aca="false">R1180-1</f>
        <v>-966</v>
      </c>
      <c r="S1181" s="5"/>
      <c r="T1181" s="5"/>
      <c r="U1181" s="5"/>
      <c r="V1181" s="10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02"/>
      <c r="AU1181" s="502"/>
      <c r="AV1181" s="606"/>
      <c r="AW1181" s="502"/>
      <c r="AX1181" s="502"/>
      <c r="AY1181" s="502"/>
      <c r="AZ1181" s="502"/>
      <c r="BA1181" s="502"/>
      <c r="BB1181" s="502"/>
      <c r="BC1181" s="502"/>
      <c r="BD1181" s="502"/>
      <c r="BE1181" s="502"/>
      <c r="BF1181" s="502"/>
      <c r="BG1181" s="502"/>
      <c r="BH1181" s="502"/>
      <c r="BI1181" s="502"/>
      <c r="BJ1181" s="502"/>
      <c r="BK1181" s="502"/>
      <c r="BL1181" s="502"/>
      <c r="BM1181" s="502"/>
      <c r="BN1181" s="502"/>
      <c r="BO1181" s="502"/>
      <c r="BP1181" s="5"/>
      <c r="BQ1181" s="5"/>
      <c r="BR1181" s="5"/>
      <c r="BS1181" s="5"/>
      <c r="BT1181" s="5"/>
      <c r="BU1181" s="5"/>
      <c r="BV1181" s="5"/>
      <c r="BW1181" s="5"/>
      <c r="BX1181" s="5"/>
      <c r="BY1181" s="5"/>
      <c r="BZ1181" s="5"/>
      <c r="CA1181" s="5"/>
      <c r="CB1181" s="5"/>
      <c r="CC1181" s="5"/>
      <c r="CD1181" s="5"/>
      <c r="CE1181" s="5"/>
      <c r="CF1181" s="5"/>
      <c r="CG1181" s="5"/>
      <c r="CH1181" s="5"/>
      <c r="CI1181" s="5"/>
      <c r="CJ1181" s="5"/>
      <c r="CK1181" s="5"/>
      <c r="CL1181" s="5"/>
      <c r="CM1181" s="5"/>
      <c r="CN1181" s="5"/>
      <c r="CO1181" s="5"/>
      <c r="CP1181" s="5"/>
      <c r="CQ1181" s="5"/>
      <c r="CR1181" s="5"/>
      <c r="CS1181" s="5"/>
      <c r="CT1181" s="5"/>
      <c r="CU1181" s="5"/>
      <c r="CV1181" s="5"/>
      <c r="CW1181" s="5"/>
      <c r="CX1181" s="5"/>
      <c r="CY1181" s="5"/>
      <c r="CZ1181" s="5"/>
      <c r="DA1181" s="5"/>
      <c r="DB1181" s="5"/>
      <c r="DC1181" s="5"/>
      <c r="DD1181" s="5"/>
      <c r="DE1181" s="5"/>
      <c r="DF1181" s="5"/>
      <c r="DG1181" s="5"/>
      <c r="DH1181" s="5"/>
      <c r="DI1181" s="5"/>
      <c r="DJ1181" s="5"/>
      <c r="DK1181" s="5"/>
      <c r="DL1181" s="5"/>
      <c r="DM1181" s="5"/>
      <c r="DN1181" s="5"/>
      <c r="DO1181" s="5"/>
      <c r="DP1181" s="5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  <c r="GV1181" s="1"/>
      <c r="GW1181" s="1"/>
      <c r="GX1181" s="1"/>
      <c r="GY1181" s="1"/>
      <c r="GZ1181" s="1"/>
      <c r="HA1181" s="1"/>
      <c r="HB1181" s="1"/>
      <c r="HC1181" s="1"/>
      <c r="HD1181" s="1"/>
      <c r="HE1181" s="1"/>
      <c r="HF1181" s="1"/>
      <c r="HG1181" s="1"/>
      <c r="HH1181" s="1"/>
      <c r="HI1181" s="1"/>
      <c r="HJ1181" s="1"/>
      <c r="HK1181" s="1"/>
      <c r="HL1181" s="1"/>
      <c r="HM1181" s="1"/>
      <c r="HN1181" s="1"/>
      <c r="HO1181" s="1"/>
      <c r="HP1181" s="1"/>
      <c r="HQ1181" s="1"/>
      <c r="HR1181" s="1"/>
      <c r="HS1181" s="1"/>
      <c r="HT1181" s="1"/>
      <c r="HU1181" s="1"/>
      <c r="HV1181" s="1"/>
      <c r="HW1181" s="1"/>
      <c r="HX1181" s="1"/>
      <c r="HY1181" s="1"/>
      <c r="HZ1181" s="1"/>
      <c r="IA1181" s="1"/>
      <c r="IB1181" s="1"/>
      <c r="IC1181" s="1"/>
      <c r="ID1181" s="1"/>
      <c r="IE1181" s="1"/>
      <c r="IF1181" s="1"/>
      <c r="IG1181" s="1"/>
      <c r="IH1181" s="1"/>
      <c r="II1181" s="1"/>
      <c r="IJ1181" s="1"/>
      <c r="IK1181" s="1"/>
      <c r="IL1181" s="1"/>
      <c r="IM1181" s="1"/>
      <c r="IN1181" s="1"/>
      <c r="IO1181" s="1"/>
      <c r="IP1181" s="1"/>
      <c r="IQ1181" s="1"/>
      <c r="IR1181" s="1"/>
      <c r="IS1181" s="1"/>
      <c r="IT1181" s="1"/>
      <c r="IU1181" s="1"/>
      <c r="IV1181" s="1"/>
      <c r="IW1181" s="1"/>
      <c r="IX1181" s="1"/>
      <c r="IY1181" s="1"/>
      <c r="IZ1181" s="1"/>
      <c r="JA1181" s="1"/>
      <c r="JB1181" s="1"/>
      <c r="JC1181" s="1"/>
      <c r="JD1181" s="1"/>
    </row>
    <row r="1182" s="504" customFormat="true" ht="12.75" hidden="true" customHeight="true" outlineLevel="0" collapsed="false">
      <c r="A1182" s="5"/>
      <c r="B1182" s="813" t="n">
        <f aca="false">B1181+1</f>
        <v>967</v>
      </c>
      <c r="C1182" s="814" t="n">
        <f aca="false">C1181+D1182</f>
        <v>150056.341738573</v>
      </c>
      <c r="D1182" s="815" t="n">
        <f aca="false">E1182*$E$205*M1182</f>
        <v>231.781220910888</v>
      </c>
      <c r="E1182" s="601" t="n">
        <f aca="false">E1181+$C$204</f>
        <v>14.6994686016545</v>
      </c>
      <c r="F1182" s="816" t="n">
        <f aca="false">F1181+1</f>
        <v>967</v>
      </c>
      <c r="G1182" s="775" t="n">
        <f aca="false">C1182</f>
        <v>150056.341738573</v>
      </c>
      <c r="H1182" s="817" t="n">
        <f aca="false">1000*(E1182-E1181)</f>
        <v>9.99999999999979</v>
      </c>
      <c r="I1182" s="5"/>
      <c r="J1182" s="818" t="n">
        <f aca="false">1000*(E1182-$E$215)/(B1182-$B$215)</f>
        <v>11.6275799674991</v>
      </c>
      <c r="K1182" s="732" t="n">
        <f aca="false">AVERAGE($E$216:E1182)</f>
        <v>9.86160924281281</v>
      </c>
      <c r="L1182" s="819" t="n">
        <f aca="false">L1181+1</f>
        <v>967</v>
      </c>
      <c r="M1182" s="820" t="n">
        <f aca="false">IF(B1182&lt;$E$104,$E$105,$E$106)</f>
        <v>3</v>
      </c>
      <c r="N1182" s="821" t="n">
        <f aca="false">IF(B1182&lt;$E$104,$E$105,$E$111)</f>
        <v>2.5</v>
      </c>
      <c r="O1182" s="822" t="n">
        <f aca="false">E1182*$E$205*N1182</f>
        <v>193.15101742574</v>
      </c>
      <c r="P1182" s="823" t="n">
        <f aca="false">P1181+O1182</f>
        <v>125098.632049187</v>
      </c>
      <c r="Q1182" s="606" t="n">
        <f aca="false">Q1181+1</f>
        <v>967</v>
      </c>
      <c r="R1182" s="824" t="n">
        <f aca="false">R1181-1</f>
        <v>-967</v>
      </c>
      <c r="S1182" s="5"/>
      <c r="T1182" s="5"/>
      <c r="U1182" s="5"/>
      <c r="V1182" s="10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02"/>
      <c r="AU1182" s="502"/>
      <c r="AV1182" s="606"/>
      <c r="AW1182" s="502"/>
      <c r="AX1182" s="502"/>
      <c r="AY1182" s="502"/>
      <c r="AZ1182" s="502"/>
      <c r="BA1182" s="502"/>
      <c r="BB1182" s="502"/>
      <c r="BC1182" s="502"/>
      <c r="BD1182" s="502"/>
      <c r="BE1182" s="502"/>
      <c r="BF1182" s="502"/>
      <c r="BG1182" s="502"/>
      <c r="BH1182" s="502"/>
      <c r="BI1182" s="502"/>
      <c r="BJ1182" s="502"/>
      <c r="BK1182" s="502"/>
      <c r="BL1182" s="502"/>
      <c r="BM1182" s="502"/>
      <c r="BN1182" s="502"/>
      <c r="BO1182" s="502"/>
      <c r="BP1182" s="5"/>
      <c r="BQ1182" s="5"/>
      <c r="BR1182" s="5"/>
      <c r="BS1182" s="5"/>
      <c r="BT1182" s="5"/>
      <c r="BU1182" s="5"/>
      <c r="BV1182" s="5"/>
      <c r="BW1182" s="5"/>
      <c r="BX1182" s="5"/>
      <c r="BY1182" s="5"/>
      <c r="BZ1182" s="5"/>
      <c r="CA1182" s="5"/>
      <c r="CB1182" s="5"/>
      <c r="CC1182" s="5"/>
      <c r="CD1182" s="5"/>
      <c r="CE1182" s="5"/>
      <c r="CF1182" s="5"/>
      <c r="CG1182" s="5"/>
      <c r="CH1182" s="5"/>
      <c r="CI1182" s="5"/>
      <c r="CJ1182" s="5"/>
      <c r="CK1182" s="5"/>
      <c r="CL1182" s="5"/>
      <c r="CM1182" s="5"/>
      <c r="CN1182" s="5"/>
      <c r="CO1182" s="5"/>
      <c r="CP1182" s="5"/>
      <c r="CQ1182" s="5"/>
      <c r="CR1182" s="5"/>
      <c r="CS1182" s="5"/>
      <c r="CT1182" s="5"/>
      <c r="CU1182" s="5"/>
      <c r="CV1182" s="5"/>
      <c r="CW1182" s="5"/>
      <c r="CX1182" s="5"/>
      <c r="CY1182" s="5"/>
      <c r="CZ1182" s="5"/>
      <c r="DA1182" s="5"/>
      <c r="DB1182" s="5"/>
      <c r="DC1182" s="5"/>
      <c r="DD1182" s="5"/>
      <c r="DE1182" s="5"/>
      <c r="DF1182" s="5"/>
      <c r="DG1182" s="5"/>
      <c r="DH1182" s="5"/>
      <c r="DI1182" s="5"/>
      <c r="DJ1182" s="5"/>
      <c r="DK1182" s="5"/>
      <c r="DL1182" s="5"/>
      <c r="DM1182" s="5"/>
      <c r="DN1182" s="5"/>
      <c r="DO1182" s="5"/>
      <c r="DP1182" s="5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  <c r="GV1182" s="1"/>
      <c r="GW1182" s="1"/>
      <c r="GX1182" s="1"/>
      <c r="GY1182" s="1"/>
      <c r="GZ1182" s="1"/>
      <c r="HA1182" s="1"/>
      <c r="HB1182" s="1"/>
      <c r="HC1182" s="1"/>
      <c r="HD1182" s="1"/>
      <c r="HE1182" s="1"/>
      <c r="HF1182" s="1"/>
      <c r="HG1182" s="1"/>
      <c r="HH1182" s="1"/>
      <c r="HI1182" s="1"/>
      <c r="HJ1182" s="1"/>
      <c r="HK1182" s="1"/>
      <c r="HL1182" s="1"/>
      <c r="HM1182" s="1"/>
      <c r="HN1182" s="1"/>
      <c r="HO1182" s="1"/>
      <c r="HP1182" s="1"/>
      <c r="HQ1182" s="1"/>
      <c r="HR1182" s="1"/>
      <c r="HS1182" s="1"/>
      <c r="HT1182" s="1"/>
      <c r="HU1182" s="1"/>
      <c r="HV1182" s="1"/>
      <c r="HW1182" s="1"/>
      <c r="HX1182" s="1"/>
      <c r="HY1182" s="1"/>
      <c r="HZ1182" s="1"/>
      <c r="IA1182" s="1"/>
      <c r="IB1182" s="1"/>
      <c r="IC1182" s="1"/>
      <c r="ID1182" s="1"/>
      <c r="IE1182" s="1"/>
      <c r="IF1182" s="1"/>
      <c r="IG1182" s="1"/>
      <c r="IH1182" s="1"/>
      <c r="II1182" s="1"/>
      <c r="IJ1182" s="1"/>
      <c r="IK1182" s="1"/>
      <c r="IL1182" s="1"/>
      <c r="IM1182" s="1"/>
      <c r="IN1182" s="1"/>
      <c r="IO1182" s="1"/>
      <c r="IP1182" s="1"/>
      <c r="IQ1182" s="1"/>
      <c r="IR1182" s="1"/>
      <c r="IS1182" s="1"/>
      <c r="IT1182" s="1"/>
      <c r="IU1182" s="1"/>
      <c r="IV1182" s="1"/>
      <c r="IW1182" s="1"/>
      <c r="IX1182" s="1"/>
      <c r="IY1182" s="1"/>
      <c r="IZ1182" s="1"/>
      <c r="JA1182" s="1"/>
      <c r="JB1182" s="1"/>
      <c r="JC1182" s="1"/>
      <c r="JD1182" s="1"/>
    </row>
    <row r="1183" s="504" customFormat="true" ht="12.75" hidden="true" customHeight="true" outlineLevel="0" collapsed="false">
      <c r="A1183" s="5"/>
      <c r="B1183" s="813" t="n">
        <f aca="false">B1182+1</f>
        <v>968</v>
      </c>
      <c r="C1183" s="814" t="n">
        <f aca="false">C1182+D1183</f>
        <v>150288.280639484</v>
      </c>
      <c r="D1183" s="815" t="n">
        <f aca="false">E1183*$E$205*M1183</f>
        <v>231.938900910888</v>
      </c>
      <c r="E1183" s="601" t="n">
        <f aca="false">E1182+$C$204</f>
        <v>14.7094686016545</v>
      </c>
      <c r="F1183" s="816" t="n">
        <f aca="false">F1182+1</f>
        <v>968</v>
      </c>
      <c r="G1183" s="775" t="n">
        <f aca="false">C1183</f>
        <v>150288.280639484</v>
      </c>
      <c r="H1183" s="817" t="n">
        <f aca="false">1000*(E1183-E1182)</f>
        <v>9.99999999999979</v>
      </c>
      <c r="I1183" s="5"/>
      <c r="J1183" s="818" t="n">
        <f aca="false">1000*(E1183-$E$215)/(B1183-$B$215)</f>
        <v>11.6258985832352</v>
      </c>
      <c r="K1183" s="732" t="n">
        <f aca="false">AVERAGE($E$216:E1183)</f>
        <v>9.86661736198517</v>
      </c>
      <c r="L1183" s="819" t="n">
        <f aca="false">L1182+1</f>
        <v>968</v>
      </c>
      <c r="M1183" s="820" t="n">
        <f aca="false">IF(B1183&lt;$E$104,$E$105,$E$106)</f>
        <v>3</v>
      </c>
      <c r="N1183" s="821" t="n">
        <f aca="false">IF(B1183&lt;$E$104,$E$105,$E$111)</f>
        <v>2.5</v>
      </c>
      <c r="O1183" s="822" t="n">
        <f aca="false">E1183*$E$205*N1183</f>
        <v>193.28241742574</v>
      </c>
      <c r="P1183" s="823" t="n">
        <f aca="false">P1182+O1183</f>
        <v>125291.914466613</v>
      </c>
      <c r="Q1183" s="606" t="n">
        <f aca="false">Q1182+1</f>
        <v>968</v>
      </c>
      <c r="R1183" s="824" t="n">
        <f aca="false">R1182-1</f>
        <v>-968</v>
      </c>
      <c r="S1183" s="5"/>
      <c r="T1183" s="5"/>
      <c r="U1183" s="5"/>
      <c r="V1183" s="10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02"/>
      <c r="AU1183" s="502"/>
      <c r="AV1183" s="606"/>
      <c r="AW1183" s="502"/>
      <c r="AX1183" s="502"/>
      <c r="AY1183" s="502"/>
      <c r="AZ1183" s="502"/>
      <c r="BA1183" s="502"/>
      <c r="BB1183" s="502"/>
      <c r="BC1183" s="502"/>
      <c r="BD1183" s="502"/>
      <c r="BE1183" s="502"/>
      <c r="BF1183" s="502"/>
      <c r="BG1183" s="502"/>
      <c r="BH1183" s="502"/>
      <c r="BI1183" s="502"/>
      <c r="BJ1183" s="502"/>
      <c r="BK1183" s="502"/>
      <c r="BL1183" s="502"/>
      <c r="BM1183" s="502"/>
      <c r="BN1183" s="502"/>
      <c r="BO1183" s="502"/>
      <c r="BP1183" s="5"/>
      <c r="BQ1183" s="5"/>
      <c r="BR1183" s="5"/>
      <c r="BS1183" s="5"/>
      <c r="BT1183" s="5"/>
      <c r="BU1183" s="5"/>
      <c r="BV1183" s="5"/>
      <c r="BW1183" s="5"/>
      <c r="BX1183" s="5"/>
      <c r="BY1183" s="5"/>
      <c r="BZ1183" s="5"/>
      <c r="CA1183" s="5"/>
      <c r="CB1183" s="5"/>
      <c r="CC1183" s="5"/>
      <c r="CD1183" s="5"/>
      <c r="CE1183" s="5"/>
      <c r="CF1183" s="5"/>
      <c r="CG1183" s="5"/>
      <c r="CH1183" s="5"/>
      <c r="CI1183" s="5"/>
      <c r="CJ1183" s="5"/>
      <c r="CK1183" s="5"/>
      <c r="CL1183" s="5"/>
      <c r="CM1183" s="5"/>
      <c r="CN1183" s="5"/>
      <c r="CO1183" s="5"/>
      <c r="CP1183" s="5"/>
      <c r="CQ1183" s="5"/>
      <c r="CR1183" s="5"/>
      <c r="CS1183" s="5"/>
      <c r="CT1183" s="5"/>
      <c r="CU1183" s="5"/>
      <c r="CV1183" s="5"/>
      <c r="CW1183" s="5"/>
      <c r="CX1183" s="5"/>
      <c r="CY1183" s="5"/>
      <c r="CZ1183" s="5"/>
      <c r="DA1183" s="5"/>
      <c r="DB1183" s="5"/>
      <c r="DC1183" s="5"/>
      <c r="DD1183" s="5"/>
      <c r="DE1183" s="5"/>
      <c r="DF1183" s="5"/>
      <c r="DG1183" s="5"/>
      <c r="DH1183" s="5"/>
      <c r="DI1183" s="5"/>
      <c r="DJ1183" s="5"/>
      <c r="DK1183" s="5"/>
      <c r="DL1183" s="5"/>
      <c r="DM1183" s="5"/>
      <c r="DN1183" s="5"/>
      <c r="DO1183" s="5"/>
      <c r="DP1183" s="5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  <c r="GV1183" s="1"/>
      <c r="GW1183" s="1"/>
      <c r="GX1183" s="1"/>
      <c r="GY1183" s="1"/>
      <c r="GZ1183" s="1"/>
      <c r="HA1183" s="1"/>
      <c r="HB1183" s="1"/>
      <c r="HC1183" s="1"/>
      <c r="HD1183" s="1"/>
      <c r="HE1183" s="1"/>
      <c r="HF1183" s="1"/>
      <c r="HG1183" s="1"/>
      <c r="HH1183" s="1"/>
      <c r="HI1183" s="1"/>
      <c r="HJ1183" s="1"/>
      <c r="HK1183" s="1"/>
      <c r="HL1183" s="1"/>
      <c r="HM1183" s="1"/>
      <c r="HN1183" s="1"/>
      <c r="HO1183" s="1"/>
      <c r="HP1183" s="1"/>
      <c r="HQ1183" s="1"/>
      <c r="HR1183" s="1"/>
      <c r="HS1183" s="1"/>
      <c r="HT1183" s="1"/>
      <c r="HU1183" s="1"/>
      <c r="HV1183" s="1"/>
      <c r="HW1183" s="1"/>
      <c r="HX1183" s="1"/>
      <c r="HY1183" s="1"/>
      <c r="HZ1183" s="1"/>
      <c r="IA1183" s="1"/>
      <c r="IB1183" s="1"/>
      <c r="IC1183" s="1"/>
      <c r="ID1183" s="1"/>
      <c r="IE1183" s="1"/>
      <c r="IF1183" s="1"/>
      <c r="IG1183" s="1"/>
      <c r="IH1183" s="1"/>
      <c r="II1183" s="1"/>
      <c r="IJ1183" s="1"/>
      <c r="IK1183" s="1"/>
      <c r="IL1183" s="1"/>
      <c r="IM1183" s="1"/>
      <c r="IN1183" s="1"/>
      <c r="IO1183" s="1"/>
      <c r="IP1183" s="1"/>
      <c r="IQ1183" s="1"/>
      <c r="IR1183" s="1"/>
      <c r="IS1183" s="1"/>
      <c r="IT1183" s="1"/>
      <c r="IU1183" s="1"/>
      <c r="IV1183" s="1"/>
      <c r="IW1183" s="1"/>
      <c r="IX1183" s="1"/>
      <c r="IY1183" s="1"/>
      <c r="IZ1183" s="1"/>
      <c r="JA1183" s="1"/>
      <c r="JB1183" s="1"/>
      <c r="JC1183" s="1"/>
      <c r="JD1183" s="1"/>
    </row>
    <row r="1184" s="504" customFormat="true" ht="12.75" hidden="true" customHeight="true" outlineLevel="0" collapsed="false">
      <c r="A1184" s="5"/>
      <c r="B1184" s="813" t="n">
        <f aca="false">B1183+1</f>
        <v>969</v>
      </c>
      <c r="C1184" s="814" t="n">
        <f aca="false">C1183+D1184</f>
        <v>150520.377220395</v>
      </c>
      <c r="D1184" s="815" t="n">
        <f aca="false">E1184*$E$205*M1184</f>
        <v>232.096580910888</v>
      </c>
      <c r="E1184" s="601" t="n">
        <f aca="false">E1183+$C$204</f>
        <v>14.7194686016545</v>
      </c>
      <c r="F1184" s="816" t="n">
        <f aca="false">F1183+1</f>
        <v>969</v>
      </c>
      <c r="G1184" s="775" t="n">
        <f aca="false">C1184</f>
        <v>150520.377220395</v>
      </c>
      <c r="H1184" s="817" t="n">
        <f aca="false">1000*(E1184-E1183)</f>
        <v>9.99999999999979</v>
      </c>
      <c r="I1184" s="5"/>
      <c r="J1184" s="818" t="n">
        <f aca="false">1000*(E1184-$E$215)/(B1184-$B$215)</f>
        <v>11.6242206693206</v>
      </c>
      <c r="K1184" s="732" t="n">
        <f aca="false">AVERAGE($E$216:E1184)</f>
        <v>9.87162546439969</v>
      </c>
      <c r="L1184" s="819" t="n">
        <f aca="false">L1183+1</f>
        <v>969</v>
      </c>
      <c r="M1184" s="820" t="n">
        <f aca="false">IF(B1184&lt;$E$104,$E$105,$E$106)</f>
        <v>3</v>
      </c>
      <c r="N1184" s="821" t="n">
        <f aca="false">IF(B1184&lt;$E$104,$E$105,$E$111)</f>
        <v>2.5</v>
      </c>
      <c r="O1184" s="822" t="n">
        <f aca="false">E1184*$E$205*N1184</f>
        <v>193.41381742574</v>
      </c>
      <c r="P1184" s="823" t="n">
        <f aca="false">P1183+O1184</f>
        <v>125485.328284039</v>
      </c>
      <c r="Q1184" s="606" t="n">
        <f aca="false">Q1183+1</f>
        <v>969</v>
      </c>
      <c r="R1184" s="824" t="n">
        <f aca="false">R1183-1</f>
        <v>-969</v>
      </c>
      <c r="S1184" s="5"/>
      <c r="T1184" s="5"/>
      <c r="U1184" s="5"/>
      <c r="V1184" s="10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02"/>
      <c r="AU1184" s="502"/>
      <c r="AV1184" s="606"/>
      <c r="AW1184" s="502"/>
      <c r="AX1184" s="502"/>
      <c r="AY1184" s="502"/>
      <c r="AZ1184" s="502"/>
      <c r="BA1184" s="502"/>
      <c r="BB1184" s="502"/>
      <c r="BC1184" s="502"/>
      <c r="BD1184" s="502"/>
      <c r="BE1184" s="502"/>
      <c r="BF1184" s="502"/>
      <c r="BG1184" s="502"/>
      <c r="BH1184" s="502"/>
      <c r="BI1184" s="502"/>
      <c r="BJ1184" s="502"/>
      <c r="BK1184" s="502"/>
      <c r="BL1184" s="502"/>
      <c r="BM1184" s="502"/>
      <c r="BN1184" s="502"/>
      <c r="BO1184" s="502"/>
      <c r="BP1184" s="5"/>
      <c r="BQ1184" s="5"/>
      <c r="BR1184" s="5"/>
      <c r="BS1184" s="5"/>
      <c r="BT1184" s="5"/>
      <c r="BU1184" s="5"/>
      <c r="BV1184" s="5"/>
      <c r="BW1184" s="5"/>
      <c r="BX1184" s="5"/>
      <c r="BY1184" s="5"/>
      <c r="BZ1184" s="5"/>
      <c r="CA1184" s="5"/>
      <c r="CB1184" s="5"/>
      <c r="CC1184" s="5"/>
      <c r="CD1184" s="5"/>
      <c r="CE1184" s="5"/>
      <c r="CF1184" s="5"/>
      <c r="CG1184" s="5"/>
      <c r="CH1184" s="5"/>
      <c r="CI1184" s="5"/>
      <c r="CJ1184" s="5"/>
      <c r="CK1184" s="5"/>
      <c r="CL1184" s="5"/>
      <c r="CM1184" s="5"/>
      <c r="CN1184" s="5"/>
      <c r="CO1184" s="5"/>
      <c r="CP1184" s="5"/>
      <c r="CQ1184" s="5"/>
      <c r="CR1184" s="5"/>
      <c r="CS1184" s="5"/>
      <c r="CT1184" s="5"/>
      <c r="CU1184" s="5"/>
      <c r="CV1184" s="5"/>
      <c r="CW1184" s="5"/>
      <c r="CX1184" s="5"/>
      <c r="CY1184" s="5"/>
      <c r="CZ1184" s="5"/>
      <c r="DA1184" s="5"/>
      <c r="DB1184" s="5"/>
      <c r="DC1184" s="5"/>
      <c r="DD1184" s="5"/>
      <c r="DE1184" s="5"/>
      <c r="DF1184" s="5"/>
      <c r="DG1184" s="5"/>
      <c r="DH1184" s="5"/>
      <c r="DI1184" s="5"/>
      <c r="DJ1184" s="5"/>
      <c r="DK1184" s="5"/>
      <c r="DL1184" s="5"/>
      <c r="DM1184" s="5"/>
      <c r="DN1184" s="5"/>
      <c r="DO1184" s="5"/>
      <c r="DP1184" s="5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  <c r="GV1184" s="1"/>
      <c r="GW1184" s="1"/>
      <c r="GX1184" s="1"/>
      <c r="GY1184" s="1"/>
      <c r="GZ1184" s="1"/>
      <c r="HA1184" s="1"/>
      <c r="HB1184" s="1"/>
      <c r="HC1184" s="1"/>
      <c r="HD1184" s="1"/>
      <c r="HE1184" s="1"/>
      <c r="HF1184" s="1"/>
      <c r="HG1184" s="1"/>
      <c r="HH1184" s="1"/>
      <c r="HI1184" s="1"/>
      <c r="HJ1184" s="1"/>
      <c r="HK1184" s="1"/>
      <c r="HL1184" s="1"/>
      <c r="HM1184" s="1"/>
      <c r="HN1184" s="1"/>
      <c r="HO1184" s="1"/>
      <c r="HP1184" s="1"/>
      <c r="HQ1184" s="1"/>
      <c r="HR1184" s="1"/>
      <c r="HS1184" s="1"/>
      <c r="HT1184" s="1"/>
      <c r="HU1184" s="1"/>
      <c r="HV1184" s="1"/>
      <c r="HW1184" s="1"/>
      <c r="HX1184" s="1"/>
      <c r="HY1184" s="1"/>
      <c r="HZ1184" s="1"/>
      <c r="IA1184" s="1"/>
      <c r="IB1184" s="1"/>
      <c r="IC1184" s="1"/>
      <c r="ID1184" s="1"/>
      <c r="IE1184" s="1"/>
      <c r="IF1184" s="1"/>
      <c r="IG1184" s="1"/>
      <c r="IH1184" s="1"/>
      <c r="II1184" s="1"/>
      <c r="IJ1184" s="1"/>
      <c r="IK1184" s="1"/>
      <c r="IL1184" s="1"/>
      <c r="IM1184" s="1"/>
      <c r="IN1184" s="1"/>
      <c r="IO1184" s="1"/>
      <c r="IP1184" s="1"/>
      <c r="IQ1184" s="1"/>
      <c r="IR1184" s="1"/>
      <c r="IS1184" s="1"/>
      <c r="IT1184" s="1"/>
      <c r="IU1184" s="1"/>
      <c r="IV1184" s="1"/>
      <c r="IW1184" s="1"/>
      <c r="IX1184" s="1"/>
      <c r="IY1184" s="1"/>
      <c r="IZ1184" s="1"/>
      <c r="JA1184" s="1"/>
      <c r="JB1184" s="1"/>
      <c r="JC1184" s="1"/>
      <c r="JD1184" s="1"/>
    </row>
    <row r="1185" s="504" customFormat="true" ht="12.75" hidden="true" customHeight="true" outlineLevel="0" collapsed="false">
      <c r="A1185" s="5"/>
      <c r="B1185" s="813" t="n">
        <f aca="false">B1184+1</f>
        <v>970</v>
      </c>
      <c r="C1185" s="814" t="n">
        <f aca="false">C1184+D1185</f>
        <v>150752.631481306</v>
      </c>
      <c r="D1185" s="815" t="n">
        <f aca="false">E1185*$E$205*M1185</f>
        <v>232.254260910888</v>
      </c>
      <c r="E1185" s="601" t="n">
        <f aca="false">E1184+$C$204</f>
        <v>14.7294686016545</v>
      </c>
      <c r="F1185" s="816" t="n">
        <f aca="false">F1184+1</f>
        <v>970</v>
      </c>
      <c r="G1185" s="775" t="n">
        <f aca="false">C1185</f>
        <v>150752.631481306</v>
      </c>
      <c r="H1185" s="817" t="n">
        <f aca="false">1000*(E1185-E1184)</f>
        <v>9.99999999999979</v>
      </c>
      <c r="I1185" s="5"/>
      <c r="J1185" s="818" t="n">
        <f aca="false">1000*(E1185-$E$215)/(B1185-$B$215)</f>
        <v>11.6225462150223</v>
      </c>
      <c r="K1185" s="732" t="n">
        <f aca="false">AVERAGE($E$216:E1185)</f>
        <v>9.8766335501082</v>
      </c>
      <c r="L1185" s="819" t="n">
        <f aca="false">L1184+1</f>
        <v>970</v>
      </c>
      <c r="M1185" s="820" t="n">
        <f aca="false">IF(B1185&lt;$E$104,$E$105,$E$106)</f>
        <v>3</v>
      </c>
      <c r="N1185" s="821" t="n">
        <f aca="false">IF(B1185&lt;$E$104,$E$105,$E$111)</f>
        <v>2.5</v>
      </c>
      <c r="O1185" s="822" t="n">
        <f aca="false">E1185*$E$205*N1185</f>
        <v>193.54521742574</v>
      </c>
      <c r="P1185" s="823" t="n">
        <f aca="false">P1184+O1185</f>
        <v>125678.873501464</v>
      </c>
      <c r="Q1185" s="606" t="n">
        <f aca="false">Q1184+1</f>
        <v>970</v>
      </c>
      <c r="R1185" s="824" t="n">
        <f aca="false">R1184-1</f>
        <v>-970</v>
      </c>
      <c r="S1185" s="5"/>
      <c r="T1185" s="5"/>
      <c r="U1185" s="5"/>
      <c r="V1185" s="10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02"/>
      <c r="AU1185" s="502"/>
      <c r="AV1185" s="606"/>
      <c r="AW1185" s="502"/>
      <c r="AX1185" s="502"/>
      <c r="AY1185" s="502"/>
      <c r="AZ1185" s="502"/>
      <c r="BA1185" s="502"/>
      <c r="BB1185" s="502"/>
      <c r="BC1185" s="502"/>
      <c r="BD1185" s="502"/>
      <c r="BE1185" s="502"/>
      <c r="BF1185" s="502"/>
      <c r="BG1185" s="502"/>
      <c r="BH1185" s="502"/>
      <c r="BI1185" s="502"/>
      <c r="BJ1185" s="502"/>
      <c r="BK1185" s="502"/>
      <c r="BL1185" s="502"/>
      <c r="BM1185" s="502"/>
      <c r="BN1185" s="502"/>
      <c r="BO1185" s="502"/>
      <c r="BP1185" s="5"/>
      <c r="BQ1185" s="5"/>
      <c r="BR1185" s="5"/>
      <c r="BS1185" s="5"/>
      <c r="BT1185" s="5"/>
      <c r="BU1185" s="5"/>
      <c r="BV1185" s="5"/>
      <c r="BW1185" s="5"/>
      <c r="BX1185" s="5"/>
      <c r="BY1185" s="5"/>
      <c r="BZ1185" s="5"/>
      <c r="CA1185" s="5"/>
      <c r="CB1185" s="5"/>
      <c r="CC1185" s="5"/>
      <c r="CD1185" s="5"/>
      <c r="CE1185" s="5"/>
      <c r="CF1185" s="5"/>
      <c r="CG1185" s="5"/>
      <c r="CH1185" s="5"/>
      <c r="CI1185" s="5"/>
      <c r="CJ1185" s="5"/>
      <c r="CK1185" s="5"/>
      <c r="CL1185" s="5"/>
      <c r="CM1185" s="5"/>
      <c r="CN1185" s="5"/>
      <c r="CO1185" s="5"/>
      <c r="CP1185" s="5"/>
      <c r="CQ1185" s="5"/>
      <c r="CR1185" s="5"/>
      <c r="CS1185" s="5"/>
      <c r="CT1185" s="5"/>
      <c r="CU1185" s="5"/>
      <c r="CV1185" s="5"/>
      <c r="CW1185" s="5"/>
      <c r="CX1185" s="5"/>
      <c r="CY1185" s="5"/>
      <c r="CZ1185" s="5"/>
      <c r="DA1185" s="5"/>
      <c r="DB1185" s="5"/>
      <c r="DC1185" s="5"/>
      <c r="DD1185" s="5"/>
      <c r="DE1185" s="5"/>
      <c r="DF1185" s="5"/>
      <c r="DG1185" s="5"/>
      <c r="DH1185" s="5"/>
      <c r="DI1185" s="5"/>
      <c r="DJ1185" s="5"/>
      <c r="DK1185" s="5"/>
      <c r="DL1185" s="5"/>
      <c r="DM1185" s="5"/>
      <c r="DN1185" s="5"/>
      <c r="DO1185" s="5"/>
      <c r="DP1185" s="5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  <c r="GV1185" s="1"/>
      <c r="GW1185" s="1"/>
      <c r="GX1185" s="1"/>
      <c r="GY1185" s="1"/>
      <c r="GZ1185" s="1"/>
      <c r="HA1185" s="1"/>
      <c r="HB1185" s="1"/>
      <c r="HC1185" s="1"/>
      <c r="HD1185" s="1"/>
      <c r="HE1185" s="1"/>
      <c r="HF1185" s="1"/>
      <c r="HG1185" s="1"/>
      <c r="HH1185" s="1"/>
      <c r="HI1185" s="1"/>
      <c r="HJ1185" s="1"/>
      <c r="HK1185" s="1"/>
      <c r="HL1185" s="1"/>
      <c r="HM1185" s="1"/>
      <c r="HN1185" s="1"/>
      <c r="HO1185" s="1"/>
      <c r="HP1185" s="1"/>
      <c r="HQ1185" s="1"/>
      <c r="HR1185" s="1"/>
      <c r="HS1185" s="1"/>
      <c r="HT1185" s="1"/>
      <c r="HU1185" s="1"/>
      <c r="HV1185" s="1"/>
      <c r="HW1185" s="1"/>
      <c r="HX1185" s="1"/>
      <c r="HY1185" s="1"/>
      <c r="HZ1185" s="1"/>
      <c r="IA1185" s="1"/>
      <c r="IB1185" s="1"/>
      <c r="IC1185" s="1"/>
      <c r="ID1185" s="1"/>
      <c r="IE1185" s="1"/>
      <c r="IF1185" s="1"/>
      <c r="IG1185" s="1"/>
      <c r="IH1185" s="1"/>
      <c r="II1185" s="1"/>
      <c r="IJ1185" s="1"/>
      <c r="IK1185" s="1"/>
      <c r="IL1185" s="1"/>
      <c r="IM1185" s="1"/>
      <c r="IN1185" s="1"/>
      <c r="IO1185" s="1"/>
      <c r="IP1185" s="1"/>
      <c r="IQ1185" s="1"/>
      <c r="IR1185" s="1"/>
      <c r="IS1185" s="1"/>
      <c r="IT1185" s="1"/>
      <c r="IU1185" s="1"/>
      <c r="IV1185" s="1"/>
      <c r="IW1185" s="1"/>
      <c r="IX1185" s="1"/>
      <c r="IY1185" s="1"/>
      <c r="IZ1185" s="1"/>
      <c r="JA1185" s="1"/>
      <c r="JB1185" s="1"/>
      <c r="JC1185" s="1"/>
      <c r="JD1185" s="1"/>
    </row>
    <row r="1186" s="504" customFormat="true" ht="12.75" hidden="true" customHeight="true" outlineLevel="0" collapsed="false">
      <c r="A1186" s="5"/>
      <c r="B1186" s="813" t="n">
        <f aca="false">B1185+1</f>
        <v>971</v>
      </c>
      <c r="C1186" s="814" t="n">
        <f aca="false">C1185+D1186</f>
        <v>150985.043422217</v>
      </c>
      <c r="D1186" s="815" t="n">
        <f aca="false">E1186*$E$205*M1186</f>
        <v>232.411940910888</v>
      </c>
      <c r="E1186" s="601" t="n">
        <f aca="false">E1185+$C$204</f>
        <v>14.7394686016545</v>
      </c>
      <c r="F1186" s="816" t="n">
        <f aca="false">F1185+1</f>
        <v>971</v>
      </c>
      <c r="G1186" s="775" t="n">
        <f aca="false">C1186</f>
        <v>150985.043422217</v>
      </c>
      <c r="H1186" s="817" t="n">
        <f aca="false">1000*(E1186-E1185)</f>
        <v>9.99999999999979</v>
      </c>
      <c r="I1186" s="5"/>
      <c r="J1186" s="818" t="n">
        <f aca="false">1000*(E1186-$E$215)/(B1186-$B$215)</f>
        <v>11.6208752096515</v>
      </c>
      <c r="K1186" s="732" t="n">
        <f aca="false">AVERAGE($E$216:E1186)</f>
        <v>9.88164161916231</v>
      </c>
      <c r="L1186" s="819" t="n">
        <f aca="false">L1185+1</f>
        <v>971</v>
      </c>
      <c r="M1186" s="820" t="n">
        <f aca="false">IF(B1186&lt;$E$104,$E$105,$E$106)</f>
        <v>3</v>
      </c>
      <c r="N1186" s="821" t="n">
        <f aca="false">IF(B1186&lt;$E$104,$E$105,$E$111)</f>
        <v>2.5</v>
      </c>
      <c r="O1186" s="822" t="n">
        <f aca="false">E1186*$E$205*N1186</f>
        <v>193.67661742574</v>
      </c>
      <c r="P1186" s="823" t="n">
        <f aca="false">P1185+O1186</f>
        <v>125872.55011889</v>
      </c>
      <c r="Q1186" s="606" t="n">
        <f aca="false">Q1185+1</f>
        <v>971</v>
      </c>
      <c r="R1186" s="824" t="n">
        <f aca="false">R1185-1</f>
        <v>-971</v>
      </c>
      <c r="S1186" s="5"/>
      <c r="T1186" s="5"/>
      <c r="U1186" s="5"/>
      <c r="V1186" s="10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02"/>
      <c r="AU1186" s="502"/>
      <c r="AV1186" s="606"/>
      <c r="AW1186" s="502"/>
      <c r="AX1186" s="502"/>
      <c r="AY1186" s="502"/>
      <c r="AZ1186" s="502"/>
      <c r="BA1186" s="502"/>
      <c r="BB1186" s="502"/>
      <c r="BC1186" s="502"/>
      <c r="BD1186" s="502"/>
      <c r="BE1186" s="502"/>
      <c r="BF1186" s="502"/>
      <c r="BG1186" s="502"/>
      <c r="BH1186" s="502"/>
      <c r="BI1186" s="502"/>
      <c r="BJ1186" s="502"/>
      <c r="BK1186" s="502"/>
      <c r="BL1186" s="502"/>
      <c r="BM1186" s="502"/>
      <c r="BN1186" s="502"/>
      <c r="BO1186" s="502"/>
      <c r="BP1186" s="5"/>
      <c r="BQ1186" s="5"/>
      <c r="BR1186" s="5"/>
      <c r="BS1186" s="5"/>
      <c r="BT1186" s="5"/>
      <c r="BU1186" s="5"/>
      <c r="BV1186" s="5"/>
      <c r="BW1186" s="5"/>
      <c r="BX1186" s="5"/>
      <c r="BY1186" s="5"/>
      <c r="BZ1186" s="5"/>
      <c r="CA1186" s="5"/>
      <c r="CB1186" s="5"/>
      <c r="CC1186" s="5"/>
      <c r="CD1186" s="5"/>
      <c r="CE1186" s="5"/>
      <c r="CF1186" s="5"/>
      <c r="CG1186" s="5"/>
      <c r="CH1186" s="5"/>
      <c r="CI1186" s="5"/>
      <c r="CJ1186" s="5"/>
      <c r="CK1186" s="5"/>
      <c r="CL1186" s="5"/>
      <c r="CM1186" s="5"/>
      <c r="CN1186" s="5"/>
      <c r="CO1186" s="5"/>
      <c r="CP1186" s="5"/>
      <c r="CQ1186" s="5"/>
      <c r="CR1186" s="5"/>
      <c r="CS1186" s="5"/>
      <c r="CT1186" s="5"/>
      <c r="CU1186" s="5"/>
      <c r="CV1186" s="5"/>
      <c r="CW1186" s="5"/>
      <c r="CX1186" s="5"/>
      <c r="CY1186" s="5"/>
      <c r="CZ1186" s="5"/>
      <c r="DA1186" s="5"/>
      <c r="DB1186" s="5"/>
      <c r="DC1186" s="5"/>
      <c r="DD1186" s="5"/>
      <c r="DE1186" s="5"/>
      <c r="DF1186" s="5"/>
      <c r="DG1186" s="5"/>
      <c r="DH1186" s="5"/>
      <c r="DI1186" s="5"/>
      <c r="DJ1186" s="5"/>
      <c r="DK1186" s="5"/>
      <c r="DL1186" s="5"/>
      <c r="DM1186" s="5"/>
      <c r="DN1186" s="5"/>
      <c r="DO1186" s="5"/>
      <c r="DP1186" s="5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  <c r="GV1186" s="1"/>
      <c r="GW1186" s="1"/>
      <c r="GX1186" s="1"/>
      <c r="GY1186" s="1"/>
      <c r="GZ1186" s="1"/>
      <c r="HA1186" s="1"/>
      <c r="HB1186" s="1"/>
      <c r="HC1186" s="1"/>
      <c r="HD1186" s="1"/>
      <c r="HE1186" s="1"/>
      <c r="HF1186" s="1"/>
      <c r="HG1186" s="1"/>
      <c r="HH1186" s="1"/>
      <c r="HI1186" s="1"/>
      <c r="HJ1186" s="1"/>
      <c r="HK1186" s="1"/>
      <c r="HL1186" s="1"/>
      <c r="HM1186" s="1"/>
      <c r="HN1186" s="1"/>
      <c r="HO1186" s="1"/>
      <c r="HP1186" s="1"/>
      <c r="HQ1186" s="1"/>
      <c r="HR1186" s="1"/>
      <c r="HS1186" s="1"/>
      <c r="HT1186" s="1"/>
      <c r="HU1186" s="1"/>
      <c r="HV1186" s="1"/>
      <c r="HW1186" s="1"/>
      <c r="HX1186" s="1"/>
      <c r="HY1186" s="1"/>
      <c r="HZ1186" s="1"/>
      <c r="IA1186" s="1"/>
      <c r="IB1186" s="1"/>
      <c r="IC1186" s="1"/>
      <c r="ID1186" s="1"/>
      <c r="IE1186" s="1"/>
      <c r="IF1186" s="1"/>
      <c r="IG1186" s="1"/>
      <c r="IH1186" s="1"/>
      <c r="II1186" s="1"/>
      <c r="IJ1186" s="1"/>
      <c r="IK1186" s="1"/>
      <c r="IL1186" s="1"/>
      <c r="IM1186" s="1"/>
      <c r="IN1186" s="1"/>
      <c r="IO1186" s="1"/>
      <c r="IP1186" s="1"/>
      <c r="IQ1186" s="1"/>
      <c r="IR1186" s="1"/>
      <c r="IS1186" s="1"/>
      <c r="IT1186" s="1"/>
      <c r="IU1186" s="1"/>
      <c r="IV1186" s="1"/>
      <c r="IW1186" s="1"/>
      <c r="IX1186" s="1"/>
      <c r="IY1186" s="1"/>
      <c r="IZ1186" s="1"/>
      <c r="JA1186" s="1"/>
      <c r="JB1186" s="1"/>
      <c r="JC1186" s="1"/>
      <c r="JD1186" s="1"/>
    </row>
    <row r="1187" s="504" customFormat="true" ht="12.75" hidden="true" customHeight="true" outlineLevel="0" collapsed="false">
      <c r="A1187" s="5"/>
      <c r="B1187" s="813" t="n">
        <f aca="false">B1186+1</f>
        <v>972</v>
      </c>
      <c r="C1187" s="814" t="n">
        <f aca="false">C1186+D1187</f>
        <v>151217.613043127</v>
      </c>
      <c r="D1187" s="815" t="n">
        <f aca="false">E1187*$E$205*M1187</f>
        <v>232.569620910888</v>
      </c>
      <c r="E1187" s="601" t="n">
        <f aca="false">E1186+$C$204</f>
        <v>14.7494686016545</v>
      </c>
      <c r="F1187" s="816" t="n">
        <f aca="false">F1186+1</f>
        <v>972</v>
      </c>
      <c r="G1187" s="775" t="n">
        <f aca="false">C1187</f>
        <v>151217.613043127</v>
      </c>
      <c r="H1187" s="817" t="n">
        <f aca="false">1000*(E1187-E1186)</f>
        <v>9.99999999999979</v>
      </c>
      <c r="I1187" s="5"/>
      <c r="J1187" s="818" t="n">
        <f aca="false">1000*(E1187-$E$215)/(B1187-$B$215)</f>
        <v>11.6192076425634</v>
      </c>
      <c r="K1187" s="732" t="n">
        <f aca="false">AVERAGE($E$216:E1187)</f>
        <v>9.88664967161344</v>
      </c>
      <c r="L1187" s="819" t="n">
        <f aca="false">L1186+1</f>
        <v>972</v>
      </c>
      <c r="M1187" s="820" t="n">
        <f aca="false">IF(B1187&lt;$E$104,$E$105,$E$106)</f>
        <v>3</v>
      </c>
      <c r="N1187" s="821" t="n">
        <f aca="false">IF(B1187&lt;$E$104,$E$105,$E$111)</f>
        <v>2.5</v>
      </c>
      <c r="O1187" s="822" t="n">
        <f aca="false">E1187*$E$205*N1187</f>
        <v>193.80801742574</v>
      </c>
      <c r="P1187" s="823" t="n">
        <f aca="false">P1186+O1187</f>
        <v>126066.358136316</v>
      </c>
      <c r="Q1187" s="606" t="n">
        <f aca="false">Q1186+1</f>
        <v>972</v>
      </c>
      <c r="R1187" s="824" t="n">
        <f aca="false">R1186-1</f>
        <v>-972</v>
      </c>
      <c r="S1187" s="5"/>
      <c r="T1187" s="5"/>
      <c r="U1187" s="5"/>
      <c r="V1187" s="10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02"/>
      <c r="AU1187" s="502"/>
      <c r="AV1187" s="606"/>
      <c r="AW1187" s="502"/>
      <c r="AX1187" s="502"/>
      <c r="AY1187" s="502"/>
      <c r="AZ1187" s="502"/>
      <c r="BA1187" s="502"/>
      <c r="BB1187" s="502"/>
      <c r="BC1187" s="502"/>
      <c r="BD1187" s="502"/>
      <c r="BE1187" s="502"/>
      <c r="BF1187" s="502"/>
      <c r="BG1187" s="502"/>
      <c r="BH1187" s="502"/>
      <c r="BI1187" s="502"/>
      <c r="BJ1187" s="502"/>
      <c r="BK1187" s="502"/>
      <c r="BL1187" s="502"/>
      <c r="BM1187" s="502"/>
      <c r="BN1187" s="502"/>
      <c r="BO1187" s="502"/>
      <c r="BP1187" s="5"/>
      <c r="BQ1187" s="5"/>
      <c r="BR1187" s="5"/>
      <c r="BS1187" s="5"/>
      <c r="BT1187" s="5"/>
      <c r="BU1187" s="5"/>
      <c r="BV1187" s="5"/>
      <c r="BW1187" s="5"/>
      <c r="BX1187" s="5"/>
      <c r="BY1187" s="5"/>
      <c r="BZ1187" s="5"/>
      <c r="CA1187" s="5"/>
      <c r="CB1187" s="5"/>
      <c r="CC1187" s="5"/>
      <c r="CD1187" s="5"/>
      <c r="CE1187" s="5"/>
      <c r="CF1187" s="5"/>
      <c r="CG1187" s="5"/>
      <c r="CH1187" s="5"/>
      <c r="CI1187" s="5"/>
      <c r="CJ1187" s="5"/>
      <c r="CK1187" s="5"/>
      <c r="CL1187" s="5"/>
      <c r="CM1187" s="5"/>
      <c r="CN1187" s="5"/>
      <c r="CO1187" s="5"/>
      <c r="CP1187" s="5"/>
      <c r="CQ1187" s="5"/>
      <c r="CR1187" s="5"/>
      <c r="CS1187" s="5"/>
      <c r="CT1187" s="5"/>
      <c r="CU1187" s="5"/>
      <c r="CV1187" s="5"/>
      <c r="CW1187" s="5"/>
      <c r="CX1187" s="5"/>
      <c r="CY1187" s="5"/>
      <c r="CZ1187" s="5"/>
      <c r="DA1187" s="5"/>
      <c r="DB1187" s="5"/>
      <c r="DC1187" s="5"/>
      <c r="DD1187" s="5"/>
      <c r="DE1187" s="5"/>
      <c r="DF1187" s="5"/>
      <c r="DG1187" s="5"/>
      <c r="DH1187" s="5"/>
      <c r="DI1187" s="5"/>
      <c r="DJ1187" s="5"/>
      <c r="DK1187" s="5"/>
      <c r="DL1187" s="5"/>
      <c r="DM1187" s="5"/>
      <c r="DN1187" s="5"/>
      <c r="DO1187" s="5"/>
      <c r="DP1187" s="5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  <c r="GV1187" s="1"/>
      <c r="GW1187" s="1"/>
      <c r="GX1187" s="1"/>
      <c r="GY1187" s="1"/>
      <c r="GZ1187" s="1"/>
      <c r="HA1187" s="1"/>
      <c r="HB1187" s="1"/>
      <c r="HC1187" s="1"/>
      <c r="HD1187" s="1"/>
      <c r="HE1187" s="1"/>
      <c r="HF1187" s="1"/>
      <c r="HG1187" s="1"/>
      <c r="HH1187" s="1"/>
      <c r="HI1187" s="1"/>
      <c r="HJ1187" s="1"/>
      <c r="HK1187" s="1"/>
      <c r="HL1187" s="1"/>
      <c r="HM1187" s="1"/>
      <c r="HN1187" s="1"/>
      <c r="HO1187" s="1"/>
      <c r="HP1187" s="1"/>
      <c r="HQ1187" s="1"/>
      <c r="HR1187" s="1"/>
      <c r="HS1187" s="1"/>
      <c r="HT1187" s="1"/>
      <c r="HU1187" s="1"/>
      <c r="HV1187" s="1"/>
      <c r="HW1187" s="1"/>
      <c r="HX1187" s="1"/>
      <c r="HY1187" s="1"/>
      <c r="HZ1187" s="1"/>
      <c r="IA1187" s="1"/>
      <c r="IB1187" s="1"/>
      <c r="IC1187" s="1"/>
      <c r="ID1187" s="1"/>
      <c r="IE1187" s="1"/>
      <c r="IF1187" s="1"/>
      <c r="IG1187" s="1"/>
      <c r="IH1187" s="1"/>
      <c r="II1187" s="1"/>
      <c r="IJ1187" s="1"/>
      <c r="IK1187" s="1"/>
      <c r="IL1187" s="1"/>
      <c r="IM1187" s="1"/>
      <c r="IN1187" s="1"/>
      <c r="IO1187" s="1"/>
      <c r="IP1187" s="1"/>
      <c r="IQ1187" s="1"/>
      <c r="IR1187" s="1"/>
      <c r="IS1187" s="1"/>
      <c r="IT1187" s="1"/>
      <c r="IU1187" s="1"/>
      <c r="IV1187" s="1"/>
      <c r="IW1187" s="1"/>
      <c r="IX1187" s="1"/>
      <c r="IY1187" s="1"/>
      <c r="IZ1187" s="1"/>
      <c r="JA1187" s="1"/>
      <c r="JB1187" s="1"/>
      <c r="JC1187" s="1"/>
      <c r="JD1187" s="1"/>
    </row>
    <row r="1188" s="504" customFormat="true" ht="12.75" hidden="true" customHeight="true" outlineLevel="0" collapsed="false">
      <c r="A1188" s="5"/>
      <c r="B1188" s="813" t="n">
        <f aca="false">B1187+1</f>
        <v>973</v>
      </c>
      <c r="C1188" s="814" t="n">
        <f aca="false">C1187+D1188</f>
        <v>151450.340344038</v>
      </c>
      <c r="D1188" s="815" t="n">
        <f aca="false">E1188*$E$205*M1188</f>
        <v>232.727300910888</v>
      </c>
      <c r="E1188" s="601" t="n">
        <f aca="false">E1187+$C$204</f>
        <v>14.7594686016545</v>
      </c>
      <c r="F1188" s="816" t="n">
        <f aca="false">F1187+1</f>
        <v>973</v>
      </c>
      <c r="G1188" s="775" t="n">
        <f aca="false">C1188</f>
        <v>151450.340344038</v>
      </c>
      <c r="H1188" s="817" t="n">
        <f aca="false">1000*(E1188-E1187)</f>
        <v>9.99999999999979</v>
      </c>
      <c r="I1188" s="5"/>
      <c r="J1188" s="818" t="n">
        <f aca="false">1000*(E1188-$E$215)/(B1188-$B$215)</f>
        <v>11.6175435031569</v>
      </c>
      <c r="K1188" s="732" t="n">
        <f aca="false">AVERAGE($E$216:E1188)</f>
        <v>9.89165770751276</v>
      </c>
      <c r="L1188" s="819" t="n">
        <f aca="false">L1187+1</f>
        <v>973</v>
      </c>
      <c r="M1188" s="820" t="n">
        <f aca="false">IF(B1188&lt;$E$104,$E$105,$E$106)</f>
        <v>3</v>
      </c>
      <c r="N1188" s="821" t="n">
        <f aca="false">IF(B1188&lt;$E$104,$E$105,$E$111)</f>
        <v>2.5</v>
      </c>
      <c r="O1188" s="822" t="n">
        <f aca="false">E1188*$E$205*N1188</f>
        <v>193.93941742574</v>
      </c>
      <c r="P1188" s="823" t="n">
        <f aca="false">P1187+O1188</f>
        <v>126260.297553741</v>
      </c>
      <c r="Q1188" s="606" t="n">
        <f aca="false">Q1187+1</f>
        <v>973</v>
      </c>
      <c r="R1188" s="824" t="n">
        <f aca="false">R1187-1</f>
        <v>-973</v>
      </c>
      <c r="S1188" s="5"/>
      <c r="T1188" s="5"/>
      <c r="U1188" s="5"/>
      <c r="V1188" s="10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02"/>
      <c r="AU1188" s="502"/>
      <c r="AV1188" s="606"/>
      <c r="AW1188" s="502"/>
      <c r="AX1188" s="502"/>
      <c r="AY1188" s="502"/>
      <c r="AZ1188" s="502"/>
      <c r="BA1188" s="502"/>
      <c r="BB1188" s="502"/>
      <c r="BC1188" s="502"/>
      <c r="BD1188" s="502"/>
      <c r="BE1188" s="502"/>
      <c r="BF1188" s="502"/>
      <c r="BG1188" s="502"/>
      <c r="BH1188" s="502"/>
      <c r="BI1188" s="502"/>
      <c r="BJ1188" s="502"/>
      <c r="BK1188" s="502"/>
      <c r="BL1188" s="502"/>
      <c r="BM1188" s="502"/>
      <c r="BN1188" s="502"/>
      <c r="BO1188" s="502"/>
      <c r="BP1188" s="5"/>
      <c r="BQ1188" s="5"/>
      <c r="BR1188" s="5"/>
      <c r="BS1188" s="5"/>
      <c r="BT1188" s="5"/>
      <c r="BU1188" s="5"/>
      <c r="BV1188" s="5"/>
      <c r="BW1188" s="5"/>
      <c r="BX1188" s="5"/>
      <c r="BY1188" s="5"/>
      <c r="BZ1188" s="5"/>
      <c r="CA1188" s="5"/>
      <c r="CB1188" s="5"/>
      <c r="CC1188" s="5"/>
      <c r="CD1188" s="5"/>
      <c r="CE1188" s="5"/>
      <c r="CF1188" s="5"/>
      <c r="CG1188" s="5"/>
      <c r="CH1188" s="5"/>
      <c r="CI1188" s="5"/>
      <c r="CJ1188" s="5"/>
      <c r="CK1188" s="5"/>
      <c r="CL1188" s="5"/>
      <c r="CM1188" s="5"/>
      <c r="CN1188" s="5"/>
      <c r="CO1188" s="5"/>
      <c r="CP1188" s="5"/>
      <c r="CQ1188" s="5"/>
      <c r="CR1188" s="5"/>
      <c r="CS1188" s="5"/>
      <c r="CT1188" s="5"/>
      <c r="CU1188" s="5"/>
      <c r="CV1188" s="5"/>
      <c r="CW1188" s="5"/>
      <c r="CX1188" s="5"/>
      <c r="CY1188" s="5"/>
      <c r="CZ1188" s="5"/>
      <c r="DA1188" s="5"/>
      <c r="DB1188" s="5"/>
      <c r="DC1188" s="5"/>
      <c r="DD1188" s="5"/>
      <c r="DE1188" s="5"/>
      <c r="DF1188" s="5"/>
      <c r="DG1188" s="5"/>
      <c r="DH1188" s="5"/>
      <c r="DI1188" s="5"/>
      <c r="DJ1188" s="5"/>
      <c r="DK1188" s="5"/>
      <c r="DL1188" s="5"/>
      <c r="DM1188" s="5"/>
      <c r="DN1188" s="5"/>
      <c r="DO1188" s="5"/>
      <c r="DP1188" s="5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  <c r="GV1188" s="1"/>
      <c r="GW1188" s="1"/>
      <c r="GX1188" s="1"/>
      <c r="GY1188" s="1"/>
      <c r="GZ1188" s="1"/>
      <c r="HA1188" s="1"/>
      <c r="HB1188" s="1"/>
      <c r="HC1188" s="1"/>
      <c r="HD1188" s="1"/>
      <c r="HE1188" s="1"/>
      <c r="HF1188" s="1"/>
      <c r="HG1188" s="1"/>
      <c r="HH1188" s="1"/>
      <c r="HI1188" s="1"/>
      <c r="HJ1188" s="1"/>
      <c r="HK1188" s="1"/>
      <c r="HL1188" s="1"/>
      <c r="HM1188" s="1"/>
      <c r="HN1188" s="1"/>
      <c r="HO1188" s="1"/>
      <c r="HP1188" s="1"/>
      <c r="HQ1188" s="1"/>
      <c r="HR1188" s="1"/>
      <c r="HS1188" s="1"/>
      <c r="HT1188" s="1"/>
      <c r="HU1188" s="1"/>
      <c r="HV1188" s="1"/>
      <c r="HW1188" s="1"/>
      <c r="HX1188" s="1"/>
      <c r="HY1188" s="1"/>
      <c r="HZ1188" s="1"/>
      <c r="IA1188" s="1"/>
      <c r="IB1188" s="1"/>
      <c r="IC1188" s="1"/>
      <c r="ID1188" s="1"/>
      <c r="IE1188" s="1"/>
      <c r="IF1188" s="1"/>
      <c r="IG1188" s="1"/>
      <c r="IH1188" s="1"/>
      <c r="II1188" s="1"/>
      <c r="IJ1188" s="1"/>
      <c r="IK1188" s="1"/>
      <c r="IL1188" s="1"/>
      <c r="IM1188" s="1"/>
      <c r="IN1188" s="1"/>
      <c r="IO1188" s="1"/>
      <c r="IP1188" s="1"/>
      <c r="IQ1188" s="1"/>
      <c r="IR1188" s="1"/>
      <c r="IS1188" s="1"/>
      <c r="IT1188" s="1"/>
      <c r="IU1188" s="1"/>
      <c r="IV1188" s="1"/>
      <c r="IW1188" s="1"/>
      <c r="IX1188" s="1"/>
      <c r="IY1188" s="1"/>
      <c r="IZ1188" s="1"/>
      <c r="JA1188" s="1"/>
      <c r="JB1188" s="1"/>
      <c r="JC1188" s="1"/>
      <c r="JD1188" s="1"/>
    </row>
    <row r="1189" s="504" customFormat="true" ht="12.75" hidden="true" customHeight="true" outlineLevel="0" collapsed="false">
      <c r="A1189" s="5"/>
      <c r="B1189" s="813" t="n">
        <f aca="false">B1188+1</f>
        <v>974</v>
      </c>
      <c r="C1189" s="814" t="n">
        <f aca="false">C1188+D1189</f>
        <v>151683.225324949</v>
      </c>
      <c r="D1189" s="815" t="n">
        <f aca="false">E1189*$E$205*M1189</f>
        <v>232.884980910888</v>
      </c>
      <c r="E1189" s="601" t="n">
        <f aca="false">E1188+$C$204</f>
        <v>14.7694686016545</v>
      </c>
      <c r="F1189" s="816" t="n">
        <f aca="false">F1188+1</f>
        <v>974</v>
      </c>
      <c r="G1189" s="775" t="n">
        <f aca="false">C1189</f>
        <v>151683.225324949</v>
      </c>
      <c r="H1189" s="817" t="n">
        <f aca="false">1000*(E1189-E1188)</f>
        <v>9.99999999999979</v>
      </c>
      <c r="I1189" s="5"/>
      <c r="J1189" s="818" t="n">
        <f aca="false">1000*(E1189-$E$215)/(B1189-$B$215)</f>
        <v>11.6158827808744</v>
      </c>
      <c r="K1189" s="732" t="n">
        <f aca="false">AVERAGE($E$216:E1189)</f>
        <v>9.89666572691126</v>
      </c>
      <c r="L1189" s="819" t="n">
        <f aca="false">L1188+1</f>
        <v>974</v>
      </c>
      <c r="M1189" s="820" t="n">
        <f aca="false">IF(B1189&lt;$E$104,$E$105,$E$106)</f>
        <v>3</v>
      </c>
      <c r="N1189" s="821" t="n">
        <f aca="false">IF(B1189&lt;$E$104,$E$105,$E$111)</f>
        <v>2.5</v>
      </c>
      <c r="O1189" s="822" t="n">
        <f aca="false">E1189*$E$205*N1189</f>
        <v>194.07081742574</v>
      </c>
      <c r="P1189" s="823" t="n">
        <f aca="false">P1188+O1189</f>
        <v>126454.368371167</v>
      </c>
      <c r="Q1189" s="606" t="n">
        <f aca="false">Q1188+1</f>
        <v>974</v>
      </c>
      <c r="R1189" s="824" t="n">
        <f aca="false">R1188-1</f>
        <v>-974</v>
      </c>
      <c r="S1189" s="5"/>
      <c r="T1189" s="5"/>
      <c r="U1189" s="5"/>
      <c r="V1189" s="10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02"/>
      <c r="AU1189" s="502"/>
      <c r="AV1189" s="606"/>
      <c r="AW1189" s="502"/>
      <c r="AX1189" s="502"/>
      <c r="AY1189" s="502"/>
      <c r="AZ1189" s="502"/>
      <c r="BA1189" s="502"/>
      <c r="BB1189" s="502"/>
      <c r="BC1189" s="502"/>
      <c r="BD1189" s="502"/>
      <c r="BE1189" s="502"/>
      <c r="BF1189" s="502"/>
      <c r="BG1189" s="502"/>
      <c r="BH1189" s="502"/>
      <c r="BI1189" s="502"/>
      <c r="BJ1189" s="502"/>
      <c r="BK1189" s="502"/>
      <c r="BL1189" s="502"/>
      <c r="BM1189" s="502"/>
      <c r="BN1189" s="502"/>
      <c r="BO1189" s="502"/>
      <c r="BP1189" s="5"/>
      <c r="BQ1189" s="5"/>
      <c r="BR1189" s="5"/>
      <c r="BS1189" s="5"/>
      <c r="BT1189" s="5"/>
      <c r="BU1189" s="5"/>
      <c r="BV1189" s="5"/>
      <c r="BW1189" s="5"/>
      <c r="BX1189" s="5"/>
      <c r="BY1189" s="5"/>
      <c r="BZ1189" s="5"/>
      <c r="CA1189" s="5"/>
      <c r="CB1189" s="5"/>
      <c r="CC1189" s="5"/>
      <c r="CD1189" s="5"/>
      <c r="CE1189" s="5"/>
      <c r="CF1189" s="5"/>
      <c r="CG1189" s="5"/>
      <c r="CH1189" s="5"/>
      <c r="CI1189" s="5"/>
      <c r="CJ1189" s="5"/>
      <c r="CK1189" s="5"/>
      <c r="CL1189" s="5"/>
      <c r="CM1189" s="5"/>
      <c r="CN1189" s="5"/>
      <c r="CO1189" s="5"/>
      <c r="CP1189" s="5"/>
      <c r="CQ1189" s="5"/>
      <c r="CR1189" s="5"/>
      <c r="CS1189" s="5"/>
      <c r="CT1189" s="5"/>
      <c r="CU1189" s="5"/>
      <c r="CV1189" s="5"/>
      <c r="CW1189" s="5"/>
      <c r="CX1189" s="5"/>
      <c r="CY1189" s="5"/>
      <c r="CZ1189" s="5"/>
      <c r="DA1189" s="5"/>
      <c r="DB1189" s="5"/>
      <c r="DC1189" s="5"/>
      <c r="DD1189" s="5"/>
      <c r="DE1189" s="5"/>
      <c r="DF1189" s="5"/>
      <c r="DG1189" s="5"/>
      <c r="DH1189" s="5"/>
      <c r="DI1189" s="5"/>
      <c r="DJ1189" s="5"/>
      <c r="DK1189" s="5"/>
      <c r="DL1189" s="5"/>
      <c r="DM1189" s="5"/>
      <c r="DN1189" s="5"/>
      <c r="DO1189" s="5"/>
      <c r="DP1189" s="5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  <c r="GV1189" s="1"/>
      <c r="GW1189" s="1"/>
      <c r="GX1189" s="1"/>
      <c r="GY1189" s="1"/>
      <c r="GZ1189" s="1"/>
      <c r="HA1189" s="1"/>
      <c r="HB1189" s="1"/>
      <c r="HC1189" s="1"/>
      <c r="HD1189" s="1"/>
      <c r="HE1189" s="1"/>
      <c r="HF1189" s="1"/>
      <c r="HG1189" s="1"/>
      <c r="HH1189" s="1"/>
      <c r="HI1189" s="1"/>
      <c r="HJ1189" s="1"/>
      <c r="HK1189" s="1"/>
      <c r="HL1189" s="1"/>
      <c r="HM1189" s="1"/>
      <c r="HN1189" s="1"/>
      <c r="HO1189" s="1"/>
      <c r="HP1189" s="1"/>
      <c r="HQ1189" s="1"/>
      <c r="HR1189" s="1"/>
      <c r="HS1189" s="1"/>
      <c r="HT1189" s="1"/>
      <c r="HU1189" s="1"/>
      <c r="HV1189" s="1"/>
      <c r="HW1189" s="1"/>
      <c r="HX1189" s="1"/>
      <c r="HY1189" s="1"/>
      <c r="HZ1189" s="1"/>
      <c r="IA1189" s="1"/>
      <c r="IB1189" s="1"/>
      <c r="IC1189" s="1"/>
      <c r="ID1189" s="1"/>
      <c r="IE1189" s="1"/>
      <c r="IF1189" s="1"/>
      <c r="IG1189" s="1"/>
      <c r="IH1189" s="1"/>
      <c r="II1189" s="1"/>
      <c r="IJ1189" s="1"/>
      <c r="IK1189" s="1"/>
      <c r="IL1189" s="1"/>
      <c r="IM1189" s="1"/>
      <c r="IN1189" s="1"/>
      <c r="IO1189" s="1"/>
      <c r="IP1189" s="1"/>
      <c r="IQ1189" s="1"/>
      <c r="IR1189" s="1"/>
      <c r="IS1189" s="1"/>
      <c r="IT1189" s="1"/>
      <c r="IU1189" s="1"/>
      <c r="IV1189" s="1"/>
      <c r="IW1189" s="1"/>
      <c r="IX1189" s="1"/>
      <c r="IY1189" s="1"/>
      <c r="IZ1189" s="1"/>
      <c r="JA1189" s="1"/>
      <c r="JB1189" s="1"/>
      <c r="JC1189" s="1"/>
      <c r="JD1189" s="1"/>
    </row>
    <row r="1190" s="504" customFormat="true" ht="12.75" hidden="true" customHeight="true" outlineLevel="0" collapsed="false">
      <c r="A1190" s="5"/>
      <c r="B1190" s="813" t="n">
        <f aca="false">B1189+1</f>
        <v>975</v>
      </c>
      <c r="C1190" s="814" t="n">
        <f aca="false">C1189+D1190</f>
        <v>151916.26798586</v>
      </c>
      <c r="D1190" s="815" t="n">
        <f aca="false">E1190*$E$205*M1190</f>
        <v>233.042660910888</v>
      </c>
      <c r="E1190" s="601" t="n">
        <f aca="false">E1189+$C$204</f>
        <v>14.7794686016545</v>
      </c>
      <c r="F1190" s="816" t="n">
        <f aca="false">F1189+1</f>
        <v>975</v>
      </c>
      <c r="G1190" s="775" t="n">
        <f aca="false">C1190</f>
        <v>151916.26798586</v>
      </c>
      <c r="H1190" s="817" t="n">
        <f aca="false">1000*(E1190-E1189)</f>
        <v>9.99999999999979</v>
      </c>
      <c r="I1190" s="5"/>
      <c r="J1190" s="818" t="n">
        <f aca="false">1000*(E1190-$E$215)/(B1190-$B$215)</f>
        <v>11.6142254652017</v>
      </c>
      <c r="K1190" s="732" t="n">
        <f aca="false">AVERAGE($E$216:E1190)</f>
        <v>9.90167372985972</v>
      </c>
      <c r="L1190" s="819" t="n">
        <f aca="false">L1189+1</f>
        <v>975</v>
      </c>
      <c r="M1190" s="820" t="n">
        <f aca="false">IF(B1190&lt;$E$104,$E$105,$E$106)</f>
        <v>3</v>
      </c>
      <c r="N1190" s="821" t="n">
        <f aca="false">IF(B1190&lt;$E$104,$E$105,$E$111)</f>
        <v>2.5</v>
      </c>
      <c r="O1190" s="822" t="n">
        <f aca="false">E1190*$E$205*N1190</f>
        <v>194.20221742574</v>
      </c>
      <c r="P1190" s="823" t="n">
        <f aca="false">P1189+O1190</f>
        <v>126648.570588593</v>
      </c>
      <c r="Q1190" s="606" t="n">
        <f aca="false">Q1189+1</f>
        <v>975</v>
      </c>
      <c r="R1190" s="824" t="n">
        <f aca="false">R1189-1</f>
        <v>-975</v>
      </c>
      <c r="S1190" s="5"/>
      <c r="T1190" s="5"/>
      <c r="U1190" s="5"/>
      <c r="V1190" s="10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02"/>
      <c r="AU1190" s="502"/>
      <c r="AV1190" s="606"/>
      <c r="AW1190" s="502"/>
      <c r="AX1190" s="502"/>
      <c r="AY1190" s="502"/>
      <c r="AZ1190" s="502"/>
      <c r="BA1190" s="502"/>
      <c r="BB1190" s="502"/>
      <c r="BC1190" s="502"/>
      <c r="BD1190" s="502"/>
      <c r="BE1190" s="502"/>
      <c r="BF1190" s="502"/>
      <c r="BG1190" s="502"/>
      <c r="BH1190" s="502"/>
      <c r="BI1190" s="502"/>
      <c r="BJ1190" s="502"/>
      <c r="BK1190" s="502"/>
      <c r="BL1190" s="502"/>
      <c r="BM1190" s="502"/>
      <c r="BN1190" s="502"/>
      <c r="BO1190" s="502"/>
      <c r="BP1190" s="5"/>
      <c r="BQ1190" s="5"/>
      <c r="BR1190" s="5"/>
      <c r="BS1190" s="5"/>
      <c r="BT1190" s="5"/>
      <c r="BU1190" s="5"/>
      <c r="BV1190" s="5"/>
      <c r="BW1190" s="5"/>
      <c r="BX1190" s="5"/>
      <c r="BY1190" s="5"/>
      <c r="BZ1190" s="5"/>
      <c r="CA1190" s="5"/>
      <c r="CB1190" s="5"/>
      <c r="CC1190" s="5"/>
      <c r="CD1190" s="5"/>
      <c r="CE1190" s="5"/>
      <c r="CF1190" s="5"/>
      <c r="CG1190" s="5"/>
      <c r="CH1190" s="5"/>
      <c r="CI1190" s="5"/>
      <c r="CJ1190" s="5"/>
      <c r="CK1190" s="5"/>
      <c r="CL1190" s="5"/>
      <c r="CM1190" s="5"/>
      <c r="CN1190" s="5"/>
      <c r="CO1190" s="5"/>
      <c r="CP1190" s="5"/>
      <c r="CQ1190" s="5"/>
      <c r="CR1190" s="5"/>
      <c r="CS1190" s="5"/>
      <c r="CT1190" s="5"/>
      <c r="CU1190" s="5"/>
      <c r="CV1190" s="5"/>
      <c r="CW1190" s="5"/>
      <c r="CX1190" s="5"/>
      <c r="CY1190" s="5"/>
      <c r="CZ1190" s="5"/>
      <c r="DA1190" s="5"/>
      <c r="DB1190" s="5"/>
      <c r="DC1190" s="5"/>
      <c r="DD1190" s="5"/>
      <c r="DE1190" s="5"/>
      <c r="DF1190" s="5"/>
      <c r="DG1190" s="5"/>
      <c r="DH1190" s="5"/>
      <c r="DI1190" s="5"/>
      <c r="DJ1190" s="5"/>
      <c r="DK1190" s="5"/>
      <c r="DL1190" s="5"/>
      <c r="DM1190" s="5"/>
      <c r="DN1190" s="5"/>
      <c r="DO1190" s="5"/>
      <c r="DP1190" s="5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  <c r="GV1190" s="1"/>
      <c r="GW1190" s="1"/>
      <c r="GX1190" s="1"/>
      <c r="GY1190" s="1"/>
      <c r="GZ1190" s="1"/>
      <c r="HA1190" s="1"/>
      <c r="HB1190" s="1"/>
      <c r="HC1190" s="1"/>
      <c r="HD1190" s="1"/>
      <c r="HE1190" s="1"/>
      <c r="HF1190" s="1"/>
      <c r="HG1190" s="1"/>
      <c r="HH1190" s="1"/>
      <c r="HI1190" s="1"/>
      <c r="HJ1190" s="1"/>
      <c r="HK1190" s="1"/>
      <c r="HL1190" s="1"/>
      <c r="HM1190" s="1"/>
      <c r="HN1190" s="1"/>
      <c r="HO1190" s="1"/>
      <c r="HP1190" s="1"/>
      <c r="HQ1190" s="1"/>
      <c r="HR1190" s="1"/>
      <c r="HS1190" s="1"/>
      <c r="HT1190" s="1"/>
      <c r="HU1190" s="1"/>
      <c r="HV1190" s="1"/>
      <c r="HW1190" s="1"/>
      <c r="HX1190" s="1"/>
      <c r="HY1190" s="1"/>
      <c r="HZ1190" s="1"/>
      <c r="IA1190" s="1"/>
      <c r="IB1190" s="1"/>
      <c r="IC1190" s="1"/>
      <c r="ID1190" s="1"/>
      <c r="IE1190" s="1"/>
      <c r="IF1190" s="1"/>
      <c r="IG1190" s="1"/>
      <c r="IH1190" s="1"/>
      <c r="II1190" s="1"/>
      <c r="IJ1190" s="1"/>
      <c r="IK1190" s="1"/>
      <c r="IL1190" s="1"/>
      <c r="IM1190" s="1"/>
      <c r="IN1190" s="1"/>
      <c r="IO1190" s="1"/>
      <c r="IP1190" s="1"/>
      <c r="IQ1190" s="1"/>
      <c r="IR1190" s="1"/>
      <c r="IS1190" s="1"/>
      <c r="IT1190" s="1"/>
      <c r="IU1190" s="1"/>
      <c r="IV1190" s="1"/>
      <c r="IW1190" s="1"/>
      <c r="IX1190" s="1"/>
      <c r="IY1190" s="1"/>
      <c r="IZ1190" s="1"/>
      <c r="JA1190" s="1"/>
      <c r="JB1190" s="1"/>
      <c r="JC1190" s="1"/>
      <c r="JD1190" s="1"/>
    </row>
    <row r="1191" s="504" customFormat="true" ht="12.75" hidden="true" customHeight="true" outlineLevel="0" collapsed="false">
      <c r="A1191" s="5"/>
      <c r="B1191" s="813" t="n">
        <f aca="false">B1190+1</f>
        <v>976</v>
      </c>
      <c r="C1191" s="814" t="n">
        <f aca="false">C1190+D1191</f>
        <v>152149.468326771</v>
      </c>
      <c r="D1191" s="815" t="n">
        <f aca="false">E1191*$E$205*M1191</f>
        <v>233.200340910888</v>
      </c>
      <c r="E1191" s="601" t="n">
        <f aca="false">E1190+$C$204</f>
        <v>14.7894686016545</v>
      </c>
      <c r="F1191" s="816" t="n">
        <f aca="false">F1190+1</f>
        <v>976</v>
      </c>
      <c r="G1191" s="775" t="n">
        <f aca="false">C1191</f>
        <v>152149.468326771</v>
      </c>
      <c r="H1191" s="817" t="n">
        <f aca="false">1000*(E1191-E1190)</f>
        <v>9.99999999999979</v>
      </c>
      <c r="I1191" s="5"/>
      <c r="J1191" s="818" t="n">
        <f aca="false">1000*(E1191-$E$215)/(B1191-$B$215)</f>
        <v>11.6125715456677</v>
      </c>
      <c r="K1191" s="732" t="n">
        <f aca="false">AVERAGE($E$216:E1191)</f>
        <v>9.90668171640869</v>
      </c>
      <c r="L1191" s="819" t="n">
        <f aca="false">L1190+1</f>
        <v>976</v>
      </c>
      <c r="M1191" s="820" t="n">
        <f aca="false">IF(B1191&lt;$E$104,$E$105,$E$106)</f>
        <v>3</v>
      </c>
      <c r="N1191" s="821" t="n">
        <f aca="false">IF(B1191&lt;$E$104,$E$105,$E$111)</f>
        <v>2.5</v>
      </c>
      <c r="O1191" s="822" t="n">
        <f aca="false">E1191*$E$205*N1191</f>
        <v>194.33361742574</v>
      </c>
      <c r="P1191" s="823" t="n">
        <f aca="false">P1190+O1191</f>
        <v>126842.904206019</v>
      </c>
      <c r="Q1191" s="606" t="n">
        <f aca="false">Q1190+1</f>
        <v>976</v>
      </c>
      <c r="R1191" s="824" t="n">
        <f aca="false">R1190-1</f>
        <v>-976</v>
      </c>
      <c r="S1191" s="5"/>
      <c r="T1191" s="5"/>
      <c r="U1191" s="5"/>
      <c r="V1191" s="10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02"/>
      <c r="AU1191" s="502"/>
      <c r="AV1191" s="606"/>
      <c r="AW1191" s="502"/>
      <c r="AX1191" s="502"/>
      <c r="AY1191" s="502"/>
      <c r="AZ1191" s="502"/>
      <c r="BA1191" s="502"/>
      <c r="BB1191" s="502"/>
      <c r="BC1191" s="502"/>
      <c r="BD1191" s="502"/>
      <c r="BE1191" s="502"/>
      <c r="BF1191" s="502"/>
      <c r="BG1191" s="502"/>
      <c r="BH1191" s="502"/>
      <c r="BI1191" s="502"/>
      <c r="BJ1191" s="502"/>
      <c r="BK1191" s="502"/>
      <c r="BL1191" s="502"/>
      <c r="BM1191" s="502"/>
      <c r="BN1191" s="502"/>
      <c r="BO1191" s="502"/>
      <c r="BP1191" s="5"/>
      <c r="BQ1191" s="5"/>
      <c r="BR1191" s="5"/>
      <c r="BS1191" s="5"/>
      <c r="BT1191" s="5"/>
      <c r="BU1191" s="5"/>
      <c r="BV1191" s="5"/>
      <c r="BW1191" s="5"/>
      <c r="BX1191" s="5"/>
      <c r="BY1191" s="5"/>
      <c r="BZ1191" s="5"/>
      <c r="CA1191" s="5"/>
      <c r="CB1191" s="5"/>
      <c r="CC1191" s="5"/>
      <c r="CD1191" s="5"/>
      <c r="CE1191" s="5"/>
      <c r="CF1191" s="5"/>
      <c r="CG1191" s="5"/>
      <c r="CH1191" s="5"/>
      <c r="CI1191" s="5"/>
      <c r="CJ1191" s="5"/>
      <c r="CK1191" s="5"/>
      <c r="CL1191" s="5"/>
      <c r="CM1191" s="5"/>
      <c r="CN1191" s="5"/>
      <c r="CO1191" s="5"/>
      <c r="CP1191" s="5"/>
      <c r="CQ1191" s="5"/>
      <c r="CR1191" s="5"/>
      <c r="CS1191" s="5"/>
      <c r="CT1191" s="5"/>
      <c r="CU1191" s="5"/>
      <c r="CV1191" s="5"/>
      <c r="CW1191" s="5"/>
      <c r="CX1191" s="5"/>
      <c r="CY1191" s="5"/>
      <c r="CZ1191" s="5"/>
      <c r="DA1191" s="5"/>
      <c r="DB1191" s="5"/>
      <c r="DC1191" s="5"/>
      <c r="DD1191" s="5"/>
      <c r="DE1191" s="5"/>
      <c r="DF1191" s="5"/>
      <c r="DG1191" s="5"/>
      <c r="DH1191" s="5"/>
      <c r="DI1191" s="5"/>
      <c r="DJ1191" s="5"/>
      <c r="DK1191" s="5"/>
      <c r="DL1191" s="5"/>
      <c r="DM1191" s="5"/>
      <c r="DN1191" s="5"/>
      <c r="DO1191" s="5"/>
      <c r="DP1191" s="5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  <c r="GV1191" s="1"/>
      <c r="GW1191" s="1"/>
      <c r="GX1191" s="1"/>
      <c r="GY1191" s="1"/>
      <c r="GZ1191" s="1"/>
      <c r="HA1191" s="1"/>
      <c r="HB1191" s="1"/>
      <c r="HC1191" s="1"/>
      <c r="HD1191" s="1"/>
      <c r="HE1191" s="1"/>
      <c r="HF1191" s="1"/>
      <c r="HG1191" s="1"/>
      <c r="HH1191" s="1"/>
      <c r="HI1191" s="1"/>
      <c r="HJ1191" s="1"/>
      <c r="HK1191" s="1"/>
      <c r="HL1191" s="1"/>
      <c r="HM1191" s="1"/>
      <c r="HN1191" s="1"/>
      <c r="HO1191" s="1"/>
      <c r="HP1191" s="1"/>
      <c r="HQ1191" s="1"/>
      <c r="HR1191" s="1"/>
      <c r="HS1191" s="1"/>
      <c r="HT1191" s="1"/>
      <c r="HU1191" s="1"/>
      <c r="HV1191" s="1"/>
      <c r="HW1191" s="1"/>
      <c r="HX1191" s="1"/>
      <c r="HY1191" s="1"/>
      <c r="HZ1191" s="1"/>
      <c r="IA1191" s="1"/>
      <c r="IB1191" s="1"/>
      <c r="IC1191" s="1"/>
      <c r="ID1191" s="1"/>
      <c r="IE1191" s="1"/>
      <c r="IF1191" s="1"/>
      <c r="IG1191" s="1"/>
      <c r="IH1191" s="1"/>
      <c r="II1191" s="1"/>
      <c r="IJ1191" s="1"/>
      <c r="IK1191" s="1"/>
      <c r="IL1191" s="1"/>
      <c r="IM1191" s="1"/>
      <c r="IN1191" s="1"/>
      <c r="IO1191" s="1"/>
      <c r="IP1191" s="1"/>
      <c r="IQ1191" s="1"/>
      <c r="IR1191" s="1"/>
      <c r="IS1191" s="1"/>
      <c r="IT1191" s="1"/>
      <c r="IU1191" s="1"/>
      <c r="IV1191" s="1"/>
      <c r="IW1191" s="1"/>
      <c r="IX1191" s="1"/>
      <c r="IY1191" s="1"/>
      <c r="IZ1191" s="1"/>
      <c r="JA1191" s="1"/>
      <c r="JB1191" s="1"/>
      <c r="JC1191" s="1"/>
      <c r="JD1191" s="1"/>
    </row>
    <row r="1192" s="504" customFormat="true" ht="12.75" hidden="true" customHeight="true" outlineLevel="0" collapsed="false">
      <c r="A1192" s="5"/>
      <c r="B1192" s="813" t="n">
        <f aca="false">B1191+1</f>
        <v>977</v>
      </c>
      <c r="C1192" s="814" t="n">
        <f aca="false">C1191+D1192</f>
        <v>152382.826347682</v>
      </c>
      <c r="D1192" s="815" t="n">
        <f aca="false">E1192*$E$205*M1192</f>
        <v>233.358020910888</v>
      </c>
      <c r="E1192" s="601" t="n">
        <f aca="false">E1191+$C$204</f>
        <v>14.7994686016545</v>
      </c>
      <c r="F1192" s="816" t="n">
        <f aca="false">F1191+1</f>
        <v>977</v>
      </c>
      <c r="G1192" s="775" t="n">
        <f aca="false">C1192</f>
        <v>152382.826347682</v>
      </c>
      <c r="H1192" s="817" t="n">
        <f aca="false">1000*(E1192-E1191)</f>
        <v>9.99999999999979</v>
      </c>
      <c r="I1192" s="5"/>
      <c r="J1192" s="818" t="n">
        <f aca="false">1000*(E1192-$E$215)/(B1192-$B$215)</f>
        <v>11.610921011844</v>
      </c>
      <c r="K1192" s="732" t="n">
        <f aca="false">AVERAGE($E$216:E1192)</f>
        <v>9.91168968660853</v>
      </c>
      <c r="L1192" s="819" t="n">
        <f aca="false">L1191+1</f>
        <v>977</v>
      </c>
      <c r="M1192" s="820" t="n">
        <f aca="false">IF(B1192&lt;$E$104,$E$105,$E$106)</f>
        <v>3</v>
      </c>
      <c r="N1192" s="821" t="n">
        <f aca="false">IF(B1192&lt;$E$104,$E$105,$E$111)</f>
        <v>2.5</v>
      </c>
      <c r="O1192" s="822" t="n">
        <f aca="false">E1192*$E$205*N1192</f>
        <v>194.46501742574</v>
      </c>
      <c r="P1192" s="823" t="n">
        <f aca="false">P1191+O1192</f>
        <v>127037.369223444</v>
      </c>
      <c r="Q1192" s="606" t="n">
        <f aca="false">Q1191+1</f>
        <v>977</v>
      </c>
      <c r="R1192" s="824" t="n">
        <f aca="false">R1191-1</f>
        <v>-977</v>
      </c>
      <c r="S1192" s="5"/>
      <c r="T1192" s="5"/>
      <c r="U1192" s="5"/>
      <c r="V1192" s="10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02"/>
      <c r="AU1192" s="502"/>
      <c r="AV1192" s="606"/>
      <c r="AW1192" s="502"/>
      <c r="AX1192" s="502"/>
      <c r="AY1192" s="502"/>
      <c r="AZ1192" s="502"/>
      <c r="BA1192" s="502"/>
      <c r="BB1192" s="502"/>
      <c r="BC1192" s="502"/>
      <c r="BD1192" s="502"/>
      <c r="BE1192" s="502"/>
      <c r="BF1192" s="502"/>
      <c r="BG1192" s="502"/>
      <c r="BH1192" s="502"/>
      <c r="BI1192" s="502"/>
      <c r="BJ1192" s="502"/>
      <c r="BK1192" s="502"/>
      <c r="BL1192" s="502"/>
      <c r="BM1192" s="502"/>
      <c r="BN1192" s="502"/>
      <c r="BO1192" s="502"/>
      <c r="BP1192" s="5"/>
      <c r="BQ1192" s="5"/>
      <c r="BR1192" s="5"/>
      <c r="BS1192" s="5"/>
      <c r="BT1192" s="5"/>
      <c r="BU1192" s="5"/>
      <c r="BV1192" s="5"/>
      <c r="BW1192" s="5"/>
      <c r="BX1192" s="5"/>
      <c r="BY1192" s="5"/>
      <c r="BZ1192" s="5"/>
      <c r="CA1192" s="5"/>
      <c r="CB1192" s="5"/>
      <c r="CC1192" s="5"/>
      <c r="CD1192" s="5"/>
      <c r="CE1192" s="5"/>
      <c r="CF1192" s="5"/>
      <c r="CG1192" s="5"/>
      <c r="CH1192" s="5"/>
      <c r="CI1192" s="5"/>
      <c r="CJ1192" s="5"/>
      <c r="CK1192" s="5"/>
      <c r="CL1192" s="5"/>
      <c r="CM1192" s="5"/>
      <c r="CN1192" s="5"/>
      <c r="CO1192" s="5"/>
      <c r="CP1192" s="5"/>
      <c r="CQ1192" s="5"/>
      <c r="CR1192" s="5"/>
      <c r="CS1192" s="5"/>
      <c r="CT1192" s="5"/>
      <c r="CU1192" s="5"/>
      <c r="CV1192" s="5"/>
      <c r="CW1192" s="5"/>
      <c r="CX1192" s="5"/>
      <c r="CY1192" s="5"/>
      <c r="CZ1192" s="5"/>
      <c r="DA1192" s="5"/>
      <c r="DB1192" s="5"/>
      <c r="DC1192" s="5"/>
      <c r="DD1192" s="5"/>
      <c r="DE1192" s="5"/>
      <c r="DF1192" s="5"/>
      <c r="DG1192" s="5"/>
      <c r="DH1192" s="5"/>
      <c r="DI1192" s="5"/>
      <c r="DJ1192" s="5"/>
      <c r="DK1192" s="5"/>
      <c r="DL1192" s="5"/>
      <c r="DM1192" s="5"/>
      <c r="DN1192" s="5"/>
      <c r="DO1192" s="5"/>
      <c r="DP1192" s="5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  <c r="GV1192" s="1"/>
      <c r="GW1192" s="1"/>
      <c r="GX1192" s="1"/>
      <c r="GY1192" s="1"/>
      <c r="GZ1192" s="1"/>
      <c r="HA1192" s="1"/>
      <c r="HB1192" s="1"/>
      <c r="HC1192" s="1"/>
      <c r="HD1192" s="1"/>
      <c r="HE1192" s="1"/>
      <c r="HF1192" s="1"/>
      <c r="HG1192" s="1"/>
      <c r="HH1192" s="1"/>
      <c r="HI1192" s="1"/>
      <c r="HJ1192" s="1"/>
      <c r="HK1192" s="1"/>
      <c r="HL1192" s="1"/>
      <c r="HM1192" s="1"/>
      <c r="HN1192" s="1"/>
      <c r="HO1192" s="1"/>
      <c r="HP1192" s="1"/>
      <c r="HQ1192" s="1"/>
      <c r="HR1192" s="1"/>
      <c r="HS1192" s="1"/>
      <c r="HT1192" s="1"/>
      <c r="HU1192" s="1"/>
      <c r="HV1192" s="1"/>
      <c r="HW1192" s="1"/>
      <c r="HX1192" s="1"/>
      <c r="HY1192" s="1"/>
      <c r="HZ1192" s="1"/>
      <c r="IA1192" s="1"/>
      <c r="IB1192" s="1"/>
      <c r="IC1192" s="1"/>
      <c r="ID1192" s="1"/>
      <c r="IE1192" s="1"/>
      <c r="IF1192" s="1"/>
      <c r="IG1192" s="1"/>
      <c r="IH1192" s="1"/>
      <c r="II1192" s="1"/>
      <c r="IJ1192" s="1"/>
      <c r="IK1192" s="1"/>
      <c r="IL1192" s="1"/>
      <c r="IM1192" s="1"/>
      <c r="IN1192" s="1"/>
      <c r="IO1192" s="1"/>
      <c r="IP1192" s="1"/>
      <c r="IQ1192" s="1"/>
      <c r="IR1192" s="1"/>
      <c r="IS1192" s="1"/>
      <c r="IT1192" s="1"/>
      <c r="IU1192" s="1"/>
      <c r="IV1192" s="1"/>
      <c r="IW1192" s="1"/>
      <c r="IX1192" s="1"/>
      <c r="IY1192" s="1"/>
      <c r="IZ1192" s="1"/>
      <c r="JA1192" s="1"/>
      <c r="JB1192" s="1"/>
      <c r="JC1192" s="1"/>
      <c r="JD1192" s="1"/>
    </row>
    <row r="1193" s="504" customFormat="true" ht="12.75" hidden="true" customHeight="true" outlineLevel="0" collapsed="false">
      <c r="A1193" s="5"/>
      <c r="B1193" s="813" t="n">
        <f aca="false">B1192+1</f>
        <v>978</v>
      </c>
      <c r="C1193" s="814" t="n">
        <f aca="false">C1192+D1193</f>
        <v>152616.342048593</v>
      </c>
      <c r="D1193" s="815" t="n">
        <f aca="false">E1193*$E$205*M1193</f>
        <v>233.515700910888</v>
      </c>
      <c r="E1193" s="601" t="n">
        <f aca="false">E1192+$C$204</f>
        <v>14.8094686016545</v>
      </c>
      <c r="F1193" s="816" t="n">
        <f aca="false">F1192+1</f>
        <v>978</v>
      </c>
      <c r="G1193" s="775" t="n">
        <f aca="false">C1193</f>
        <v>152616.342048593</v>
      </c>
      <c r="H1193" s="817" t="n">
        <f aca="false">1000*(E1193-E1192)</f>
        <v>9.99999999999979</v>
      </c>
      <c r="I1193" s="5"/>
      <c r="J1193" s="818" t="n">
        <f aca="false">1000*(E1193-$E$215)/(B1193-$B$215)</f>
        <v>11.6092738533452</v>
      </c>
      <c r="K1193" s="732" t="n">
        <f aca="false">AVERAGE($E$216:E1193)</f>
        <v>9.9166976405094</v>
      </c>
      <c r="L1193" s="819" t="n">
        <f aca="false">L1192+1</f>
        <v>978</v>
      </c>
      <c r="M1193" s="820" t="n">
        <f aca="false">IF(B1193&lt;$E$104,$E$105,$E$106)</f>
        <v>3</v>
      </c>
      <c r="N1193" s="821" t="n">
        <f aca="false">IF(B1193&lt;$E$104,$E$105,$E$111)</f>
        <v>2.5</v>
      </c>
      <c r="O1193" s="822" t="n">
        <f aca="false">E1193*$E$205*N1193</f>
        <v>194.59641742574</v>
      </c>
      <c r="P1193" s="823" t="n">
        <f aca="false">P1192+O1193</f>
        <v>127231.96564087</v>
      </c>
      <c r="Q1193" s="606" t="n">
        <f aca="false">Q1192+1</f>
        <v>978</v>
      </c>
      <c r="R1193" s="824" t="n">
        <f aca="false">R1192-1</f>
        <v>-978</v>
      </c>
      <c r="S1193" s="5"/>
      <c r="T1193" s="5"/>
      <c r="U1193" s="5"/>
      <c r="V1193" s="10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02"/>
      <c r="AU1193" s="502"/>
      <c r="AV1193" s="606"/>
      <c r="AW1193" s="502"/>
      <c r="AX1193" s="502"/>
      <c r="AY1193" s="502"/>
      <c r="AZ1193" s="502"/>
      <c r="BA1193" s="502"/>
      <c r="BB1193" s="502"/>
      <c r="BC1193" s="502"/>
      <c r="BD1193" s="502"/>
      <c r="BE1193" s="502"/>
      <c r="BF1193" s="502"/>
      <c r="BG1193" s="502"/>
      <c r="BH1193" s="502"/>
      <c r="BI1193" s="502"/>
      <c r="BJ1193" s="502"/>
      <c r="BK1193" s="502"/>
      <c r="BL1193" s="502"/>
      <c r="BM1193" s="502"/>
      <c r="BN1193" s="502"/>
      <c r="BO1193" s="502"/>
      <c r="BP1193" s="5"/>
      <c r="BQ1193" s="5"/>
      <c r="BR1193" s="5"/>
      <c r="BS1193" s="5"/>
      <c r="BT1193" s="5"/>
      <c r="BU1193" s="5"/>
      <c r="BV1193" s="5"/>
      <c r="BW1193" s="5"/>
      <c r="BX1193" s="5"/>
      <c r="BY1193" s="5"/>
      <c r="BZ1193" s="5"/>
      <c r="CA1193" s="5"/>
      <c r="CB1193" s="5"/>
      <c r="CC1193" s="5"/>
      <c r="CD1193" s="5"/>
      <c r="CE1193" s="5"/>
      <c r="CF1193" s="5"/>
      <c r="CG1193" s="5"/>
      <c r="CH1193" s="5"/>
      <c r="CI1193" s="5"/>
      <c r="CJ1193" s="5"/>
      <c r="CK1193" s="5"/>
      <c r="CL1193" s="5"/>
      <c r="CM1193" s="5"/>
      <c r="CN1193" s="5"/>
      <c r="CO1193" s="5"/>
      <c r="CP1193" s="5"/>
      <c r="CQ1193" s="5"/>
      <c r="CR1193" s="5"/>
      <c r="CS1193" s="5"/>
      <c r="CT1193" s="5"/>
      <c r="CU1193" s="5"/>
      <c r="CV1193" s="5"/>
      <c r="CW1193" s="5"/>
      <c r="CX1193" s="5"/>
      <c r="CY1193" s="5"/>
      <c r="CZ1193" s="5"/>
      <c r="DA1193" s="5"/>
      <c r="DB1193" s="5"/>
      <c r="DC1193" s="5"/>
      <c r="DD1193" s="5"/>
      <c r="DE1193" s="5"/>
      <c r="DF1193" s="5"/>
      <c r="DG1193" s="5"/>
      <c r="DH1193" s="5"/>
      <c r="DI1193" s="5"/>
      <c r="DJ1193" s="5"/>
      <c r="DK1193" s="5"/>
      <c r="DL1193" s="5"/>
      <c r="DM1193" s="5"/>
      <c r="DN1193" s="5"/>
      <c r="DO1193" s="5"/>
      <c r="DP1193" s="5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  <c r="GV1193" s="1"/>
      <c r="GW1193" s="1"/>
      <c r="GX1193" s="1"/>
      <c r="GY1193" s="1"/>
      <c r="GZ1193" s="1"/>
      <c r="HA1193" s="1"/>
      <c r="HB1193" s="1"/>
      <c r="HC1193" s="1"/>
      <c r="HD1193" s="1"/>
      <c r="HE1193" s="1"/>
      <c r="HF1193" s="1"/>
      <c r="HG1193" s="1"/>
      <c r="HH1193" s="1"/>
      <c r="HI1193" s="1"/>
      <c r="HJ1193" s="1"/>
      <c r="HK1193" s="1"/>
      <c r="HL1193" s="1"/>
      <c r="HM1193" s="1"/>
      <c r="HN1193" s="1"/>
      <c r="HO1193" s="1"/>
      <c r="HP1193" s="1"/>
      <c r="HQ1193" s="1"/>
      <c r="HR1193" s="1"/>
      <c r="HS1193" s="1"/>
      <c r="HT1193" s="1"/>
      <c r="HU1193" s="1"/>
      <c r="HV1193" s="1"/>
      <c r="HW1193" s="1"/>
      <c r="HX1193" s="1"/>
      <c r="HY1193" s="1"/>
      <c r="HZ1193" s="1"/>
      <c r="IA1193" s="1"/>
      <c r="IB1193" s="1"/>
      <c r="IC1193" s="1"/>
      <c r="ID1193" s="1"/>
      <c r="IE1193" s="1"/>
      <c r="IF1193" s="1"/>
      <c r="IG1193" s="1"/>
      <c r="IH1193" s="1"/>
      <c r="II1193" s="1"/>
      <c r="IJ1193" s="1"/>
      <c r="IK1193" s="1"/>
      <c r="IL1193" s="1"/>
      <c r="IM1193" s="1"/>
      <c r="IN1193" s="1"/>
      <c r="IO1193" s="1"/>
      <c r="IP1193" s="1"/>
      <c r="IQ1193" s="1"/>
      <c r="IR1193" s="1"/>
      <c r="IS1193" s="1"/>
      <c r="IT1193" s="1"/>
      <c r="IU1193" s="1"/>
      <c r="IV1193" s="1"/>
      <c r="IW1193" s="1"/>
      <c r="IX1193" s="1"/>
      <c r="IY1193" s="1"/>
      <c r="IZ1193" s="1"/>
      <c r="JA1193" s="1"/>
      <c r="JB1193" s="1"/>
      <c r="JC1193" s="1"/>
      <c r="JD1193" s="1"/>
    </row>
    <row r="1194" s="504" customFormat="true" ht="12.75" hidden="true" customHeight="true" outlineLevel="0" collapsed="false">
      <c r="A1194" s="5"/>
      <c r="B1194" s="813" t="n">
        <f aca="false">B1193+1</f>
        <v>979</v>
      </c>
      <c r="C1194" s="814" t="n">
        <f aca="false">C1193+D1194</f>
        <v>152850.015429504</v>
      </c>
      <c r="D1194" s="815" t="n">
        <f aca="false">E1194*$E$205*M1194</f>
        <v>233.673380910888</v>
      </c>
      <c r="E1194" s="601" t="n">
        <f aca="false">E1193+$C$204</f>
        <v>14.8194686016545</v>
      </c>
      <c r="F1194" s="816" t="n">
        <f aca="false">F1193+1</f>
        <v>979</v>
      </c>
      <c r="G1194" s="775" t="n">
        <f aca="false">C1194</f>
        <v>152850.015429504</v>
      </c>
      <c r="H1194" s="817" t="n">
        <f aca="false">1000*(E1194-E1193)</f>
        <v>9.99999999999979</v>
      </c>
      <c r="I1194" s="5"/>
      <c r="J1194" s="818" t="n">
        <f aca="false">1000*(E1194-$E$215)/(B1194-$B$215)</f>
        <v>11.607630059828</v>
      </c>
      <c r="K1194" s="732" t="n">
        <f aca="false">AVERAGE($E$216:E1194)</f>
        <v>9.92170557816123</v>
      </c>
      <c r="L1194" s="819" t="n">
        <f aca="false">L1193+1</f>
        <v>979</v>
      </c>
      <c r="M1194" s="820" t="n">
        <f aca="false">IF(B1194&lt;$E$104,$E$105,$E$106)</f>
        <v>3</v>
      </c>
      <c r="N1194" s="821" t="n">
        <f aca="false">IF(B1194&lt;$E$104,$E$105,$E$111)</f>
        <v>2.5</v>
      </c>
      <c r="O1194" s="822" t="n">
        <f aca="false">E1194*$E$205*N1194</f>
        <v>194.72781742574</v>
      </c>
      <c r="P1194" s="823" t="n">
        <f aca="false">P1193+O1194</f>
        <v>127426.693458296</v>
      </c>
      <c r="Q1194" s="606" t="n">
        <f aca="false">Q1193+1</f>
        <v>979</v>
      </c>
      <c r="R1194" s="824" t="n">
        <f aca="false">R1193-1</f>
        <v>-979</v>
      </c>
      <c r="S1194" s="5"/>
      <c r="T1194" s="5"/>
      <c r="U1194" s="5"/>
      <c r="V1194" s="10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02"/>
      <c r="AU1194" s="502"/>
      <c r="AV1194" s="606"/>
      <c r="AW1194" s="502"/>
      <c r="AX1194" s="502"/>
      <c r="AY1194" s="502"/>
      <c r="AZ1194" s="502"/>
      <c r="BA1194" s="502"/>
      <c r="BB1194" s="502"/>
      <c r="BC1194" s="502"/>
      <c r="BD1194" s="502"/>
      <c r="BE1194" s="502"/>
      <c r="BF1194" s="502"/>
      <c r="BG1194" s="502"/>
      <c r="BH1194" s="502"/>
      <c r="BI1194" s="502"/>
      <c r="BJ1194" s="502"/>
      <c r="BK1194" s="502"/>
      <c r="BL1194" s="502"/>
      <c r="BM1194" s="502"/>
      <c r="BN1194" s="502"/>
      <c r="BO1194" s="502"/>
      <c r="BP1194" s="5"/>
      <c r="BQ1194" s="5"/>
      <c r="BR1194" s="5"/>
      <c r="BS1194" s="5"/>
      <c r="BT1194" s="5"/>
      <c r="BU1194" s="5"/>
      <c r="BV1194" s="5"/>
      <c r="BW1194" s="5"/>
      <c r="BX1194" s="5"/>
      <c r="BY1194" s="5"/>
      <c r="BZ1194" s="5"/>
      <c r="CA1194" s="5"/>
      <c r="CB1194" s="5"/>
      <c r="CC1194" s="5"/>
      <c r="CD1194" s="5"/>
      <c r="CE1194" s="5"/>
      <c r="CF1194" s="5"/>
      <c r="CG1194" s="5"/>
      <c r="CH1194" s="5"/>
      <c r="CI1194" s="5"/>
      <c r="CJ1194" s="5"/>
      <c r="CK1194" s="5"/>
      <c r="CL1194" s="5"/>
      <c r="CM1194" s="5"/>
      <c r="CN1194" s="5"/>
      <c r="CO1194" s="5"/>
      <c r="CP1194" s="5"/>
      <c r="CQ1194" s="5"/>
      <c r="CR1194" s="5"/>
      <c r="CS1194" s="5"/>
      <c r="CT1194" s="5"/>
      <c r="CU1194" s="5"/>
      <c r="CV1194" s="5"/>
      <c r="CW1194" s="5"/>
      <c r="CX1194" s="5"/>
      <c r="CY1194" s="5"/>
      <c r="CZ1194" s="5"/>
      <c r="DA1194" s="5"/>
      <c r="DB1194" s="5"/>
      <c r="DC1194" s="5"/>
      <c r="DD1194" s="5"/>
      <c r="DE1194" s="5"/>
      <c r="DF1194" s="5"/>
      <c r="DG1194" s="5"/>
      <c r="DH1194" s="5"/>
      <c r="DI1194" s="5"/>
      <c r="DJ1194" s="5"/>
      <c r="DK1194" s="5"/>
      <c r="DL1194" s="5"/>
      <c r="DM1194" s="5"/>
      <c r="DN1194" s="5"/>
      <c r="DO1194" s="5"/>
      <c r="DP1194" s="5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  <c r="GV1194" s="1"/>
      <c r="GW1194" s="1"/>
      <c r="GX1194" s="1"/>
      <c r="GY1194" s="1"/>
      <c r="GZ1194" s="1"/>
      <c r="HA1194" s="1"/>
      <c r="HB1194" s="1"/>
      <c r="HC1194" s="1"/>
      <c r="HD1194" s="1"/>
      <c r="HE1194" s="1"/>
      <c r="HF1194" s="1"/>
      <c r="HG1194" s="1"/>
      <c r="HH1194" s="1"/>
      <c r="HI1194" s="1"/>
      <c r="HJ1194" s="1"/>
      <c r="HK1194" s="1"/>
      <c r="HL1194" s="1"/>
      <c r="HM1194" s="1"/>
      <c r="HN1194" s="1"/>
      <c r="HO1194" s="1"/>
      <c r="HP1194" s="1"/>
      <c r="HQ1194" s="1"/>
      <c r="HR1194" s="1"/>
      <c r="HS1194" s="1"/>
      <c r="HT1194" s="1"/>
      <c r="HU1194" s="1"/>
      <c r="HV1194" s="1"/>
      <c r="HW1194" s="1"/>
      <c r="HX1194" s="1"/>
      <c r="HY1194" s="1"/>
      <c r="HZ1194" s="1"/>
      <c r="IA1194" s="1"/>
      <c r="IB1194" s="1"/>
      <c r="IC1194" s="1"/>
      <c r="ID1194" s="1"/>
      <c r="IE1194" s="1"/>
      <c r="IF1194" s="1"/>
      <c r="IG1194" s="1"/>
      <c r="IH1194" s="1"/>
      <c r="II1194" s="1"/>
      <c r="IJ1194" s="1"/>
      <c r="IK1194" s="1"/>
      <c r="IL1194" s="1"/>
      <c r="IM1194" s="1"/>
      <c r="IN1194" s="1"/>
      <c r="IO1194" s="1"/>
      <c r="IP1194" s="1"/>
      <c r="IQ1194" s="1"/>
      <c r="IR1194" s="1"/>
      <c r="IS1194" s="1"/>
      <c r="IT1194" s="1"/>
      <c r="IU1194" s="1"/>
      <c r="IV1194" s="1"/>
      <c r="IW1194" s="1"/>
      <c r="IX1194" s="1"/>
      <c r="IY1194" s="1"/>
      <c r="IZ1194" s="1"/>
      <c r="JA1194" s="1"/>
      <c r="JB1194" s="1"/>
      <c r="JC1194" s="1"/>
      <c r="JD1194" s="1"/>
    </row>
    <row r="1195" s="504" customFormat="true" ht="12.75" hidden="true" customHeight="true" outlineLevel="0" collapsed="false">
      <c r="A1195" s="5"/>
      <c r="B1195" s="813" t="n">
        <f aca="false">B1194+1</f>
        <v>980</v>
      </c>
      <c r="C1195" s="814" t="n">
        <f aca="false">C1194+D1195</f>
        <v>153083.846490415</v>
      </c>
      <c r="D1195" s="815" t="n">
        <f aca="false">E1195*$E$205*M1195</f>
        <v>233.831060910888</v>
      </c>
      <c r="E1195" s="601" t="n">
        <f aca="false">E1194+$C$204</f>
        <v>14.8294686016545</v>
      </c>
      <c r="F1195" s="816" t="n">
        <f aca="false">F1194+1</f>
        <v>980</v>
      </c>
      <c r="G1195" s="775" t="n">
        <f aca="false">C1195</f>
        <v>153083.846490415</v>
      </c>
      <c r="H1195" s="817" t="n">
        <f aca="false">1000*(E1195-E1194)</f>
        <v>9.99999999999979</v>
      </c>
      <c r="I1195" s="5"/>
      <c r="J1195" s="818" t="n">
        <f aca="false">1000*(E1195-$E$215)/(B1195-$B$215)</f>
        <v>11.6059896209915</v>
      </c>
      <c r="K1195" s="732" t="n">
        <f aca="false">AVERAGE($E$216:E1195)</f>
        <v>9.92671349961377</v>
      </c>
      <c r="L1195" s="819" t="n">
        <f aca="false">L1194+1</f>
        <v>980</v>
      </c>
      <c r="M1195" s="820" t="n">
        <f aca="false">IF(B1195&lt;$E$104,$E$105,$E$106)</f>
        <v>3</v>
      </c>
      <c r="N1195" s="821" t="n">
        <f aca="false">IF(B1195&lt;$E$104,$E$105,$E$111)</f>
        <v>2.5</v>
      </c>
      <c r="O1195" s="822" t="n">
        <f aca="false">E1195*$E$205*N1195</f>
        <v>194.85921742574</v>
      </c>
      <c r="P1195" s="823" t="n">
        <f aca="false">P1194+O1195</f>
        <v>127621.552675722</v>
      </c>
      <c r="Q1195" s="606" t="n">
        <f aca="false">Q1194+1</f>
        <v>980</v>
      </c>
      <c r="R1195" s="824" t="n">
        <f aca="false">R1194-1</f>
        <v>-980</v>
      </c>
      <c r="S1195" s="5"/>
      <c r="T1195" s="5"/>
      <c r="U1195" s="5"/>
      <c r="V1195" s="10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02"/>
      <c r="AU1195" s="502"/>
      <c r="AV1195" s="606"/>
      <c r="AW1195" s="502"/>
      <c r="AX1195" s="502"/>
      <c r="AY1195" s="502"/>
      <c r="AZ1195" s="502"/>
      <c r="BA1195" s="502"/>
      <c r="BB1195" s="502"/>
      <c r="BC1195" s="502"/>
      <c r="BD1195" s="502"/>
      <c r="BE1195" s="502"/>
      <c r="BF1195" s="502"/>
      <c r="BG1195" s="502"/>
      <c r="BH1195" s="502"/>
      <c r="BI1195" s="502"/>
      <c r="BJ1195" s="502"/>
      <c r="BK1195" s="502"/>
      <c r="BL1195" s="502"/>
      <c r="BM1195" s="502"/>
      <c r="BN1195" s="502"/>
      <c r="BO1195" s="502"/>
      <c r="BP1195" s="5"/>
      <c r="BQ1195" s="5"/>
      <c r="BR1195" s="5"/>
      <c r="BS1195" s="5"/>
      <c r="BT1195" s="5"/>
      <c r="BU1195" s="5"/>
      <c r="BV1195" s="5"/>
      <c r="BW1195" s="5"/>
      <c r="BX1195" s="5"/>
      <c r="BY1195" s="5"/>
      <c r="BZ1195" s="5"/>
      <c r="CA1195" s="5"/>
      <c r="CB1195" s="5"/>
      <c r="CC1195" s="5"/>
      <c r="CD1195" s="5"/>
      <c r="CE1195" s="5"/>
      <c r="CF1195" s="5"/>
      <c r="CG1195" s="5"/>
      <c r="CH1195" s="5"/>
      <c r="CI1195" s="5"/>
      <c r="CJ1195" s="5"/>
      <c r="CK1195" s="5"/>
      <c r="CL1195" s="5"/>
      <c r="CM1195" s="5"/>
      <c r="CN1195" s="5"/>
      <c r="CO1195" s="5"/>
      <c r="CP1195" s="5"/>
      <c r="CQ1195" s="5"/>
      <c r="CR1195" s="5"/>
      <c r="CS1195" s="5"/>
      <c r="CT1195" s="5"/>
      <c r="CU1195" s="5"/>
      <c r="CV1195" s="5"/>
      <c r="CW1195" s="5"/>
      <c r="CX1195" s="5"/>
      <c r="CY1195" s="5"/>
      <c r="CZ1195" s="5"/>
      <c r="DA1195" s="5"/>
      <c r="DB1195" s="5"/>
      <c r="DC1195" s="5"/>
      <c r="DD1195" s="5"/>
      <c r="DE1195" s="5"/>
      <c r="DF1195" s="5"/>
      <c r="DG1195" s="5"/>
      <c r="DH1195" s="5"/>
      <c r="DI1195" s="5"/>
      <c r="DJ1195" s="5"/>
      <c r="DK1195" s="5"/>
      <c r="DL1195" s="5"/>
      <c r="DM1195" s="5"/>
      <c r="DN1195" s="5"/>
      <c r="DO1195" s="5"/>
      <c r="DP1195" s="5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  <c r="GV1195" s="1"/>
      <c r="GW1195" s="1"/>
      <c r="GX1195" s="1"/>
      <c r="GY1195" s="1"/>
      <c r="GZ1195" s="1"/>
      <c r="HA1195" s="1"/>
      <c r="HB1195" s="1"/>
      <c r="HC1195" s="1"/>
      <c r="HD1195" s="1"/>
      <c r="HE1195" s="1"/>
      <c r="HF1195" s="1"/>
      <c r="HG1195" s="1"/>
      <c r="HH1195" s="1"/>
      <c r="HI1195" s="1"/>
      <c r="HJ1195" s="1"/>
      <c r="HK1195" s="1"/>
      <c r="HL1195" s="1"/>
      <c r="HM1195" s="1"/>
      <c r="HN1195" s="1"/>
      <c r="HO1195" s="1"/>
      <c r="HP1195" s="1"/>
      <c r="HQ1195" s="1"/>
      <c r="HR1195" s="1"/>
      <c r="HS1195" s="1"/>
      <c r="HT1195" s="1"/>
      <c r="HU1195" s="1"/>
      <c r="HV1195" s="1"/>
      <c r="HW1195" s="1"/>
      <c r="HX1195" s="1"/>
      <c r="HY1195" s="1"/>
      <c r="HZ1195" s="1"/>
      <c r="IA1195" s="1"/>
      <c r="IB1195" s="1"/>
      <c r="IC1195" s="1"/>
      <c r="ID1195" s="1"/>
      <c r="IE1195" s="1"/>
      <c r="IF1195" s="1"/>
      <c r="IG1195" s="1"/>
      <c r="IH1195" s="1"/>
      <c r="II1195" s="1"/>
      <c r="IJ1195" s="1"/>
      <c r="IK1195" s="1"/>
      <c r="IL1195" s="1"/>
      <c r="IM1195" s="1"/>
      <c r="IN1195" s="1"/>
      <c r="IO1195" s="1"/>
      <c r="IP1195" s="1"/>
      <c r="IQ1195" s="1"/>
      <c r="IR1195" s="1"/>
      <c r="IS1195" s="1"/>
      <c r="IT1195" s="1"/>
      <c r="IU1195" s="1"/>
      <c r="IV1195" s="1"/>
      <c r="IW1195" s="1"/>
      <c r="IX1195" s="1"/>
      <c r="IY1195" s="1"/>
      <c r="IZ1195" s="1"/>
      <c r="JA1195" s="1"/>
      <c r="JB1195" s="1"/>
      <c r="JC1195" s="1"/>
      <c r="JD1195" s="1"/>
    </row>
    <row r="1196" s="504" customFormat="true" ht="12.75" hidden="true" customHeight="true" outlineLevel="0" collapsed="false">
      <c r="A1196" s="5"/>
      <c r="B1196" s="813" t="n">
        <f aca="false">B1195+1</f>
        <v>981</v>
      </c>
      <c r="C1196" s="814" t="n">
        <f aca="false">C1195+D1196</f>
        <v>153317.835231325</v>
      </c>
      <c r="D1196" s="815" t="n">
        <f aca="false">E1196*$E$205*M1196</f>
        <v>233.988740910888</v>
      </c>
      <c r="E1196" s="601" t="n">
        <f aca="false">E1195+$C$204</f>
        <v>14.8394686016545</v>
      </c>
      <c r="F1196" s="816" t="n">
        <f aca="false">F1195+1</f>
        <v>981</v>
      </c>
      <c r="G1196" s="775" t="n">
        <f aca="false">C1196</f>
        <v>153317.835231325</v>
      </c>
      <c r="H1196" s="817" t="n">
        <f aca="false">1000*(E1196-E1195)</f>
        <v>9.99999999999979</v>
      </c>
      <c r="I1196" s="5"/>
      <c r="J1196" s="818" t="n">
        <f aca="false">1000*(E1196-$E$215)/(B1196-$B$215)</f>
        <v>11.6043525265766</v>
      </c>
      <c r="K1196" s="732" t="n">
        <f aca="false">AVERAGE($E$216:E1196)</f>
        <v>9.93172140491657</v>
      </c>
      <c r="L1196" s="819" t="n">
        <f aca="false">L1195+1</f>
        <v>981</v>
      </c>
      <c r="M1196" s="820" t="n">
        <f aca="false">IF(B1196&lt;$E$104,$E$105,$E$106)</f>
        <v>3</v>
      </c>
      <c r="N1196" s="821" t="n">
        <f aca="false">IF(B1196&lt;$E$104,$E$105,$E$111)</f>
        <v>2.5</v>
      </c>
      <c r="O1196" s="822" t="n">
        <f aca="false">E1196*$E$205*N1196</f>
        <v>194.99061742574</v>
      </c>
      <c r="P1196" s="823" t="n">
        <f aca="false">P1195+O1196</f>
        <v>127816.543293147</v>
      </c>
      <c r="Q1196" s="606" t="n">
        <f aca="false">Q1195+1</f>
        <v>981</v>
      </c>
      <c r="R1196" s="824" t="n">
        <f aca="false">R1195-1</f>
        <v>-981</v>
      </c>
      <c r="S1196" s="5"/>
      <c r="T1196" s="5"/>
      <c r="U1196" s="5"/>
      <c r="V1196" s="10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02"/>
      <c r="AU1196" s="502"/>
      <c r="AV1196" s="606"/>
      <c r="AW1196" s="502"/>
      <c r="AX1196" s="502"/>
      <c r="AY1196" s="502"/>
      <c r="AZ1196" s="502"/>
      <c r="BA1196" s="502"/>
      <c r="BB1196" s="502"/>
      <c r="BC1196" s="502"/>
      <c r="BD1196" s="502"/>
      <c r="BE1196" s="502"/>
      <c r="BF1196" s="502"/>
      <c r="BG1196" s="502"/>
      <c r="BH1196" s="502"/>
      <c r="BI1196" s="502"/>
      <c r="BJ1196" s="502"/>
      <c r="BK1196" s="502"/>
      <c r="BL1196" s="502"/>
      <c r="BM1196" s="502"/>
      <c r="BN1196" s="502"/>
      <c r="BO1196" s="502"/>
      <c r="BP1196" s="5"/>
      <c r="BQ1196" s="5"/>
      <c r="BR1196" s="5"/>
      <c r="BS1196" s="5"/>
      <c r="BT1196" s="5"/>
      <c r="BU1196" s="5"/>
      <c r="BV1196" s="5"/>
      <c r="BW1196" s="5"/>
      <c r="BX1196" s="5"/>
      <c r="BY1196" s="5"/>
      <c r="BZ1196" s="5"/>
      <c r="CA1196" s="5"/>
      <c r="CB1196" s="5"/>
      <c r="CC1196" s="5"/>
      <c r="CD1196" s="5"/>
      <c r="CE1196" s="5"/>
      <c r="CF1196" s="5"/>
      <c r="CG1196" s="5"/>
      <c r="CH1196" s="5"/>
      <c r="CI1196" s="5"/>
      <c r="CJ1196" s="5"/>
      <c r="CK1196" s="5"/>
      <c r="CL1196" s="5"/>
      <c r="CM1196" s="5"/>
      <c r="CN1196" s="5"/>
      <c r="CO1196" s="5"/>
      <c r="CP1196" s="5"/>
      <c r="CQ1196" s="5"/>
      <c r="CR1196" s="5"/>
      <c r="CS1196" s="5"/>
      <c r="CT1196" s="5"/>
      <c r="CU1196" s="5"/>
      <c r="CV1196" s="5"/>
      <c r="CW1196" s="5"/>
      <c r="CX1196" s="5"/>
      <c r="CY1196" s="5"/>
      <c r="CZ1196" s="5"/>
      <c r="DA1196" s="5"/>
      <c r="DB1196" s="5"/>
      <c r="DC1196" s="5"/>
      <c r="DD1196" s="5"/>
      <c r="DE1196" s="5"/>
      <c r="DF1196" s="5"/>
      <c r="DG1196" s="5"/>
      <c r="DH1196" s="5"/>
      <c r="DI1196" s="5"/>
      <c r="DJ1196" s="5"/>
      <c r="DK1196" s="5"/>
      <c r="DL1196" s="5"/>
      <c r="DM1196" s="5"/>
      <c r="DN1196" s="5"/>
      <c r="DO1196" s="5"/>
      <c r="DP1196" s="5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  <c r="GV1196" s="1"/>
      <c r="GW1196" s="1"/>
      <c r="GX1196" s="1"/>
      <c r="GY1196" s="1"/>
      <c r="GZ1196" s="1"/>
      <c r="HA1196" s="1"/>
      <c r="HB1196" s="1"/>
      <c r="HC1196" s="1"/>
      <c r="HD1196" s="1"/>
      <c r="HE1196" s="1"/>
      <c r="HF1196" s="1"/>
      <c r="HG1196" s="1"/>
      <c r="HH1196" s="1"/>
      <c r="HI1196" s="1"/>
      <c r="HJ1196" s="1"/>
      <c r="HK1196" s="1"/>
      <c r="HL1196" s="1"/>
      <c r="HM1196" s="1"/>
      <c r="HN1196" s="1"/>
      <c r="HO1196" s="1"/>
      <c r="HP1196" s="1"/>
      <c r="HQ1196" s="1"/>
      <c r="HR1196" s="1"/>
      <c r="HS1196" s="1"/>
      <c r="HT1196" s="1"/>
      <c r="HU1196" s="1"/>
      <c r="HV1196" s="1"/>
      <c r="HW1196" s="1"/>
      <c r="HX1196" s="1"/>
      <c r="HY1196" s="1"/>
      <c r="HZ1196" s="1"/>
      <c r="IA1196" s="1"/>
      <c r="IB1196" s="1"/>
      <c r="IC1196" s="1"/>
      <c r="ID1196" s="1"/>
      <c r="IE1196" s="1"/>
      <c r="IF1196" s="1"/>
      <c r="IG1196" s="1"/>
      <c r="IH1196" s="1"/>
      <c r="II1196" s="1"/>
      <c r="IJ1196" s="1"/>
      <c r="IK1196" s="1"/>
      <c r="IL1196" s="1"/>
      <c r="IM1196" s="1"/>
      <c r="IN1196" s="1"/>
      <c r="IO1196" s="1"/>
      <c r="IP1196" s="1"/>
      <c r="IQ1196" s="1"/>
      <c r="IR1196" s="1"/>
      <c r="IS1196" s="1"/>
      <c r="IT1196" s="1"/>
      <c r="IU1196" s="1"/>
      <c r="IV1196" s="1"/>
      <c r="IW1196" s="1"/>
      <c r="IX1196" s="1"/>
      <c r="IY1196" s="1"/>
      <c r="IZ1196" s="1"/>
      <c r="JA1196" s="1"/>
      <c r="JB1196" s="1"/>
      <c r="JC1196" s="1"/>
      <c r="JD1196" s="1"/>
    </row>
    <row r="1197" s="504" customFormat="true" ht="12.75" hidden="true" customHeight="true" outlineLevel="0" collapsed="false">
      <c r="A1197" s="5"/>
      <c r="B1197" s="813" t="n">
        <f aca="false">B1196+1</f>
        <v>982</v>
      </c>
      <c r="C1197" s="814" t="n">
        <f aca="false">C1196+D1197</f>
        <v>153551.981652236</v>
      </c>
      <c r="D1197" s="815" t="n">
        <f aca="false">E1197*$E$205*M1197</f>
        <v>234.146420910888</v>
      </c>
      <c r="E1197" s="601" t="n">
        <f aca="false">E1196+$C$204</f>
        <v>14.8494686016545</v>
      </c>
      <c r="F1197" s="816" t="n">
        <f aca="false">F1196+1</f>
        <v>982</v>
      </c>
      <c r="G1197" s="775" t="n">
        <f aca="false">C1197</f>
        <v>153551.981652236</v>
      </c>
      <c r="H1197" s="817" t="n">
        <f aca="false">1000*(E1197-E1196)</f>
        <v>9.99999999999979</v>
      </c>
      <c r="I1197" s="5"/>
      <c r="J1197" s="818" t="n">
        <f aca="false">1000*(E1197-$E$215)/(B1197-$B$215)</f>
        <v>11.6027187663662</v>
      </c>
      <c r="K1197" s="732" t="n">
        <f aca="false">AVERAGE($E$216:E1197)</f>
        <v>9.93672929411895</v>
      </c>
      <c r="L1197" s="819" t="n">
        <f aca="false">L1196+1</f>
        <v>982</v>
      </c>
      <c r="M1197" s="820" t="n">
        <f aca="false">IF(B1197&lt;$E$104,$E$105,$E$106)</f>
        <v>3</v>
      </c>
      <c r="N1197" s="821" t="n">
        <f aca="false">IF(B1197&lt;$E$104,$E$105,$E$111)</f>
        <v>2.5</v>
      </c>
      <c r="O1197" s="822" t="n">
        <f aca="false">E1197*$E$205*N1197</f>
        <v>195.12201742574</v>
      </c>
      <c r="P1197" s="823" t="n">
        <f aca="false">P1196+O1197</f>
        <v>128011.665310573</v>
      </c>
      <c r="Q1197" s="606" t="n">
        <f aca="false">Q1196+1</f>
        <v>982</v>
      </c>
      <c r="R1197" s="824" t="n">
        <f aca="false">R1196-1</f>
        <v>-982</v>
      </c>
      <c r="S1197" s="5"/>
      <c r="T1197" s="5"/>
      <c r="U1197" s="5"/>
      <c r="V1197" s="10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02"/>
      <c r="AU1197" s="502"/>
      <c r="AV1197" s="606"/>
      <c r="AW1197" s="502"/>
      <c r="AX1197" s="502"/>
      <c r="AY1197" s="502"/>
      <c r="AZ1197" s="502"/>
      <c r="BA1197" s="502"/>
      <c r="BB1197" s="502"/>
      <c r="BC1197" s="502"/>
      <c r="BD1197" s="502"/>
      <c r="BE1197" s="502"/>
      <c r="BF1197" s="502"/>
      <c r="BG1197" s="502"/>
      <c r="BH1197" s="502"/>
      <c r="BI1197" s="502"/>
      <c r="BJ1197" s="502"/>
      <c r="BK1197" s="502"/>
      <c r="BL1197" s="502"/>
      <c r="BM1197" s="502"/>
      <c r="BN1197" s="502"/>
      <c r="BO1197" s="502"/>
      <c r="BP1197" s="5"/>
      <c r="BQ1197" s="5"/>
      <c r="BR1197" s="5"/>
      <c r="BS1197" s="5"/>
      <c r="BT1197" s="5"/>
      <c r="BU1197" s="5"/>
      <c r="BV1197" s="5"/>
      <c r="BW1197" s="5"/>
      <c r="BX1197" s="5"/>
      <c r="BY1197" s="5"/>
      <c r="BZ1197" s="5"/>
      <c r="CA1197" s="5"/>
      <c r="CB1197" s="5"/>
      <c r="CC1197" s="5"/>
      <c r="CD1197" s="5"/>
      <c r="CE1197" s="5"/>
      <c r="CF1197" s="5"/>
      <c r="CG1197" s="5"/>
      <c r="CH1197" s="5"/>
      <c r="CI1197" s="5"/>
      <c r="CJ1197" s="5"/>
      <c r="CK1197" s="5"/>
      <c r="CL1197" s="5"/>
      <c r="CM1197" s="5"/>
      <c r="CN1197" s="5"/>
      <c r="CO1197" s="5"/>
      <c r="CP1197" s="5"/>
      <c r="CQ1197" s="5"/>
      <c r="CR1197" s="5"/>
      <c r="CS1197" s="5"/>
      <c r="CT1197" s="5"/>
      <c r="CU1197" s="5"/>
      <c r="CV1197" s="5"/>
      <c r="CW1197" s="5"/>
      <c r="CX1197" s="5"/>
      <c r="CY1197" s="5"/>
      <c r="CZ1197" s="5"/>
      <c r="DA1197" s="5"/>
      <c r="DB1197" s="5"/>
      <c r="DC1197" s="5"/>
      <c r="DD1197" s="5"/>
      <c r="DE1197" s="5"/>
      <c r="DF1197" s="5"/>
      <c r="DG1197" s="5"/>
      <c r="DH1197" s="5"/>
      <c r="DI1197" s="5"/>
      <c r="DJ1197" s="5"/>
      <c r="DK1197" s="5"/>
      <c r="DL1197" s="5"/>
      <c r="DM1197" s="5"/>
      <c r="DN1197" s="5"/>
      <c r="DO1197" s="5"/>
      <c r="DP1197" s="5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  <c r="GV1197" s="1"/>
      <c r="GW1197" s="1"/>
      <c r="GX1197" s="1"/>
      <c r="GY1197" s="1"/>
      <c r="GZ1197" s="1"/>
      <c r="HA1197" s="1"/>
      <c r="HB1197" s="1"/>
      <c r="HC1197" s="1"/>
      <c r="HD1197" s="1"/>
      <c r="HE1197" s="1"/>
      <c r="HF1197" s="1"/>
      <c r="HG1197" s="1"/>
      <c r="HH1197" s="1"/>
      <c r="HI1197" s="1"/>
      <c r="HJ1197" s="1"/>
      <c r="HK1197" s="1"/>
      <c r="HL1197" s="1"/>
      <c r="HM1197" s="1"/>
      <c r="HN1197" s="1"/>
      <c r="HO1197" s="1"/>
      <c r="HP1197" s="1"/>
      <c r="HQ1197" s="1"/>
      <c r="HR1197" s="1"/>
      <c r="HS1197" s="1"/>
      <c r="HT1197" s="1"/>
      <c r="HU1197" s="1"/>
      <c r="HV1197" s="1"/>
      <c r="HW1197" s="1"/>
      <c r="HX1197" s="1"/>
      <c r="HY1197" s="1"/>
      <c r="HZ1197" s="1"/>
      <c r="IA1197" s="1"/>
      <c r="IB1197" s="1"/>
      <c r="IC1197" s="1"/>
      <c r="ID1197" s="1"/>
      <c r="IE1197" s="1"/>
      <c r="IF1197" s="1"/>
      <c r="IG1197" s="1"/>
      <c r="IH1197" s="1"/>
      <c r="II1197" s="1"/>
      <c r="IJ1197" s="1"/>
      <c r="IK1197" s="1"/>
      <c r="IL1197" s="1"/>
      <c r="IM1197" s="1"/>
      <c r="IN1197" s="1"/>
      <c r="IO1197" s="1"/>
      <c r="IP1197" s="1"/>
      <c r="IQ1197" s="1"/>
      <c r="IR1197" s="1"/>
      <c r="IS1197" s="1"/>
      <c r="IT1197" s="1"/>
      <c r="IU1197" s="1"/>
      <c r="IV1197" s="1"/>
      <c r="IW1197" s="1"/>
      <c r="IX1197" s="1"/>
      <c r="IY1197" s="1"/>
      <c r="IZ1197" s="1"/>
      <c r="JA1197" s="1"/>
      <c r="JB1197" s="1"/>
      <c r="JC1197" s="1"/>
      <c r="JD1197" s="1"/>
    </row>
    <row r="1198" s="504" customFormat="true" ht="12.75" hidden="true" customHeight="true" outlineLevel="0" collapsed="false">
      <c r="A1198" s="5"/>
      <c r="B1198" s="813" t="n">
        <f aca="false">B1197+1</f>
        <v>983</v>
      </c>
      <c r="C1198" s="814" t="n">
        <f aca="false">C1197+D1198</f>
        <v>153786.285753147</v>
      </c>
      <c r="D1198" s="815" t="n">
        <f aca="false">E1198*$E$205*M1198</f>
        <v>234.304100910888</v>
      </c>
      <c r="E1198" s="601" t="n">
        <f aca="false">E1197+$C$204</f>
        <v>14.8594686016545</v>
      </c>
      <c r="F1198" s="816" t="n">
        <f aca="false">F1197+1</f>
        <v>983</v>
      </c>
      <c r="G1198" s="775" t="n">
        <f aca="false">C1198</f>
        <v>153786.285753147</v>
      </c>
      <c r="H1198" s="817" t="n">
        <f aca="false">1000*(E1198-E1197)</f>
        <v>9.99999999999979</v>
      </c>
      <c r="I1198" s="5"/>
      <c r="J1198" s="818" t="n">
        <f aca="false">1000*(E1198-$E$215)/(B1198-$B$215)</f>
        <v>11.6010883301848</v>
      </c>
      <c r="K1198" s="732" t="n">
        <f aca="false">AVERAGE($E$216:E1198)</f>
        <v>9.94173716727005</v>
      </c>
      <c r="L1198" s="819" t="n">
        <f aca="false">L1197+1</f>
        <v>983</v>
      </c>
      <c r="M1198" s="820" t="n">
        <f aca="false">IF(B1198&lt;$E$104,$E$105,$E$106)</f>
        <v>3</v>
      </c>
      <c r="N1198" s="821" t="n">
        <f aca="false">IF(B1198&lt;$E$104,$E$105,$E$111)</f>
        <v>2.5</v>
      </c>
      <c r="O1198" s="822" t="n">
        <f aca="false">E1198*$E$205*N1198</f>
        <v>195.25341742574</v>
      </c>
      <c r="P1198" s="823" t="n">
        <f aca="false">P1197+O1198</f>
        <v>128206.918727999</v>
      </c>
      <c r="Q1198" s="606" t="n">
        <f aca="false">Q1197+1</f>
        <v>983</v>
      </c>
      <c r="R1198" s="824" t="n">
        <f aca="false">R1197-1</f>
        <v>-983</v>
      </c>
      <c r="S1198" s="5"/>
      <c r="T1198" s="5"/>
      <c r="U1198" s="5"/>
      <c r="V1198" s="10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02"/>
      <c r="AU1198" s="502"/>
      <c r="AV1198" s="606"/>
      <c r="AW1198" s="502"/>
      <c r="AX1198" s="502"/>
      <c r="AY1198" s="502"/>
      <c r="AZ1198" s="502"/>
      <c r="BA1198" s="502"/>
      <c r="BB1198" s="502"/>
      <c r="BC1198" s="502"/>
      <c r="BD1198" s="502"/>
      <c r="BE1198" s="502"/>
      <c r="BF1198" s="502"/>
      <c r="BG1198" s="502"/>
      <c r="BH1198" s="502"/>
      <c r="BI1198" s="502"/>
      <c r="BJ1198" s="502"/>
      <c r="BK1198" s="502"/>
      <c r="BL1198" s="502"/>
      <c r="BM1198" s="502"/>
      <c r="BN1198" s="502"/>
      <c r="BO1198" s="502"/>
      <c r="BP1198" s="5"/>
      <c r="BQ1198" s="5"/>
      <c r="BR1198" s="5"/>
      <c r="BS1198" s="5"/>
      <c r="BT1198" s="5"/>
      <c r="BU1198" s="5"/>
      <c r="BV1198" s="5"/>
      <c r="BW1198" s="5"/>
      <c r="BX1198" s="5"/>
      <c r="BY1198" s="5"/>
      <c r="BZ1198" s="5"/>
      <c r="CA1198" s="5"/>
      <c r="CB1198" s="5"/>
      <c r="CC1198" s="5"/>
      <c r="CD1198" s="5"/>
      <c r="CE1198" s="5"/>
      <c r="CF1198" s="5"/>
      <c r="CG1198" s="5"/>
      <c r="CH1198" s="5"/>
      <c r="CI1198" s="5"/>
      <c r="CJ1198" s="5"/>
      <c r="CK1198" s="5"/>
      <c r="CL1198" s="5"/>
      <c r="CM1198" s="5"/>
      <c r="CN1198" s="5"/>
      <c r="CO1198" s="5"/>
      <c r="CP1198" s="5"/>
      <c r="CQ1198" s="5"/>
      <c r="CR1198" s="5"/>
      <c r="CS1198" s="5"/>
      <c r="CT1198" s="5"/>
      <c r="CU1198" s="5"/>
      <c r="CV1198" s="5"/>
      <c r="CW1198" s="5"/>
      <c r="CX1198" s="5"/>
      <c r="CY1198" s="5"/>
      <c r="CZ1198" s="5"/>
      <c r="DA1198" s="5"/>
      <c r="DB1198" s="5"/>
      <c r="DC1198" s="5"/>
      <c r="DD1198" s="5"/>
      <c r="DE1198" s="5"/>
      <c r="DF1198" s="5"/>
      <c r="DG1198" s="5"/>
      <c r="DH1198" s="5"/>
      <c r="DI1198" s="5"/>
      <c r="DJ1198" s="5"/>
      <c r="DK1198" s="5"/>
      <c r="DL1198" s="5"/>
      <c r="DM1198" s="5"/>
      <c r="DN1198" s="5"/>
      <c r="DO1198" s="5"/>
      <c r="DP1198" s="5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  <c r="GV1198" s="1"/>
      <c r="GW1198" s="1"/>
      <c r="GX1198" s="1"/>
      <c r="GY1198" s="1"/>
      <c r="GZ1198" s="1"/>
      <c r="HA1198" s="1"/>
      <c r="HB1198" s="1"/>
      <c r="HC1198" s="1"/>
      <c r="HD1198" s="1"/>
      <c r="HE1198" s="1"/>
      <c r="HF1198" s="1"/>
      <c r="HG1198" s="1"/>
      <c r="HH1198" s="1"/>
      <c r="HI1198" s="1"/>
      <c r="HJ1198" s="1"/>
      <c r="HK1198" s="1"/>
      <c r="HL1198" s="1"/>
      <c r="HM1198" s="1"/>
      <c r="HN1198" s="1"/>
      <c r="HO1198" s="1"/>
      <c r="HP1198" s="1"/>
      <c r="HQ1198" s="1"/>
      <c r="HR1198" s="1"/>
      <c r="HS1198" s="1"/>
      <c r="HT1198" s="1"/>
      <c r="HU1198" s="1"/>
      <c r="HV1198" s="1"/>
      <c r="HW1198" s="1"/>
      <c r="HX1198" s="1"/>
      <c r="HY1198" s="1"/>
      <c r="HZ1198" s="1"/>
      <c r="IA1198" s="1"/>
      <c r="IB1198" s="1"/>
      <c r="IC1198" s="1"/>
      <c r="ID1198" s="1"/>
      <c r="IE1198" s="1"/>
      <c r="IF1198" s="1"/>
      <c r="IG1198" s="1"/>
      <c r="IH1198" s="1"/>
      <c r="II1198" s="1"/>
      <c r="IJ1198" s="1"/>
      <c r="IK1198" s="1"/>
      <c r="IL1198" s="1"/>
      <c r="IM1198" s="1"/>
      <c r="IN1198" s="1"/>
      <c r="IO1198" s="1"/>
      <c r="IP1198" s="1"/>
      <c r="IQ1198" s="1"/>
      <c r="IR1198" s="1"/>
      <c r="IS1198" s="1"/>
      <c r="IT1198" s="1"/>
      <c r="IU1198" s="1"/>
      <c r="IV1198" s="1"/>
      <c r="IW1198" s="1"/>
      <c r="IX1198" s="1"/>
      <c r="IY1198" s="1"/>
      <c r="IZ1198" s="1"/>
      <c r="JA1198" s="1"/>
      <c r="JB1198" s="1"/>
      <c r="JC1198" s="1"/>
      <c r="JD1198" s="1"/>
    </row>
    <row r="1199" s="504" customFormat="true" ht="12.75" hidden="true" customHeight="true" outlineLevel="0" collapsed="false">
      <c r="A1199" s="5"/>
      <c r="B1199" s="813" t="n">
        <f aca="false">B1198+1</f>
        <v>984</v>
      </c>
      <c r="C1199" s="814" t="n">
        <f aca="false">C1198+D1199</f>
        <v>154020.747534058</v>
      </c>
      <c r="D1199" s="815" t="n">
        <f aca="false">E1199*$E$205*M1199</f>
        <v>234.461780910888</v>
      </c>
      <c r="E1199" s="601" t="n">
        <f aca="false">E1198+$C$204</f>
        <v>14.8694686016545</v>
      </c>
      <c r="F1199" s="816" t="n">
        <f aca="false">F1198+1</f>
        <v>984</v>
      </c>
      <c r="G1199" s="775" t="n">
        <f aca="false">C1199</f>
        <v>154020.747534058</v>
      </c>
      <c r="H1199" s="817" t="n">
        <f aca="false">1000*(E1199-E1198)</f>
        <v>9.99999999999979</v>
      </c>
      <c r="I1199" s="5"/>
      <c r="J1199" s="818" t="n">
        <f aca="false">1000*(E1199-$E$215)/(B1199-$B$215)</f>
        <v>11.599461207898</v>
      </c>
      <c r="K1199" s="732" t="n">
        <f aca="false">AVERAGE($E$216:E1199)</f>
        <v>9.94674502441882</v>
      </c>
      <c r="L1199" s="819" t="n">
        <f aca="false">L1198+1</f>
        <v>984</v>
      </c>
      <c r="M1199" s="820" t="n">
        <f aca="false">IF(B1199&lt;$E$104,$E$105,$E$106)</f>
        <v>3</v>
      </c>
      <c r="N1199" s="821" t="n">
        <f aca="false">IF(B1199&lt;$E$104,$E$105,$E$111)</f>
        <v>2.5</v>
      </c>
      <c r="O1199" s="822" t="n">
        <f aca="false">E1199*$E$205*N1199</f>
        <v>195.38481742574</v>
      </c>
      <c r="P1199" s="823" t="n">
        <f aca="false">P1198+O1199</f>
        <v>128402.303545425</v>
      </c>
      <c r="Q1199" s="606" t="n">
        <f aca="false">Q1198+1</f>
        <v>984</v>
      </c>
      <c r="R1199" s="824" t="n">
        <f aca="false">R1198-1</f>
        <v>-984</v>
      </c>
      <c r="S1199" s="5"/>
      <c r="T1199" s="5"/>
      <c r="U1199" s="5"/>
      <c r="V1199" s="10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02"/>
      <c r="AU1199" s="502"/>
      <c r="AV1199" s="606"/>
      <c r="AW1199" s="502"/>
      <c r="AX1199" s="502"/>
      <c r="AY1199" s="502"/>
      <c r="AZ1199" s="502"/>
      <c r="BA1199" s="502"/>
      <c r="BB1199" s="502"/>
      <c r="BC1199" s="502"/>
      <c r="BD1199" s="502"/>
      <c r="BE1199" s="502"/>
      <c r="BF1199" s="502"/>
      <c r="BG1199" s="502"/>
      <c r="BH1199" s="502"/>
      <c r="BI1199" s="502"/>
      <c r="BJ1199" s="502"/>
      <c r="BK1199" s="502"/>
      <c r="BL1199" s="502"/>
      <c r="BM1199" s="502"/>
      <c r="BN1199" s="502"/>
      <c r="BO1199" s="502"/>
      <c r="BP1199" s="5"/>
      <c r="BQ1199" s="5"/>
      <c r="BR1199" s="5"/>
      <c r="BS1199" s="5"/>
      <c r="BT1199" s="5"/>
      <c r="BU1199" s="5"/>
      <c r="BV1199" s="5"/>
      <c r="BW1199" s="5"/>
      <c r="BX1199" s="5"/>
      <c r="BY1199" s="5"/>
      <c r="BZ1199" s="5"/>
      <c r="CA1199" s="5"/>
      <c r="CB1199" s="5"/>
      <c r="CC1199" s="5"/>
      <c r="CD1199" s="5"/>
      <c r="CE1199" s="5"/>
      <c r="CF1199" s="5"/>
      <c r="CG1199" s="5"/>
      <c r="CH1199" s="5"/>
      <c r="CI1199" s="5"/>
      <c r="CJ1199" s="5"/>
      <c r="CK1199" s="5"/>
      <c r="CL1199" s="5"/>
      <c r="CM1199" s="5"/>
      <c r="CN1199" s="5"/>
      <c r="CO1199" s="5"/>
      <c r="CP1199" s="5"/>
      <c r="CQ1199" s="5"/>
      <c r="CR1199" s="5"/>
      <c r="CS1199" s="5"/>
      <c r="CT1199" s="5"/>
      <c r="CU1199" s="5"/>
      <c r="CV1199" s="5"/>
      <c r="CW1199" s="5"/>
      <c r="CX1199" s="5"/>
      <c r="CY1199" s="5"/>
      <c r="CZ1199" s="5"/>
      <c r="DA1199" s="5"/>
      <c r="DB1199" s="5"/>
      <c r="DC1199" s="5"/>
      <c r="DD1199" s="5"/>
      <c r="DE1199" s="5"/>
      <c r="DF1199" s="5"/>
      <c r="DG1199" s="5"/>
      <c r="DH1199" s="5"/>
      <c r="DI1199" s="5"/>
      <c r="DJ1199" s="5"/>
      <c r="DK1199" s="5"/>
      <c r="DL1199" s="5"/>
      <c r="DM1199" s="5"/>
      <c r="DN1199" s="5"/>
      <c r="DO1199" s="5"/>
      <c r="DP1199" s="5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  <c r="GV1199" s="1"/>
      <c r="GW1199" s="1"/>
      <c r="GX1199" s="1"/>
      <c r="GY1199" s="1"/>
      <c r="GZ1199" s="1"/>
      <c r="HA1199" s="1"/>
      <c r="HB1199" s="1"/>
      <c r="HC1199" s="1"/>
      <c r="HD1199" s="1"/>
      <c r="HE1199" s="1"/>
      <c r="HF1199" s="1"/>
      <c r="HG1199" s="1"/>
      <c r="HH1199" s="1"/>
      <c r="HI1199" s="1"/>
      <c r="HJ1199" s="1"/>
      <c r="HK1199" s="1"/>
      <c r="HL1199" s="1"/>
      <c r="HM1199" s="1"/>
      <c r="HN1199" s="1"/>
      <c r="HO1199" s="1"/>
      <c r="HP1199" s="1"/>
      <c r="HQ1199" s="1"/>
      <c r="HR1199" s="1"/>
      <c r="HS1199" s="1"/>
      <c r="HT1199" s="1"/>
      <c r="HU1199" s="1"/>
      <c r="HV1199" s="1"/>
      <c r="HW1199" s="1"/>
      <c r="HX1199" s="1"/>
      <c r="HY1199" s="1"/>
      <c r="HZ1199" s="1"/>
      <c r="IA1199" s="1"/>
      <c r="IB1199" s="1"/>
      <c r="IC1199" s="1"/>
      <c r="ID1199" s="1"/>
      <c r="IE1199" s="1"/>
      <c r="IF1199" s="1"/>
      <c r="IG1199" s="1"/>
      <c r="IH1199" s="1"/>
      <c r="II1199" s="1"/>
      <c r="IJ1199" s="1"/>
      <c r="IK1199" s="1"/>
      <c r="IL1199" s="1"/>
      <c r="IM1199" s="1"/>
      <c r="IN1199" s="1"/>
      <c r="IO1199" s="1"/>
      <c r="IP1199" s="1"/>
      <c r="IQ1199" s="1"/>
      <c r="IR1199" s="1"/>
      <c r="IS1199" s="1"/>
      <c r="IT1199" s="1"/>
      <c r="IU1199" s="1"/>
      <c r="IV1199" s="1"/>
      <c r="IW1199" s="1"/>
      <c r="IX1199" s="1"/>
      <c r="IY1199" s="1"/>
      <c r="IZ1199" s="1"/>
      <c r="JA1199" s="1"/>
      <c r="JB1199" s="1"/>
      <c r="JC1199" s="1"/>
      <c r="JD1199" s="1"/>
    </row>
    <row r="1200" s="504" customFormat="true" ht="12.75" hidden="true" customHeight="true" outlineLevel="0" collapsed="false">
      <c r="A1200" s="5"/>
      <c r="B1200" s="813" t="n">
        <f aca="false">B1199+1</f>
        <v>985</v>
      </c>
      <c r="C1200" s="814" t="n">
        <f aca="false">C1199+D1200</f>
        <v>154255.366994969</v>
      </c>
      <c r="D1200" s="815" t="n">
        <f aca="false">E1200*$E$205*M1200</f>
        <v>234.619460910888</v>
      </c>
      <c r="E1200" s="601" t="n">
        <f aca="false">E1199+$C$204</f>
        <v>14.8794686016545</v>
      </c>
      <c r="F1200" s="816" t="n">
        <f aca="false">F1199+1</f>
        <v>985</v>
      </c>
      <c r="G1200" s="775" t="n">
        <f aca="false">C1200</f>
        <v>154255.366994969</v>
      </c>
      <c r="H1200" s="817" t="n">
        <f aca="false">1000*(E1200-E1199)</f>
        <v>9.99999999999979</v>
      </c>
      <c r="I1200" s="5"/>
      <c r="J1200" s="818" t="n">
        <f aca="false">1000*(E1200-$E$215)/(B1200-$B$215)</f>
        <v>11.5978373894128</v>
      </c>
      <c r="K1200" s="732" t="n">
        <f aca="false">AVERAGE($E$216:E1200)</f>
        <v>9.95175286561398</v>
      </c>
      <c r="L1200" s="819" t="n">
        <f aca="false">L1199+1</f>
        <v>985</v>
      </c>
      <c r="M1200" s="820" t="n">
        <f aca="false">IF(B1200&lt;$E$104,$E$105,$E$106)</f>
        <v>3</v>
      </c>
      <c r="N1200" s="821" t="n">
        <f aca="false">IF(B1200&lt;$E$104,$E$105,$E$111)</f>
        <v>2.5</v>
      </c>
      <c r="O1200" s="822" t="n">
        <f aca="false">E1200*$E$205*N1200</f>
        <v>195.51621742574</v>
      </c>
      <c r="P1200" s="823" t="n">
        <f aca="false">P1199+O1200</f>
        <v>128597.81976285</v>
      </c>
      <c r="Q1200" s="606" t="n">
        <f aca="false">Q1199+1</f>
        <v>985</v>
      </c>
      <c r="R1200" s="824" t="n">
        <f aca="false">R1199-1</f>
        <v>-985</v>
      </c>
      <c r="S1200" s="5"/>
      <c r="T1200" s="5"/>
      <c r="U1200" s="5"/>
      <c r="V1200" s="10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02"/>
      <c r="AU1200" s="502"/>
      <c r="AV1200" s="606"/>
      <c r="AW1200" s="502"/>
      <c r="AX1200" s="502"/>
      <c r="AY1200" s="502"/>
      <c r="AZ1200" s="502"/>
      <c r="BA1200" s="502"/>
      <c r="BB1200" s="502"/>
      <c r="BC1200" s="502"/>
      <c r="BD1200" s="502"/>
      <c r="BE1200" s="502"/>
      <c r="BF1200" s="502"/>
      <c r="BG1200" s="502"/>
      <c r="BH1200" s="502"/>
      <c r="BI1200" s="502"/>
      <c r="BJ1200" s="502"/>
      <c r="BK1200" s="502"/>
      <c r="BL1200" s="502"/>
      <c r="BM1200" s="502"/>
      <c r="BN1200" s="502"/>
      <c r="BO1200" s="502"/>
      <c r="BP1200" s="5"/>
      <c r="BQ1200" s="5"/>
      <c r="BR1200" s="5"/>
      <c r="BS1200" s="5"/>
      <c r="BT1200" s="5"/>
      <c r="BU1200" s="5"/>
      <c r="BV1200" s="5"/>
      <c r="BW1200" s="5"/>
      <c r="BX1200" s="5"/>
      <c r="BY1200" s="5"/>
      <c r="BZ1200" s="5"/>
      <c r="CA1200" s="5"/>
      <c r="CB1200" s="5"/>
      <c r="CC1200" s="5"/>
      <c r="CD1200" s="5"/>
      <c r="CE1200" s="5"/>
      <c r="CF1200" s="5"/>
      <c r="CG1200" s="5"/>
      <c r="CH1200" s="5"/>
      <c r="CI1200" s="5"/>
      <c r="CJ1200" s="5"/>
      <c r="CK1200" s="5"/>
      <c r="CL1200" s="5"/>
      <c r="CM1200" s="5"/>
      <c r="CN1200" s="5"/>
      <c r="CO1200" s="5"/>
      <c r="CP1200" s="5"/>
      <c r="CQ1200" s="5"/>
      <c r="CR1200" s="5"/>
      <c r="CS1200" s="5"/>
      <c r="CT1200" s="5"/>
      <c r="CU1200" s="5"/>
      <c r="CV1200" s="5"/>
      <c r="CW1200" s="5"/>
      <c r="CX1200" s="5"/>
      <c r="CY1200" s="5"/>
      <c r="CZ1200" s="5"/>
      <c r="DA1200" s="5"/>
      <c r="DB1200" s="5"/>
      <c r="DC1200" s="5"/>
      <c r="DD1200" s="5"/>
      <c r="DE1200" s="5"/>
      <c r="DF1200" s="5"/>
      <c r="DG1200" s="5"/>
      <c r="DH1200" s="5"/>
      <c r="DI1200" s="5"/>
      <c r="DJ1200" s="5"/>
      <c r="DK1200" s="5"/>
      <c r="DL1200" s="5"/>
      <c r="DM1200" s="5"/>
      <c r="DN1200" s="5"/>
      <c r="DO1200" s="5"/>
      <c r="DP1200" s="5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  <c r="GV1200" s="1"/>
      <c r="GW1200" s="1"/>
      <c r="GX1200" s="1"/>
      <c r="GY1200" s="1"/>
      <c r="GZ1200" s="1"/>
      <c r="HA1200" s="1"/>
      <c r="HB1200" s="1"/>
      <c r="HC1200" s="1"/>
      <c r="HD1200" s="1"/>
      <c r="HE1200" s="1"/>
      <c r="HF1200" s="1"/>
      <c r="HG1200" s="1"/>
      <c r="HH1200" s="1"/>
      <c r="HI1200" s="1"/>
      <c r="HJ1200" s="1"/>
      <c r="HK1200" s="1"/>
      <c r="HL1200" s="1"/>
      <c r="HM1200" s="1"/>
      <c r="HN1200" s="1"/>
      <c r="HO1200" s="1"/>
      <c r="HP1200" s="1"/>
      <c r="HQ1200" s="1"/>
      <c r="HR1200" s="1"/>
      <c r="HS1200" s="1"/>
      <c r="HT1200" s="1"/>
      <c r="HU1200" s="1"/>
      <c r="HV1200" s="1"/>
      <c r="HW1200" s="1"/>
      <c r="HX1200" s="1"/>
      <c r="HY1200" s="1"/>
      <c r="HZ1200" s="1"/>
      <c r="IA1200" s="1"/>
      <c r="IB1200" s="1"/>
      <c r="IC1200" s="1"/>
      <c r="ID1200" s="1"/>
      <c r="IE1200" s="1"/>
      <c r="IF1200" s="1"/>
      <c r="IG1200" s="1"/>
      <c r="IH1200" s="1"/>
      <c r="II1200" s="1"/>
      <c r="IJ1200" s="1"/>
      <c r="IK1200" s="1"/>
      <c r="IL1200" s="1"/>
      <c r="IM1200" s="1"/>
      <c r="IN1200" s="1"/>
      <c r="IO1200" s="1"/>
      <c r="IP1200" s="1"/>
      <c r="IQ1200" s="1"/>
      <c r="IR1200" s="1"/>
      <c r="IS1200" s="1"/>
      <c r="IT1200" s="1"/>
      <c r="IU1200" s="1"/>
      <c r="IV1200" s="1"/>
      <c r="IW1200" s="1"/>
      <c r="IX1200" s="1"/>
      <c r="IY1200" s="1"/>
      <c r="IZ1200" s="1"/>
      <c r="JA1200" s="1"/>
      <c r="JB1200" s="1"/>
      <c r="JC1200" s="1"/>
      <c r="JD1200" s="1"/>
    </row>
    <row r="1201" s="504" customFormat="true" ht="12.75" hidden="true" customHeight="true" outlineLevel="0" collapsed="false">
      <c r="A1201" s="5"/>
      <c r="B1201" s="813" t="n">
        <f aca="false">B1200+1</f>
        <v>986</v>
      </c>
      <c r="C1201" s="814" t="n">
        <f aca="false">C1200+D1201</f>
        <v>154490.14413588</v>
      </c>
      <c r="D1201" s="815" t="n">
        <f aca="false">E1201*$E$205*M1201</f>
        <v>234.777140910888</v>
      </c>
      <c r="E1201" s="601" t="n">
        <f aca="false">E1200+$C$204</f>
        <v>14.8894686016545</v>
      </c>
      <c r="F1201" s="816" t="n">
        <f aca="false">F1200+1</f>
        <v>986</v>
      </c>
      <c r="G1201" s="775" t="n">
        <f aca="false">C1201</f>
        <v>154490.14413588</v>
      </c>
      <c r="H1201" s="817" t="n">
        <f aca="false">1000*(E1201-E1200)</f>
        <v>9.99999999999979</v>
      </c>
      <c r="I1201" s="5"/>
      <c r="J1201" s="818" t="n">
        <f aca="false">1000*(E1201-$E$215)/(B1201-$B$215)</f>
        <v>11.5962168646771</v>
      </c>
      <c r="K1201" s="732" t="n">
        <f aca="false">AVERAGE($E$216:E1201)</f>
        <v>9.95676069090408</v>
      </c>
      <c r="L1201" s="819" t="n">
        <f aca="false">L1200+1</f>
        <v>986</v>
      </c>
      <c r="M1201" s="820" t="n">
        <f aca="false">IF(B1201&lt;$E$104,$E$105,$E$106)</f>
        <v>3</v>
      </c>
      <c r="N1201" s="821" t="n">
        <f aca="false">IF(B1201&lt;$E$104,$E$105,$E$111)</f>
        <v>2.5</v>
      </c>
      <c r="O1201" s="822" t="n">
        <f aca="false">E1201*$E$205*N1201</f>
        <v>195.64761742574</v>
      </c>
      <c r="P1201" s="823" t="n">
        <f aca="false">P1200+O1201</f>
        <v>128793.467380276</v>
      </c>
      <c r="Q1201" s="606" t="n">
        <f aca="false">Q1200+1</f>
        <v>986</v>
      </c>
      <c r="R1201" s="824" t="n">
        <f aca="false">R1200-1</f>
        <v>-986</v>
      </c>
      <c r="S1201" s="5"/>
      <c r="T1201" s="5"/>
      <c r="U1201" s="5"/>
      <c r="V1201" s="10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02"/>
      <c r="AU1201" s="502"/>
      <c r="AV1201" s="606"/>
      <c r="AW1201" s="502"/>
      <c r="AX1201" s="502"/>
      <c r="AY1201" s="502"/>
      <c r="AZ1201" s="502"/>
      <c r="BA1201" s="502"/>
      <c r="BB1201" s="502"/>
      <c r="BC1201" s="502"/>
      <c r="BD1201" s="502"/>
      <c r="BE1201" s="502"/>
      <c r="BF1201" s="502"/>
      <c r="BG1201" s="502"/>
      <c r="BH1201" s="502"/>
      <c r="BI1201" s="502"/>
      <c r="BJ1201" s="502"/>
      <c r="BK1201" s="502"/>
      <c r="BL1201" s="502"/>
      <c r="BM1201" s="502"/>
      <c r="BN1201" s="502"/>
      <c r="BO1201" s="502"/>
      <c r="BP1201" s="5"/>
      <c r="BQ1201" s="5"/>
      <c r="BR1201" s="5"/>
      <c r="BS1201" s="5"/>
      <c r="BT1201" s="5"/>
      <c r="BU1201" s="5"/>
      <c r="BV1201" s="5"/>
      <c r="BW1201" s="5"/>
      <c r="BX1201" s="5"/>
      <c r="BY1201" s="5"/>
      <c r="BZ1201" s="5"/>
      <c r="CA1201" s="5"/>
      <c r="CB1201" s="5"/>
      <c r="CC1201" s="5"/>
      <c r="CD1201" s="5"/>
      <c r="CE1201" s="5"/>
      <c r="CF1201" s="5"/>
      <c r="CG1201" s="5"/>
      <c r="CH1201" s="5"/>
      <c r="CI1201" s="5"/>
      <c r="CJ1201" s="5"/>
      <c r="CK1201" s="5"/>
      <c r="CL1201" s="5"/>
      <c r="CM1201" s="5"/>
      <c r="CN1201" s="5"/>
      <c r="CO1201" s="5"/>
      <c r="CP1201" s="5"/>
      <c r="CQ1201" s="5"/>
      <c r="CR1201" s="5"/>
      <c r="CS1201" s="5"/>
      <c r="CT1201" s="5"/>
      <c r="CU1201" s="5"/>
      <c r="CV1201" s="5"/>
      <c r="CW1201" s="5"/>
      <c r="CX1201" s="5"/>
      <c r="CY1201" s="5"/>
      <c r="CZ1201" s="5"/>
      <c r="DA1201" s="5"/>
      <c r="DB1201" s="5"/>
      <c r="DC1201" s="5"/>
      <c r="DD1201" s="5"/>
      <c r="DE1201" s="5"/>
      <c r="DF1201" s="5"/>
      <c r="DG1201" s="5"/>
      <c r="DH1201" s="5"/>
      <c r="DI1201" s="5"/>
      <c r="DJ1201" s="5"/>
      <c r="DK1201" s="5"/>
      <c r="DL1201" s="5"/>
      <c r="DM1201" s="5"/>
      <c r="DN1201" s="5"/>
      <c r="DO1201" s="5"/>
      <c r="DP1201" s="5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  <c r="GV1201" s="1"/>
      <c r="GW1201" s="1"/>
      <c r="GX1201" s="1"/>
      <c r="GY1201" s="1"/>
      <c r="GZ1201" s="1"/>
      <c r="HA1201" s="1"/>
      <c r="HB1201" s="1"/>
      <c r="HC1201" s="1"/>
      <c r="HD1201" s="1"/>
      <c r="HE1201" s="1"/>
      <c r="HF1201" s="1"/>
      <c r="HG1201" s="1"/>
      <c r="HH1201" s="1"/>
      <c r="HI1201" s="1"/>
      <c r="HJ1201" s="1"/>
      <c r="HK1201" s="1"/>
      <c r="HL1201" s="1"/>
      <c r="HM1201" s="1"/>
      <c r="HN1201" s="1"/>
      <c r="HO1201" s="1"/>
      <c r="HP1201" s="1"/>
      <c r="HQ1201" s="1"/>
      <c r="HR1201" s="1"/>
      <c r="HS1201" s="1"/>
      <c r="HT1201" s="1"/>
      <c r="HU1201" s="1"/>
      <c r="HV1201" s="1"/>
      <c r="HW1201" s="1"/>
      <c r="HX1201" s="1"/>
      <c r="HY1201" s="1"/>
      <c r="HZ1201" s="1"/>
      <c r="IA1201" s="1"/>
      <c r="IB1201" s="1"/>
      <c r="IC1201" s="1"/>
      <c r="ID1201" s="1"/>
      <c r="IE1201" s="1"/>
      <c r="IF1201" s="1"/>
      <c r="IG1201" s="1"/>
      <c r="IH1201" s="1"/>
      <c r="II1201" s="1"/>
      <c r="IJ1201" s="1"/>
      <c r="IK1201" s="1"/>
      <c r="IL1201" s="1"/>
      <c r="IM1201" s="1"/>
      <c r="IN1201" s="1"/>
      <c r="IO1201" s="1"/>
      <c r="IP1201" s="1"/>
      <c r="IQ1201" s="1"/>
      <c r="IR1201" s="1"/>
      <c r="IS1201" s="1"/>
      <c r="IT1201" s="1"/>
      <c r="IU1201" s="1"/>
      <c r="IV1201" s="1"/>
      <c r="IW1201" s="1"/>
      <c r="IX1201" s="1"/>
      <c r="IY1201" s="1"/>
      <c r="IZ1201" s="1"/>
      <c r="JA1201" s="1"/>
      <c r="JB1201" s="1"/>
      <c r="JC1201" s="1"/>
      <c r="JD1201" s="1"/>
    </row>
    <row r="1202" s="504" customFormat="true" ht="12.75" hidden="true" customHeight="true" outlineLevel="0" collapsed="false">
      <c r="A1202" s="5"/>
      <c r="B1202" s="813" t="n">
        <f aca="false">B1201+1</f>
        <v>987</v>
      </c>
      <c r="C1202" s="814" t="n">
        <f aca="false">C1201+D1202</f>
        <v>154725.078956791</v>
      </c>
      <c r="D1202" s="815" t="n">
        <f aca="false">E1202*$E$205*M1202</f>
        <v>234.934820910888</v>
      </c>
      <c r="E1202" s="601" t="n">
        <f aca="false">E1201+$C$204</f>
        <v>14.8994686016545</v>
      </c>
      <c r="F1202" s="816" t="n">
        <f aca="false">F1201+1</f>
        <v>987</v>
      </c>
      <c r="G1202" s="775" t="n">
        <f aca="false">C1202</f>
        <v>154725.078956791</v>
      </c>
      <c r="H1202" s="817" t="n">
        <f aca="false">1000*(E1202-E1201)</f>
        <v>9.99999999999979</v>
      </c>
      <c r="I1202" s="5"/>
      <c r="J1202" s="818" t="n">
        <f aca="false">1000*(E1202-$E$215)/(B1202-$B$215)</f>
        <v>11.5945996236795</v>
      </c>
      <c r="K1202" s="732" t="n">
        <f aca="false">AVERAGE($E$216:E1202)</f>
        <v>9.96176850033747</v>
      </c>
      <c r="L1202" s="819" t="n">
        <f aca="false">L1201+1</f>
        <v>987</v>
      </c>
      <c r="M1202" s="820" t="n">
        <f aca="false">IF(B1202&lt;$E$104,$E$105,$E$106)</f>
        <v>3</v>
      </c>
      <c r="N1202" s="821" t="n">
        <f aca="false">IF(B1202&lt;$E$104,$E$105,$E$111)</f>
        <v>2.5</v>
      </c>
      <c r="O1202" s="822" t="n">
        <f aca="false">E1202*$E$205*N1202</f>
        <v>195.77901742574</v>
      </c>
      <c r="P1202" s="823" t="n">
        <f aca="false">P1201+O1202</f>
        <v>128989.246397702</v>
      </c>
      <c r="Q1202" s="606" t="n">
        <f aca="false">Q1201+1</f>
        <v>987</v>
      </c>
      <c r="R1202" s="824" t="n">
        <f aca="false">R1201-1</f>
        <v>-987</v>
      </c>
      <c r="S1202" s="5"/>
      <c r="T1202" s="5"/>
      <c r="U1202" s="5"/>
      <c r="V1202" s="10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02"/>
      <c r="AU1202" s="502"/>
      <c r="AV1202" s="606"/>
      <c r="AW1202" s="502"/>
      <c r="AX1202" s="502"/>
      <c r="AY1202" s="502"/>
      <c r="AZ1202" s="502"/>
      <c r="BA1202" s="502"/>
      <c r="BB1202" s="502"/>
      <c r="BC1202" s="502"/>
      <c r="BD1202" s="502"/>
      <c r="BE1202" s="502"/>
      <c r="BF1202" s="502"/>
      <c r="BG1202" s="502"/>
      <c r="BH1202" s="502"/>
      <c r="BI1202" s="502"/>
      <c r="BJ1202" s="502"/>
      <c r="BK1202" s="502"/>
      <c r="BL1202" s="502"/>
      <c r="BM1202" s="502"/>
      <c r="BN1202" s="502"/>
      <c r="BO1202" s="502"/>
      <c r="BP1202" s="5"/>
      <c r="BQ1202" s="5"/>
      <c r="BR1202" s="5"/>
      <c r="BS1202" s="5"/>
      <c r="BT1202" s="5"/>
      <c r="BU1202" s="5"/>
      <c r="BV1202" s="5"/>
      <c r="BW1202" s="5"/>
      <c r="BX1202" s="5"/>
      <c r="BY1202" s="5"/>
      <c r="BZ1202" s="5"/>
      <c r="CA1202" s="5"/>
      <c r="CB1202" s="5"/>
      <c r="CC1202" s="5"/>
      <c r="CD1202" s="5"/>
      <c r="CE1202" s="5"/>
      <c r="CF1202" s="5"/>
      <c r="CG1202" s="5"/>
      <c r="CH1202" s="5"/>
      <c r="CI1202" s="5"/>
      <c r="CJ1202" s="5"/>
      <c r="CK1202" s="5"/>
      <c r="CL1202" s="5"/>
      <c r="CM1202" s="5"/>
      <c r="CN1202" s="5"/>
      <c r="CO1202" s="5"/>
      <c r="CP1202" s="5"/>
      <c r="CQ1202" s="5"/>
      <c r="CR1202" s="5"/>
      <c r="CS1202" s="5"/>
      <c r="CT1202" s="5"/>
      <c r="CU1202" s="5"/>
      <c r="CV1202" s="5"/>
      <c r="CW1202" s="5"/>
      <c r="CX1202" s="5"/>
      <c r="CY1202" s="5"/>
      <c r="CZ1202" s="5"/>
      <c r="DA1202" s="5"/>
      <c r="DB1202" s="5"/>
      <c r="DC1202" s="5"/>
      <c r="DD1202" s="5"/>
      <c r="DE1202" s="5"/>
      <c r="DF1202" s="5"/>
      <c r="DG1202" s="5"/>
      <c r="DH1202" s="5"/>
      <c r="DI1202" s="5"/>
      <c r="DJ1202" s="5"/>
      <c r="DK1202" s="5"/>
      <c r="DL1202" s="5"/>
      <c r="DM1202" s="5"/>
      <c r="DN1202" s="5"/>
      <c r="DO1202" s="5"/>
      <c r="DP1202" s="5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  <c r="GV1202" s="1"/>
      <c r="GW1202" s="1"/>
      <c r="GX1202" s="1"/>
      <c r="GY1202" s="1"/>
      <c r="GZ1202" s="1"/>
      <c r="HA1202" s="1"/>
      <c r="HB1202" s="1"/>
      <c r="HC1202" s="1"/>
      <c r="HD1202" s="1"/>
      <c r="HE1202" s="1"/>
      <c r="HF1202" s="1"/>
      <c r="HG1202" s="1"/>
      <c r="HH1202" s="1"/>
      <c r="HI1202" s="1"/>
      <c r="HJ1202" s="1"/>
      <c r="HK1202" s="1"/>
      <c r="HL1202" s="1"/>
      <c r="HM1202" s="1"/>
      <c r="HN1202" s="1"/>
      <c r="HO1202" s="1"/>
      <c r="HP1202" s="1"/>
      <c r="HQ1202" s="1"/>
      <c r="HR1202" s="1"/>
      <c r="HS1202" s="1"/>
      <c r="HT1202" s="1"/>
      <c r="HU1202" s="1"/>
      <c r="HV1202" s="1"/>
      <c r="HW1202" s="1"/>
      <c r="HX1202" s="1"/>
      <c r="HY1202" s="1"/>
      <c r="HZ1202" s="1"/>
      <c r="IA1202" s="1"/>
      <c r="IB1202" s="1"/>
      <c r="IC1202" s="1"/>
      <c r="ID1202" s="1"/>
      <c r="IE1202" s="1"/>
      <c r="IF1202" s="1"/>
      <c r="IG1202" s="1"/>
      <c r="IH1202" s="1"/>
      <c r="II1202" s="1"/>
      <c r="IJ1202" s="1"/>
      <c r="IK1202" s="1"/>
      <c r="IL1202" s="1"/>
      <c r="IM1202" s="1"/>
      <c r="IN1202" s="1"/>
      <c r="IO1202" s="1"/>
      <c r="IP1202" s="1"/>
      <c r="IQ1202" s="1"/>
      <c r="IR1202" s="1"/>
      <c r="IS1202" s="1"/>
      <c r="IT1202" s="1"/>
      <c r="IU1202" s="1"/>
      <c r="IV1202" s="1"/>
      <c r="IW1202" s="1"/>
      <c r="IX1202" s="1"/>
      <c r="IY1202" s="1"/>
      <c r="IZ1202" s="1"/>
      <c r="JA1202" s="1"/>
      <c r="JB1202" s="1"/>
      <c r="JC1202" s="1"/>
      <c r="JD1202" s="1"/>
    </row>
    <row r="1203" s="504" customFormat="true" ht="12.75" hidden="true" customHeight="true" outlineLevel="0" collapsed="false">
      <c r="A1203" s="5"/>
      <c r="B1203" s="813" t="n">
        <f aca="false">B1202+1</f>
        <v>988</v>
      </c>
      <c r="C1203" s="814" t="n">
        <f aca="false">C1202+D1203</f>
        <v>154960.171457702</v>
      </c>
      <c r="D1203" s="815" t="n">
        <f aca="false">E1203*$E$205*M1203</f>
        <v>235.092500910888</v>
      </c>
      <c r="E1203" s="601" t="n">
        <f aca="false">E1202+$C$204</f>
        <v>14.9094686016545</v>
      </c>
      <c r="F1203" s="816" t="n">
        <f aca="false">F1202+1</f>
        <v>988</v>
      </c>
      <c r="G1203" s="775" t="n">
        <f aca="false">C1203</f>
        <v>154960.171457702</v>
      </c>
      <c r="H1203" s="817" t="n">
        <f aca="false">1000*(E1203-E1202)</f>
        <v>9.99999999999979</v>
      </c>
      <c r="I1203" s="5"/>
      <c r="J1203" s="818" t="n">
        <f aca="false">1000*(E1203-$E$215)/(B1203-$B$215)</f>
        <v>11.592985656449</v>
      </c>
      <c r="K1203" s="732" t="n">
        <f aca="false">AVERAGE($E$216:E1203)</f>
        <v>9.96677629396228</v>
      </c>
      <c r="L1203" s="819" t="n">
        <f aca="false">L1202+1</f>
        <v>988</v>
      </c>
      <c r="M1203" s="820" t="n">
        <f aca="false">IF(B1203&lt;$E$104,$E$105,$E$106)</f>
        <v>3</v>
      </c>
      <c r="N1203" s="821" t="n">
        <f aca="false">IF(B1203&lt;$E$104,$E$105,$E$111)</f>
        <v>2.5</v>
      </c>
      <c r="O1203" s="822" t="n">
        <f aca="false">E1203*$E$205*N1203</f>
        <v>195.91041742574</v>
      </c>
      <c r="P1203" s="823" t="n">
        <f aca="false">P1202+O1203</f>
        <v>129185.156815128</v>
      </c>
      <c r="Q1203" s="606" t="n">
        <f aca="false">Q1202+1</f>
        <v>988</v>
      </c>
      <c r="R1203" s="824" t="n">
        <f aca="false">R1202-1</f>
        <v>-988</v>
      </c>
      <c r="S1203" s="5"/>
      <c r="T1203" s="5"/>
      <c r="U1203" s="5"/>
      <c r="V1203" s="10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02"/>
      <c r="AU1203" s="502"/>
      <c r="AV1203" s="606"/>
      <c r="AW1203" s="502"/>
      <c r="AX1203" s="502"/>
      <c r="AY1203" s="502"/>
      <c r="AZ1203" s="502"/>
      <c r="BA1203" s="502"/>
      <c r="BB1203" s="502"/>
      <c r="BC1203" s="502"/>
      <c r="BD1203" s="502"/>
      <c r="BE1203" s="502"/>
      <c r="BF1203" s="502"/>
      <c r="BG1203" s="502"/>
      <c r="BH1203" s="502"/>
      <c r="BI1203" s="502"/>
      <c r="BJ1203" s="502"/>
      <c r="BK1203" s="502"/>
      <c r="BL1203" s="502"/>
      <c r="BM1203" s="502"/>
      <c r="BN1203" s="502"/>
      <c r="BO1203" s="502"/>
      <c r="BP1203" s="5"/>
      <c r="BQ1203" s="5"/>
      <c r="BR1203" s="5"/>
      <c r="BS1203" s="5"/>
      <c r="BT1203" s="5"/>
      <c r="BU1203" s="5"/>
      <c r="BV1203" s="5"/>
      <c r="BW1203" s="5"/>
      <c r="BX1203" s="5"/>
      <c r="BY1203" s="5"/>
      <c r="BZ1203" s="5"/>
      <c r="CA1203" s="5"/>
      <c r="CB1203" s="5"/>
      <c r="CC1203" s="5"/>
      <c r="CD1203" s="5"/>
      <c r="CE1203" s="5"/>
      <c r="CF1203" s="5"/>
      <c r="CG1203" s="5"/>
      <c r="CH1203" s="5"/>
      <c r="CI1203" s="5"/>
      <c r="CJ1203" s="5"/>
      <c r="CK1203" s="5"/>
      <c r="CL1203" s="5"/>
      <c r="CM1203" s="5"/>
      <c r="CN1203" s="5"/>
      <c r="CO1203" s="5"/>
      <c r="CP1203" s="5"/>
      <c r="CQ1203" s="5"/>
      <c r="CR1203" s="5"/>
      <c r="CS1203" s="5"/>
      <c r="CT1203" s="5"/>
      <c r="CU1203" s="5"/>
      <c r="CV1203" s="5"/>
      <c r="CW1203" s="5"/>
      <c r="CX1203" s="5"/>
      <c r="CY1203" s="5"/>
      <c r="CZ1203" s="5"/>
      <c r="DA1203" s="5"/>
      <c r="DB1203" s="5"/>
      <c r="DC1203" s="5"/>
      <c r="DD1203" s="5"/>
      <c r="DE1203" s="5"/>
      <c r="DF1203" s="5"/>
      <c r="DG1203" s="5"/>
      <c r="DH1203" s="5"/>
      <c r="DI1203" s="5"/>
      <c r="DJ1203" s="5"/>
      <c r="DK1203" s="5"/>
      <c r="DL1203" s="5"/>
      <c r="DM1203" s="5"/>
      <c r="DN1203" s="5"/>
      <c r="DO1203" s="5"/>
      <c r="DP1203" s="5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  <c r="GV1203" s="1"/>
      <c r="GW1203" s="1"/>
      <c r="GX1203" s="1"/>
      <c r="GY1203" s="1"/>
      <c r="GZ1203" s="1"/>
      <c r="HA1203" s="1"/>
      <c r="HB1203" s="1"/>
      <c r="HC1203" s="1"/>
      <c r="HD1203" s="1"/>
      <c r="HE1203" s="1"/>
      <c r="HF1203" s="1"/>
      <c r="HG1203" s="1"/>
      <c r="HH1203" s="1"/>
      <c r="HI1203" s="1"/>
      <c r="HJ1203" s="1"/>
      <c r="HK1203" s="1"/>
      <c r="HL1203" s="1"/>
      <c r="HM1203" s="1"/>
      <c r="HN1203" s="1"/>
      <c r="HO1203" s="1"/>
      <c r="HP1203" s="1"/>
      <c r="HQ1203" s="1"/>
      <c r="HR1203" s="1"/>
      <c r="HS1203" s="1"/>
      <c r="HT1203" s="1"/>
      <c r="HU1203" s="1"/>
      <c r="HV1203" s="1"/>
      <c r="HW1203" s="1"/>
      <c r="HX1203" s="1"/>
      <c r="HY1203" s="1"/>
      <c r="HZ1203" s="1"/>
      <c r="IA1203" s="1"/>
      <c r="IB1203" s="1"/>
      <c r="IC1203" s="1"/>
      <c r="ID1203" s="1"/>
      <c r="IE1203" s="1"/>
      <c r="IF1203" s="1"/>
      <c r="IG1203" s="1"/>
      <c r="IH1203" s="1"/>
      <c r="II1203" s="1"/>
      <c r="IJ1203" s="1"/>
      <c r="IK1203" s="1"/>
      <c r="IL1203" s="1"/>
      <c r="IM1203" s="1"/>
      <c r="IN1203" s="1"/>
      <c r="IO1203" s="1"/>
      <c r="IP1203" s="1"/>
      <c r="IQ1203" s="1"/>
      <c r="IR1203" s="1"/>
      <c r="IS1203" s="1"/>
      <c r="IT1203" s="1"/>
      <c r="IU1203" s="1"/>
      <c r="IV1203" s="1"/>
      <c r="IW1203" s="1"/>
      <c r="IX1203" s="1"/>
      <c r="IY1203" s="1"/>
      <c r="IZ1203" s="1"/>
      <c r="JA1203" s="1"/>
      <c r="JB1203" s="1"/>
      <c r="JC1203" s="1"/>
      <c r="JD1203" s="1"/>
    </row>
    <row r="1204" s="504" customFormat="true" ht="12.75" hidden="true" customHeight="true" outlineLevel="0" collapsed="false">
      <c r="A1204" s="5"/>
      <c r="B1204" s="813" t="n">
        <f aca="false">B1203+1</f>
        <v>989</v>
      </c>
      <c r="C1204" s="814" t="n">
        <f aca="false">C1203+D1204</f>
        <v>155195.421638613</v>
      </c>
      <c r="D1204" s="815" t="n">
        <f aca="false">E1204*$E$205*M1204</f>
        <v>235.250180910888</v>
      </c>
      <c r="E1204" s="601" t="n">
        <f aca="false">E1203+$C$204</f>
        <v>14.9194686016545</v>
      </c>
      <c r="F1204" s="816" t="n">
        <f aca="false">F1203+1</f>
        <v>989</v>
      </c>
      <c r="G1204" s="775" t="n">
        <f aca="false">C1204</f>
        <v>155195.421638613</v>
      </c>
      <c r="H1204" s="817" t="n">
        <f aca="false">1000*(E1204-E1203)</f>
        <v>9.99999999999979</v>
      </c>
      <c r="I1204" s="5"/>
      <c r="J1204" s="818" t="n">
        <f aca="false">1000*(E1204-$E$215)/(B1204-$B$215)</f>
        <v>11.5913749530552</v>
      </c>
      <c r="K1204" s="732" t="n">
        <f aca="false">AVERAGE($E$216:E1204)</f>
        <v>9.97178407182648</v>
      </c>
      <c r="L1204" s="819" t="n">
        <f aca="false">L1203+1</f>
        <v>989</v>
      </c>
      <c r="M1204" s="820" t="n">
        <f aca="false">IF(B1204&lt;$E$104,$E$105,$E$106)</f>
        <v>3</v>
      </c>
      <c r="N1204" s="821" t="n">
        <f aca="false">IF(B1204&lt;$E$104,$E$105,$E$111)</f>
        <v>2.5</v>
      </c>
      <c r="O1204" s="822" t="n">
        <f aca="false">E1204*$E$205*N1204</f>
        <v>196.04181742574</v>
      </c>
      <c r="P1204" s="823" t="n">
        <f aca="false">P1203+O1204</f>
        <v>129381.198632553</v>
      </c>
      <c r="Q1204" s="606" t="n">
        <f aca="false">Q1203+1</f>
        <v>989</v>
      </c>
      <c r="R1204" s="824" t="n">
        <f aca="false">R1203-1</f>
        <v>-989</v>
      </c>
      <c r="S1204" s="5"/>
      <c r="T1204" s="5"/>
      <c r="U1204" s="5"/>
      <c r="V1204" s="10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02"/>
      <c r="AU1204" s="502"/>
      <c r="AV1204" s="606"/>
      <c r="AW1204" s="502"/>
      <c r="AX1204" s="502"/>
      <c r="AY1204" s="502"/>
      <c r="AZ1204" s="502"/>
      <c r="BA1204" s="502"/>
      <c r="BB1204" s="502"/>
      <c r="BC1204" s="502"/>
      <c r="BD1204" s="502"/>
      <c r="BE1204" s="502"/>
      <c r="BF1204" s="502"/>
      <c r="BG1204" s="502"/>
      <c r="BH1204" s="502"/>
      <c r="BI1204" s="502"/>
      <c r="BJ1204" s="502"/>
      <c r="BK1204" s="502"/>
      <c r="BL1204" s="502"/>
      <c r="BM1204" s="502"/>
      <c r="BN1204" s="502"/>
      <c r="BO1204" s="502"/>
      <c r="BP1204" s="5"/>
      <c r="BQ1204" s="5"/>
      <c r="BR1204" s="5"/>
      <c r="BS1204" s="5"/>
      <c r="BT1204" s="5"/>
      <c r="BU1204" s="5"/>
      <c r="BV1204" s="5"/>
      <c r="BW1204" s="5"/>
      <c r="BX1204" s="5"/>
      <c r="BY1204" s="5"/>
      <c r="BZ1204" s="5"/>
      <c r="CA1204" s="5"/>
      <c r="CB1204" s="5"/>
      <c r="CC1204" s="5"/>
      <c r="CD1204" s="5"/>
      <c r="CE1204" s="5"/>
      <c r="CF1204" s="5"/>
      <c r="CG1204" s="5"/>
      <c r="CH1204" s="5"/>
      <c r="CI1204" s="5"/>
      <c r="CJ1204" s="5"/>
      <c r="CK1204" s="5"/>
      <c r="CL1204" s="5"/>
      <c r="CM1204" s="5"/>
      <c r="CN1204" s="5"/>
      <c r="CO1204" s="5"/>
      <c r="CP1204" s="5"/>
      <c r="CQ1204" s="5"/>
      <c r="CR1204" s="5"/>
      <c r="CS1204" s="5"/>
      <c r="CT1204" s="5"/>
      <c r="CU1204" s="5"/>
      <c r="CV1204" s="5"/>
      <c r="CW1204" s="5"/>
      <c r="CX1204" s="5"/>
      <c r="CY1204" s="5"/>
      <c r="CZ1204" s="5"/>
      <c r="DA1204" s="5"/>
      <c r="DB1204" s="5"/>
      <c r="DC1204" s="5"/>
      <c r="DD1204" s="5"/>
      <c r="DE1204" s="5"/>
      <c r="DF1204" s="5"/>
      <c r="DG1204" s="5"/>
      <c r="DH1204" s="5"/>
      <c r="DI1204" s="5"/>
      <c r="DJ1204" s="5"/>
      <c r="DK1204" s="5"/>
      <c r="DL1204" s="5"/>
      <c r="DM1204" s="5"/>
      <c r="DN1204" s="5"/>
      <c r="DO1204" s="5"/>
      <c r="DP1204" s="5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  <c r="GV1204" s="1"/>
      <c r="GW1204" s="1"/>
      <c r="GX1204" s="1"/>
      <c r="GY1204" s="1"/>
      <c r="GZ1204" s="1"/>
      <c r="HA1204" s="1"/>
      <c r="HB1204" s="1"/>
      <c r="HC1204" s="1"/>
      <c r="HD1204" s="1"/>
      <c r="HE1204" s="1"/>
      <c r="HF1204" s="1"/>
      <c r="HG1204" s="1"/>
      <c r="HH1204" s="1"/>
      <c r="HI1204" s="1"/>
      <c r="HJ1204" s="1"/>
      <c r="HK1204" s="1"/>
      <c r="HL1204" s="1"/>
      <c r="HM1204" s="1"/>
      <c r="HN1204" s="1"/>
      <c r="HO1204" s="1"/>
      <c r="HP1204" s="1"/>
      <c r="HQ1204" s="1"/>
      <c r="HR1204" s="1"/>
      <c r="HS1204" s="1"/>
      <c r="HT1204" s="1"/>
      <c r="HU1204" s="1"/>
      <c r="HV1204" s="1"/>
      <c r="HW1204" s="1"/>
      <c r="HX1204" s="1"/>
      <c r="HY1204" s="1"/>
      <c r="HZ1204" s="1"/>
      <c r="IA1204" s="1"/>
      <c r="IB1204" s="1"/>
      <c r="IC1204" s="1"/>
      <c r="ID1204" s="1"/>
      <c r="IE1204" s="1"/>
      <c r="IF1204" s="1"/>
      <c r="IG1204" s="1"/>
      <c r="IH1204" s="1"/>
      <c r="II1204" s="1"/>
      <c r="IJ1204" s="1"/>
      <c r="IK1204" s="1"/>
      <c r="IL1204" s="1"/>
      <c r="IM1204" s="1"/>
      <c r="IN1204" s="1"/>
      <c r="IO1204" s="1"/>
      <c r="IP1204" s="1"/>
      <c r="IQ1204" s="1"/>
      <c r="IR1204" s="1"/>
      <c r="IS1204" s="1"/>
      <c r="IT1204" s="1"/>
      <c r="IU1204" s="1"/>
      <c r="IV1204" s="1"/>
      <c r="IW1204" s="1"/>
      <c r="IX1204" s="1"/>
      <c r="IY1204" s="1"/>
      <c r="IZ1204" s="1"/>
      <c r="JA1204" s="1"/>
      <c r="JB1204" s="1"/>
      <c r="JC1204" s="1"/>
      <c r="JD1204" s="1"/>
    </row>
    <row r="1205" s="504" customFormat="true" ht="12.75" hidden="true" customHeight="true" outlineLevel="0" collapsed="false">
      <c r="A1205" s="5"/>
      <c r="B1205" s="813" t="n">
        <f aca="false">B1204+1</f>
        <v>990</v>
      </c>
      <c r="C1205" s="814" t="n">
        <f aca="false">C1204+D1205</f>
        <v>155430.829499523</v>
      </c>
      <c r="D1205" s="815" t="n">
        <f aca="false">E1205*$E$205*M1205</f>
        <v>235.407860910888</v>
      </c>
      <c r="E1205" s="601" t="n">
        <f aca="false">E1204+$C$204</f>
        <v>14.9294686016545</v>
      </c>
      <c r="F1205" s="816" t="n">
        <f aca="false">F1204+1</f>
        <v>990</v>
      </c>
      <c r="G1205" s="775" t="n">
        <f aca="false">C1205</f>
        <v>155430.829499523</v>
      </c>
      <c r="H1205" s="817" t="n">
        <f aca="false">1000*(E1205-E1204)</f>
        <v>9.99999999999979</v>
      </c>
      <c r="I1205" s="5"/>
      <c r="J1205" s="818" t="n">
        <f aca="false">1000*(E1205-$E$215)/(B1205-$B$215)</f>
        <v>11.5897675036077</v>
      </c>
      <c r="K1205" s="732" t="n">
        <f aca="false">AVERAGE($E$216:E1205)</f>
        <v>9.97679183397782</v>
      </c>
      <c r="L1205" s="819" t="n">
        <f aca="false">L1204+1</f>
        <v>990</v>
      </c>
      <c r="M1205" s="820" t="n">
        <f aca="false">IF(B1205&lt;$E$104,$E$105,$E$106)</f>
        <v>3</v>
      </c>
      <c r="N1205" s="821" t="n">
        <f aca="false">IF(B1205&lt;$E$104,$E$105,$E$111)</f>
        <v>2.5</v>
      </c>
      <c r="O1205" s="822" t="n">
        <f aca="false">E1205*$E$205*N1205</f>
        <v>196.17321742574</v>
      </c>
      <c r="P1205" s="823" t="n">
        <f aca="false">P1204+O1205</f>
        <v>129577.371849979</v>
      </c>
      <c r="Q1205" s="606" t="n">
        <f aca="false">Q1204+1</f>
        <v>990</v>
      </c>
      <c r="R1205" s="824" t="n">
        <f aca="false">R1204-1</f>
        <v>-990</v>
      </c>
      <c r="S1205" s="5"/>
      <c r="T1205" s="5"/>
      <c r="U1205" s="5"/>
      <c r="V1205" s="10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02"/>
      <c r="AU1205" s="502"/>
      <c r="AV1205" s="606"/>
      <c r="AW1205" s="502"/>
      <c r="AX1205" s="502"/>
      <c r="AY1205" s="502"/>
      <c r="AZ1205" s="502"/>
      <c r="BA1205" s="502"/>
      <c r="BB1205" s="502"/>
      <c r="BC1205" s="502"/>
      <c r="BD1205" s="502"/>
      <c r="BE1205" s="502"/>
      <c r="BF1205" s="502"/>
      <c r="BG1205" s="502"/>
      <c r="BH1205" s="502"/>
      <c r="BI1205" s="502"/>
      <c r="BJ1205" s="502"/>
      <c r="BK1205" s="502"/>
      <c r="BL1205" s="502"/>
      <c r="BM1205" s="502"/>
      <c r="BN1205" s="502"/>
      <c r="BO1205" s="502"/>
      <c r="BP1205" s="5"/>
      <c r="BQ1205" s="5"/>
      <c r="BR1205" s="5"/>
      <c r="BS1205" s="5"/>
      <c r="BT1205" s="5"/>
      <c r="BU1205" s="5"/>
      <c r="BV1205" s="5"/>
      <c r="BW1205" s="5"/>
      <c r="BX1205" s="5"/>
      <c r="BY1205" s="5"/>
      <c r="BZ1205" s="5"/>
      <c r="CA1205" s="5"/>
      <c r="CB1205" s="5"/>
      <c r="CC1205" s="5"/>
      <c r="CD1205" s="5"/>
      <c r="CE1205" s="5"/>
      <c r="CF1205" s="5"/>
      <c r="CG1205" s="5"/>
      <c r="CH1205" s="5"/>
      <c r="CI1205" s="5"/>
      <c r="CJ1205" s="5"/>
      <c r="CK1205" s="5"/>
      <c r="CL1205" s="5"/>
      <c r="CM1205" s="5"/>
      <c r="CN1205" s="5"/>
      <c r="CO1205" s="5"/>
      <c r="CP1205" s="5"/>
      <c r="CQ1205" s="5"/>
      <c r="CR1205" s="5"/>
      <c r="CS1205" s="5"/>
      <c r="CT1205" s="5"/>
      <c r="CU1205" s="5"/>
      <c r="CV1205" s="5"/>
      <c r="CW1205" s="5"/>
      <c r="CX1205" s="5"/>
      <c r="CY1205" s="5"/>
      <c r="CZ1205" s="5"/>
      <c r="DA1205" s="5"/>
      <c r="DB1205" s="5"/>
      <c r="DC1205" s="5"/>
      <c r="DD1205" s="5"/>
      <c r="DE1205" s="5"/>
      <c r="DF1205" s="5"/>
      <c r="DG1205" s="5"/>
      <c r="DH1205" s="5"/>
      <c r="DI1205" s="5"/>
      <c r="DJ1205" s="5"/>
      <c r="DK1205" s="5"/>
      <c r="DL1205" s="5"/>
      <c r="DM1205" s="5"/>
      <c r="DN1205" s="5"/>
      <c r="DO1205" s="5"/>
      <c r="DP1205" s="5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  <c r="GV1205" s="1"/>
      <c r="GW1205" s="1"/>
      <c r="GX1205" s="1"/>
      <c r="GY1205" s="1"/>
      <c r="GZ1205" s="1"/>
      <c r="HA1205" s="1"/>
      <c r="HB1205" s="1"/>
      <c r="HC1205" s="1"/>
      <c r="HD1205" s="1"/>
      <c r="HE1205" s="1"/>
      <c r="HF1205" s="1"/>
      <c r="HG1205" s="1"/>
      <c r="HH1205" s="1"/>
      <c r="HI1205" s="1"/>
      <c r="HJ1205" s="1"/>
      <c r="HK1205" s="1"/>
      <c r="HL1205" s="1"/>
      <c r="HM1205" s="1"/>
      <c r="HN1205" s="1"/>
      <c r="HO1205" s="1"/>
      <c r="HP1205" s="1"/>
      <c r="HQ1205" s="1"/>
      <c r="HR1205" s="1"/>
      <c r="HS1205" s="1"/>
      <c r="HT1205" s="1"/>
      <c r="HU1205" s="1"/>
      <c r="HV1205" s="1"/>
      <c r="HW1205" s="1"/>
      <c r="HX1205" s="1"/>
      <c r="HY1205" s="1"/>
      <c r="HZ1205" s="1"/>
      <c r="IA1205" s="1"/>
      <c r="IB1205" s="1"/>
      <c r="IC1205" s="1"/>
      <c r="ID1205" s="1"/>
      <c r="IE1205" s="1"/>
      <c r="IF1205" s="1"/>
      <c r="IG1205" s="1"/>
      <c r="IH1205" s="1"/>
      <c r="II1205" s="1"/>
      <c r="IJ1205" s="1"/>
      <c r="IK1205" s="1"/>
      <c r="IL1205" s="1"/>
      <c r="IM1205" s="1"/>
      <c r="IN1205" s="1"/>
      <c r="IO1205" s="1"/>
      <c r="IP1205" s="1"/>
      <c r="IQ1205" s="1"/>
      <c r="IR1205" s="1"/>
      <c r="IS1205" s="1"/>
      <c r="IT1205" s="1"/>
      <c r="IU1205" s="1"/>
      <c r="IV1205" s="1"/>
      <c r="IW1205" s="1"/>
      <c r="IX1205" s="1"/>
      <c r="IY1205" s="1"/>
      <c r="IZ1205" s="1"/>
      <c r="JA1205" s="1"/>
      <c r="JB1205" s="1"/>
      <c r="JC1205" s="1"/>
      <c r="JD1205" s="1"/>
    </row>
    <row r="1206" s="504" customFormat="true" ht="12.75" hidden="true" customHeight="true" outlineLevel="0" collapsed="false">
      <c r="A1206" s="5"/>
      <c r="B1206" s="813" t="n">
        <f aca="false">B1205+1</f>
        <v>991</v>
      </c>
      <c r="C1206" s="814" t="n">
        <f aca="false">C1205+D1206</f>
        <v>155666.395040434</v>
      </c>
      <c r="D1206" s="815" t="n">
        <f aca="false">E1206*$E$205*M1206</f>
        <v>235.565540910888</v>
      </c>
      <c r="E1206" s="601" t="n">
        <f aca="false">E1205+$C$204</f>
        <v>14.9394686016545</v>
      </c>
      <c r="F1206" s="816" t="n">
        <f aca="false">F1205+1</f>
        <v>991</v>
      </c>
      <c r="G1206" s="775" t="n">
        <f aca="false">C1206</f>
        <v>155666.395040434</v>
      </c>
      <c r="H1206" s="817" t="n">
        <f aca="false">1000*(E1206-E1205)</f>
        <v>9.99999999999979</v>
      </c>
      <c r="I1206" s="5"/>
      <c r="J1206" s="818" t="n">
        <f aca="false">1000*(E1206-$E$215)/(B1206-$B$215)</f>
        <v>11.5881632982559</v>
      </c>
      <c r="K1206" s="732" t="n">
        <f aca="false">AVERAGE($E$216:E1206)</f>
        <v>9.98179958046387</v>
      </c>
      <c r="L1206" s="819" t="n">
        <f aca="false">L1205+1</f>
        <v>991</v>
      </c>
      <c r="M1206" s="820" t="n">
        <f aca="false">IF(B1206&lt;$E$104,$E$105,$E$106)</f>
        <v>3</v>
      </c>
      <c r="N1206" s="821" t="n">
        <f aca="false">IF(B1206&lt;$E$104,$E$105,$E$111)</f>
        <v>2.5</v>
      </c>
      <c r="O1206" s="822" t="n">
        <f aca="false">E1206*$E$205*N1206</f>
        <v>196.30461742574</v>
      </c>
      <c r="P1206" s="823" t="n">
        <f aca="false">P1205+O1206</f>
        <v>129773.676467405</v>
      </c>
      <c r="Q1206" s="606" t="n">
        <f aca="false">Q1205+1</f>
        <v>991</v>
      </c>
      <c r="R1206" s="824" t="n">
        <f aca="false">R1205-1</f>
        <v>-991</v>
      </c>
      <c r="S1206" s="5"/>
      <c r="T1206" s="5"/>
      <c r="U1206" s="5"/>
      <c r="V1206" s="10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02"/>
      <c r="AU1206" s="502"/>
      <c r="AV1206" s="606"/>
      <c r="AW1206" s="502"/>
      <c r="AX1206" s="502"/>
      <c r="AY1206" s="502"/>
      <c r="AZ1206" s="502"/>
      <c r="BA1206" s="502"/>
      <c r="BB1206" s="502"/>
      <c r="BC1206" s="502"/>
      <c r="BD1206" s="502"/>
      <c r="BE1206" s="502"/>
      <c r="BF1206" s="502"/>
      <c r="BG1206" s="502"/>
      <c r="BH1206" s="502"/>
      <c r="BI1206" s="502"/>
      <c r="BJ1206" s="502"/>
      <c r="BK1206" s="502"/>
      <c r="BL1206" s="502"/>
      <c r="BM1206" s="502"/>
      <c r="BN1206" s="502"/>
      <c r="BO1206" s="502"/>
      <c r="BP1206" s="5"/>
      <c r="BQ1206" s="5"/>
      <c r="BR1206" s="5"/>
      <c r="BS1206" s="5"/>
      <c r="BT1206" s="5"/>
      <c r="BU1206" s="5"/>
      <c r="BV1206" s="5"/>
      <c r="BW1206" s="5"/>
      <c r="BX1206" s="5"/>
      <c r="BY1206" s="5"/>
      <c r="BZ1206" s="5"/>
      <c r="CA1206" s="5"/>
      <c r="CB1206" s="5"/>
      <c r="CC1206" s="5"/>
      <c r="CD1206" s="5"/>
      <c r="CE1206" s="5"/>
      <c r="CF1206" s="5"/>
      <c r="CG1206" s="5"/>
      <c r="CH1206" s="5"/>
      <c r="CI1206" s="5"/>
      <c r="CJ1206" s="5"/>
      <c r="CK1206" s="5"/>
      <c r="CL1206" s="5"/>
      <c r="CM1206" s="5"/>
      <c r="CN1206" s="5"/>
      <c r="CO1206" s="5"/>
      <c r="CP1206" s="5"/>
      <c r="CQ1206" s="5"/>
      <c r="CR1206" s="5"/>
      <c r="CS1206" s="5"/>
      <c r="CT1206" s="5"/>
      <c r="CU1206" s="5"/>
      <c r="CV1206" s="5"/>
      <c r="CW1206" s="5"/>
      <c r="CX1206" s="5"/>
      <c r="CY1206" s="5"/>
      <c r="CZ1206" s="5"/>
      <c r="DA1206" s="5"/>
      <c r="DB1206" s="5"/>
      <c r="DC1206" s="5"/>
      <c r="DD1206" s="5"/>
      <c r="DE1206" s="5"/>
      <c r="DF1206" s="5"/>
      <c r="DG1206" s="5"/>
      <c r="DH1206" s="5"/>
      <c r="DI1206" s="5"/>
      <c r="DJ1206" s="5"/>
      <c r="DK1206" s="5"/>
      <c r="DL1206" s="5"/>
      <c r="DM1206" s="5"/>
      <c r="DN1206" s="5"/>
      <c r="DO1206" s="5"/>
      <c r="DP1206" s="5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  <c r="GV1206" s="1"/>
      <c r="GW1206" s="1"/>
      <c r="GX1206" s="1"/>
      <c r="GY1206" s="1"/>
      <c r="GZ1206" s="1"/>
      <c r="HA1206" s="1"/>
      <c r="HB1206" s="1"/>
      <c r="HC1206" s="1"/>
      <c r="HD1206" s="1"/>
      <c r="HE1206" s="1"/>
      <c r="HF1206" s="1"/>
      <c r="HG1206" s="1"/>
      <c r="HH1206" s="1"/>
      <c r="HI1206" s="1"/>
      <c r="HJ1206" s="1"/>
      <c r="HK1206" s="1"/>
      <c r="HL1206" s="1"/>
      <c r="HM1206" s="1"/>
      <c r="HN1206" s="1"/>
      <c r="HO1206" s="1"/>
      <c r="HP1206" s="1"/>
      <c r="HQ1206" s="1"/>
      <c r="HR1206" s="1"/>
      <c r="HS1206" s="1"/>
      <c r="HT1206" s="1"/>
      <c r="HU1206" s="1"/>
      <c r="HV1206" s="1"/>
      <c r="HW1206" s="1"/>
      <c r="HX1206" s="1"/>
      <c r="HY1206" s="1"/>
      <c r="HZ1206" s="1"/>
      <c r="IA1206" s="1"/>
      <c r="IB1206" s="1"/>
      <c r="IC1206" s="1"/>
      <c r="ID1206" s="1"/>
      <c r="IE1206" s="1"/>
      <c r="IF1206" s="1"/>
      <c r="IG1206" s="1"/>
      <c r="IH1206" s="1"/>
      <c r="II1206" s="1"/>
      <c r="IJ1206" s="1"/>
      <c r="IK1206" s="1"/>
      <c r="IL1206" s="1"/>
      <c r="IM1206" s="1"/>
      <c r="IN1206" s="1"/>
      <c r="IO1206" s="1"/>
      <c r="IP1206" s="1"/>
      <c r="IQ1206" s="1"/>
      <c r="IR1206" s="1"/>
      <c r="IS1206" s="1"/>
      <c r="IT1206" s="1"/>
      <c r="IU1206" s="1"/>
      <c r="IV1206" s="1"/>
      <c r="IW1206" s="1"/>
      <c r="IX1206" s="1"/>
      <c r="IY1206" s="1"/>
      <c r="IZ1206" s="1"/>
      <c r="JA1206" s="1"/>
      <c r="JB1206" s="1"/>
      <c r="JC1206" s="1"/>
      <c r="JD1206" s="1"/>
    </row>
    <row r="1207" s="504" customFormat="true" ht="12.75" hidden="true" customHeight="true" outlineLevel="0" collapsed="false">
      <c r="A1207" s="5"/>
      <c r="B1207" s="813" t="n">
        <f aca="false">B1206+1</f>
        <v>992</v>
      </c>
      <c r="C1207" s="814" t="n">
        <f aca="false">C1206+D1207</f>
        <v>155902.118261345</v>
      </c>
      <c r="D1207" s="815" t="n">
        <f aca="false">E1207*$E$205*M1207</f>
        <v>235.723220910888</v>
      </c>
      <c r="E1207" s="601" t="n">
        <f aca="false">E1206+$C$204</f>
        <v>14.9494686016545</v>
      </c>
      <c r="F1207" s="816" t="n">
        <f aca="false">F1206+1</f>
        <v>992</v>
      </c>
      <c r="G1207" s="775" t="n">
        <f aca="false">C1207</f>
        <v>155902.118261345</v>
      </c>
      <c r="H1207" s="817" t="n">
        <f aca="false">1000*(E1207-E1206)</f>
        <v>9.99999999999979</v>
      </c>
      <c r="I1207" s="5"/>
      <c r="J1207" s="818" t="n">
        <f aca="false">1000*(E1207-$E$215)/(B1207-$B$215)</f>
        <v>11.5865623271891</v>
      </c>
      <c r="K1207" s="732" t="n">
        <f aca="false">AVERAGE($E$216:E1207)</f>
        <v>9.98680731133201</v>
      </c>
      <c r="L1207" s="819" t="n">
        <f aca="false">L1206+1</f>
        <v>992</v>
      </c>
      <c r="M1207" s="820" t="n">
        <f aca="false">IF(B1207&lt;$E$104,$E$105,$E$106)</f>
        <v>3</v>
      </c>
      <c r="N1207" s="821" t="n">
        <f aca="false">IF(B1207&lt;$E$104,$E$105,$E$111)</f>
        <v>2.5</v>
      </c>
      <c r="O1207" s="822" t="n">
        <f aca="false">E1207*$E$205*N1207</f>
        <v>196.43601742574</v>
      </c>
      <c r="P1207" s="823" t="n">
        <f aca="false">P1206+O1207</f>
        <v>129970.112484831</v>
      </c>
      <c r="Q1207" s="606" t="n">
        <f aca="false">Q1206+1</f>
        <v>992</v>
      </c>
      <c r="R1207" s="824" t="n">
        <f aca="false">R1206-1</f>
        <v>-992</v>
      </c>
      <c r="S1207" s="5"/>
      <c r="T1207" s="5"/>
      <c r="U1207" s="5"/>
      <c r="V1207" s="10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02"/>
      <c r="AU1207" s="502"/>
      <c r="AV1207" s="606"/>
      <c r="AW1207" s="502"/>
      <c r="AX1207" s="502"/>
      <c r="AY1207" s="502"/>
      <c r="AZ1207" s="502"/>
      <c r="BA1207" s="502"/>
      <c r="BB1207" s="502"/>
      <c r="BC1207" s="502"/>
      <c r="BD1207" s="502"/>
      <c r="BE1207" s="502"/>
      <c r="BF1207" s="502"/>
      <c r="BG1207" s="502"/>
      <c r="BH1207" s="502"/>
      <c r="BI1207" s="502"/>
      <c r="BJ1207" s="502"/>
      <c r="BK1207" s="502"/>
      <c r="BL1207" s="502"/>
      <c r="BM1207" s="502"/>
      <c r="BN1207" s="502"/>
      <c r="BO1207" s="502"/>
      <c r="BP1207" s="5"/>
      <c r="BQ1207" s="5"/>
      <c r="BR1207" s="5"/>
      <c r="BS1207" s="5"/>
      <c r="BT1207" s="5"/>
      <c r="BU1207" s="5"/>
      <c r="BV1207" s="5"/>
      <c r="BW1207" s="5"/>
      <c r="BX1207" s="5"/>
      <c r="BY1207" s="5"/>
      <c r="BZ1207" s="5"/>
      <c r="CA1207" s="5"/>
      <c r="CB1207" s="5"/>
      <c r="CC1207" s="5"/>
      <c r="CD1207" s="5"/>
      <c r="CE1207" s="5"/>
      <c r="CF1207" s="5"/>
      <c r="CG1207" s="5"/>
      <c r="CH1207" s="5"/>
      <c r="CI1207" s="5"/>
      <c r="CJ1207" s="5"/>
      <c r="CK1207" s="5"/>
      <c r="CL1207" s="5"/>
      <c r="CM1207" s="5"/>
      <c r="CN1207" s="5"/>
      <c r="CO1207" s="5"/>
      <c r="CP1207" s="5"/>
      <c r="CQ1207" s="5"/>
      <c r="CR1207" s="5"/>
      <c r="CS1207" s="5"/>
      <c r="CT1207" s="5"/>
      <c r="CU1207" s="5"/>
      <c r="CV1207" s="5"/>
      <c r="CW1207" s="5"/>
      <c r="CX1207" s="5"/>
      <c r="CY1207" s="5"/>
      <c r="CZ1207" s="5"/>
      <c r="DA1207" s="5"/>
      <c r="DB1207" s="5"/>
      <c r="DC1207" s="5"/>
      <c r="DD1207" s="5"/>
      <c r="DE1207" s="5"/>
      <c r="DF1207" s="5"/>
      <c r="DG1207" s="5"/>
      <c r="DH1207" s="5"/>
      <c r="DI1207" s="5"/>
      <c r="DJ1207" s="5"/>
      <c r="DK1207" s="5"/>
      <c r="DL1207" s="5"/>
      <c r="DM1207" s="5"/>
      <c r="DN1207" s="5"/>
      <c r="DO1207" s="5"/>
      <c r="DP1207" s="5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  <c r="GV1207" s="1"/>
      <c r="GW1207" s="1"/>
      <c r="GX1207" s="1"/>
      <c r="GY1207" s="1"/>
      <c r="GZ1207" s="1"/>
      <c r="HA1207" s="1"/>
      <c r="HB1207" s="1"/>
      <c r="HC1207" s="1"/>
      <c r="HD1207" s="1"/>
      <c r="HE1207" s="1"/>
      <c r="HF1207" s="1"/>
      <c r="HG1207" s="1"/>
      <c r="HH1207" s="1"/>
      <c r="HI1207" s="1"/>
      <c r="HJ1207" s="1"/>
      <c r="HK1207" s="1"/>
      <c r="HL1207" s="1"/>
      <c r="HM1207" s="1"/>
      <c r="HN1207" s="1"/>
      <c r="HO1207" s="1"/>
      <c r="HP1207" s="1"/>
      <c r="HQ1207" s="1"/>
      <c r="HR1207" s="1"/>
      <c r="HS1207" s="1"/>
      <c r="HT1207" s="1"/>
      <c r="HU1207" s="1"/>
      <c r="HV1207" s="1"/>
      <c r="HW1207" s="1"/>
      <c r="HX1207" s="1"/>
      <c r="HY1207" s="1"/>
      <c r="HZ1207" s="1"/>
      <c r="IA1207" s="1"/>
      <c r="IB1207" s="1"/>
      <c r="IC1207" s="1"/>
      <c r="ID1207" s="1"/>
      <c r="IE1207" s="1"/>
      <c r="IF1207" s="1"/>
      <c r="IG1207" s="1"/>
      <c r="IH1207" s="1"/>
      <c r="II1207" s="1"/>
      <c r="IJ1207" s="1"/>
      <c r="IK1207" s="1"/>
      <c r="IL1207" s="1"/>
      <c r="IM1207" s="1"/>
      <c r="IN1207" s="1"/>
      <c r="IO1207" s="1"/>
      <c r="IP1207" s="1"/>
      <c r="IQ1207" s="1"/>
      <c r="IR1207" s="1"/>
      <c r="IS1207" s="1"/>
      <c r="IT1207" s="1"/>
      <c r="IU1207" s="1"/>
      <c r="IV1207" s="1"/>
      <c r="IW1207" s="1"/>
      <c r="IX1207" s="1"/>
      <c r="IY1207" s="1"/>
      <c r="IZ1207" s="1"/>
      <c r="JA1207" s="1"/>
      <c r="JB1207" s="1"/>
      <c r="JC1207" s="1"/>
      <c r="JD1207" s="1"/>
    </row>
    <row r="1208" s="504" customFormat="true" ht="12.75" hidden="true" customHeight="true" outlineLevel="0" collapsed="false">
      <c r="A1208" s="5"/>
      <c r="B1208" s="813" t="n">
        <f aca="false">B1207+1</f>
        <v>993</v>
      </c>
      <c r="C1208" s="814" t="n">
        <f aca="false">C1207+D1208</f>
        <v>156137.999162256</v>
      </c>
      <c r="D1208" s="815" t="n">
        <f aca="false">E1208*$E$205*M1208</f>
        <v>235.880900910888</v>
      </c>
      <c r="E1208" s="601" t="n">
        <f aca="false">E1207+$C$204</f>
        <v>14.9594686016545</v>
      </c>
      <c r="F1208" s="816" t="n">
        <f aca="false">F1207+1</f>
        <v>993</v>
      </c>
      <c r="G1208" s="775" t="n">
        <f aca="false">C1208</f>
        <v>156137.999162256</v>
      </c>
      <c r="H1208" s="817" t="n">
        <f aca="false">1000*(E1208-E1207)</f>
        <v>9.99999999999979</v>
      </c>
      <c r="I1208" s="5"/>
      <c r="J1208" s="818" t="n">
        <f aca="false">1000*(E1208-$E$215)/(B1208-$B$215)</f>
        <v>11.5849645806361</v>
      </c>
      <c r="K1208" s="732" t="n">
        <f aca="false">AVERAGE($E$216:E1208)</f>
        <v>9.99181502662941</v>
      </c>
      <c r="L1208" s="819" t="n">
        <f aca="false">L1207+1</f>
        <v>993</v>
      </c>
      <c r="M1208" s="820" t="n">
        <f aca="false">IF(B1208&lt;$E$104,$E$105,$E$106)</f>
        <v>3</v>
      </c>
      <c r="N1208" s="821" t="n">
        <f aca="false">IF(B1208&lt;$E$104,$E$105,$E$111)</f>
        <v>2.5</v>
      </c>
      <c r="O1208" s="822" t="n">
        <f aca="false">E1208*$E$205*N1208</f>
        <v>196.56741742574</v>
      </c>
      <c r="P1208" s="823" t="n">
        <f aca="false">P1207+O1208</f>
        <v>130166.679902256</v>
      </c>
      <c r="Q1208" s="606" t="n">
        <f aca="false">Q1207+1</f>
        <v>993</v>
      </c>
      <c r="R1208" s="824" t="n">
        <f aca="false">R1207-1</f>
        <v>-993</v>
      </c>
      <c r="S1208" s="5"/>
      <c r="T1208" s="5"/>
      <c r="U1208" s="5"/>
      <c r="V1208" s="10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02"/>
      <c r="AU1208" s="502"/>
      <c r="AV1208" s="606"/>
      <c r="AW1208" s="502"/>
      <c r="AX1208" s="502"/>
      <c r="AY1208" s="502"/>
      <c r="AZ1208" s="502"/>
      <c r="BA1208" s="502"/>
      <c r="BB1208" s="502"/>
      <c r="BC1208" s="502"/>
      <c r="BD1208" s="502"/>
      <c r="BE1208" s="502"/>
      <c r="BF1208" s="502"/>
      <c r="BG1208" s="502"/>
      <c r="BH1208" s="502"/>
      <c r="BI1208" s="502"/>
      <c r="BJ1208" s="502"/>
      <c r="BK1208" s="502"/>
      <c r="BL1208" s="502"/>
      <c r="BM1208" s="502"/>
      <c r="BN1208" s="502"/>
      <c r="BO1208" s="502"/>
      <c r="BP1208" s="5"/>
      <c r="BQ1208" s="5"/>
      <c r="BR1208" s="5"/>
      <c r="BS1208" s="5"/>
      <c r="BT1208" s="5"/>
      <c r="BU1208" s="5"/>
      <c r="BV1208" s="5"/>
      <c r="BW1208" s="5"/>
      <c r="BX1208" s="5"/>
      <c r="BY1208" s="5"/>
      <c r="BZ1208" s="5"/>
      <c r="CA1208" s="5"/>
      <c r="CB1208" s="5"/>
      <c r="CC1208" s="5"/>
      <c r="CD1208" s="5"/>
      <c r="CE1208" s="5"/>
      <c r="CF1208" s="5"/>
      <c r="CG1208" s="5"/>
      <c r="CH1208" s="5"/>
      <c r="CI1208" s="5"/>
      <c r="CJ1208" s="5"/>
      <c r="CK1208" s="5"/>
      <c r="CL1208" s="5"/>
      <c r="CM1208" s="5"/>
      <c r="CN1208" s="5"/>
      <c r="CO1208" s="5"/>
      <c r="CP1208" s="5"/>
      <c r="CQ1208" s="5"/>
      <c r="CR1208" s="5"/>
      <c r="CS1208" s="5"/>
      <c r="CT1208" s="5"/>
      <c r="CU1208" s="5"/>
      <c r="CV1208" s="5"/>
      <c r="CW1208" s="5"/>
      <c r="CX1208" s="5"/>
      <c r="CY1208" s="5"/>
      <c r="CZ1208" s="5"/>
      <c r="DA1208" s="5"/>
      <c r="DB1208" s="5"/>
      <c r="DC1208" s="5"/>
      <c r="DD1208" s="5"/>
      <c r="DE1208" s="5"/>
      <c r="DF1208" s="5"/>
      <c r="DG1208" s="5"/>
      <c r="DH1208" s="5"/>
      <c r="DI1208" s="5"/>
      <c r="DJ1208" s="5"/>
      <c r="DK1208" s="5"/>
      <c r="DL1208" s="5"/>
      <c r="DM1208" s="5"/>
      <c r="DN1208" s="5"/>
      <c r="DO1208" s="5"/>
      <c r="DP1208" s="5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  <c r="GV1208" s="1"/>
      <c r="GW1208" s="1"/>
      <c r="GX1208" s="1"/>
      <c r="GY1208" s="1"/>
      <c r="GZ1208" s="1"/>
      <c r="HA1208" s="1"/>
      <c r="HB1208" s="1"/>
      <c r="HC1208" s="1"/>
      <c r="HD1208" s="1"/>
      <c r="HE1208" s="1"/>
      <c r="HF1208" s="1"/>
      <c r="HG1208" s="1"/>
      <c r="HH1208" s="1"/>
      <c r="HI1208" s="1"/>
      <c r="HJ1208" s="1"/>
      <c r="HK1208" s="1"/>
      <c r="HL1208" s="1"/>
      <c r="HM1208" s="1"/>
      <c r="HN1208" s="1"/>
      <c r="HO1208" s="1"/>
      <c r="HP1208" s="1"/>
      <c r="HQ1208" s="1"/>
      <c r="HR1208" s="1"/>
      <c r="HS1208" s="1"/>
      <c r="HT1208" s="1"/>
      <c r="HU1208" s="1"/>
      <c r="HV1208" s="1"/>
      <c r="HW1208" s="1"/>
      <c r="HX1208" s="1"/>
      <c r="HY1208" s="1"/>
      <c r="HZ1208" s="1"/>
      <c r="IA1208" s="1"/>
      <c r="IB1208" s="1"/>
      <c r="IC1208" s="1"/>
      <c r="ID1208" s="1"/>
      <c r="IE1208" s="1"/>
      <c r="IF1208" s="1"/>
      <c r="IG1208" s="1"/>
      <c r="IH1208" s="1"/>
      <c r="II1208" s="1"/>
      <c r="IJ1208" s="1"/>
      <c r="IK1208" s="1"/>
      <c r="IL1208" s="1"/>
      <c r="IM1208" s="1"/>
      <c r="IN1208" s="1"/>
      <c r="IO1208" s="1"/>
      <c r="IP1208" s="1"/>
      <c r="IQ1208" s="1"/>
      <c r="IR1208" s="1"/>
      <c r="IS1208" s="1"/>
      <c r="IT1208" s="1"/>
      <c r="IU1208" s="1"/>
      <c r="IV1208" s="1"/>
      <c r="IW1208" s="1"/>
      <c r="IX1208" s="1"/>
      <c r="IY1208" s="1"/>
      <c r="IZ1208" s="1"/>
      <c r="JA1208" s="1"/>
      <c r="JB1208" s="1"/>
      <c r="JC1208" s="1"/>
      <c r="JD1208" s="1"/>
    </row>
    <row r="1209" s="504" customFormat="true" ht="12.75" hidden="true" customHeight="true" outlineLevel="0" collapsed="false">
      <c r="A1209" s="5"/>
      <c r="B1209" s="813" t="n">
        <f aca="false">B1208+1</f>
        <v>994</v>
      </c>
      <c r="C1209" s="814" t="n">
        <f aca="false">C1208+D1209</f>
        <v>156374.037743167</v>
      </c>
      <c r="D1209" s="815" t="n">
        <f aca="false">E1209*$E$205*M1209</f>
        <v>236.038580910888</v>
      </c>
      <c r="E1209" s="601" t="n">
        <f aca="false">E1208+$C$204</f>
        <v>14.9694686016545</v>
      </c>
      <c r="F1209" s="816" t="n">
        <f aca="false">F1208+1</f>
        <v>994</v>
      </c>
      <c r="G1209" s="775" t="n">
        <f aca="false">C1209</f>
        <v>156374.037743167</v>
      </c>
      <c r="H1209" s="817" t="n">
        <f aca="false">1000*(E1209-E1208)</f>
        <v>9.99999999999979</v>
      </c>
      <c r="I1209" s="5"/>
      <c r="J1209" s="818" t="n">
        <f aca="false">1000*(E1209-$E$215)/(B1209-$B$215)</f>
        <v>11.5833700488648</v>
      </c>
      <c r="K1209" s="732" t="n">
        <f aca="false">AVERAGE($E$216:E1209)</f>
        <v>9.99682272640308</v>
      </c>
      <c r="L1209" s="819" t="n">
        <f aca="false">L1208+1</f>
        <v>994</v>
      </c>
      <c r="M1209" s="820" t="n">
        <f aca="false">IF(B1209&lt;$E$104,$E$105,$E$106)</f>
        <v>3</v>
      </c>
      <c r="N1209" s="821" t="n">
        <f aca="false">IF(B1209&lt;$E$104,$E$105,$E$111)</f>
        <v>2.5</v>
      </c>
      <c r="O1209" s="822" t="n">
        <f aca="false">E1209*$E$205*N1209</f>
        <v>196.69881742574</v>
      </c>
      <c r="P1209" s="823" t="n">
        <f aca="false">P1208+O1209</f>
        <v>130363.378719682</v>
      </c>
      <c r="Q1209" s="606" t="n">
        <f aca="false">Q1208+1</f>
        <v>994</v>
      </c>
      <c r="R1209" s="824" t="n">
        <f aca="false">R1208-1</f>
        <v>-994</v>
      </c>
      <c r="S1209" s="5"/>
      <c r="T1209" s="5"/>
      <c r="U1209" s="5"/>
      <c r="V1209" s="10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02"/>
      <c r="AU1209" s="502"/>
      <c r="AV1209" s="606"/>
      <c r="AW1209" s="502"/>
      <c r="AX1209" s="502"/>
      <c r="AY1209" s="502"/>
      <c r="AZ1209" s="502"/>
      <c r="BA1209" s="502"/>
      <c r="BB1209" s="502"/>
      <c r="BC1209" s="502"/>
      <c r="BD1209" s="502"/>
      <c r="BE1209" s="502"/>
      <c r="BF1209" s="502"/>
      <c r="BG1209" s="502"/>
      <c r="BH1209" s="502"/>
      <c r="BI1209" s="502"/>
      <c r="BJ1209" s="502"/>
      <c r="BK1209" s="502"/>
      <c r="BL1209" s="502"/>
      <c r="BM1209" s="502"/>
      <c r="BN1209" s="502"/>
      <c r="BO1209" s="502"/>
      <c r="BP1209" s="5"/>
      <c r="BQ1209" s="5"/>
      <c r="BR1209" s="5"/>
      <c r="BS1209" s="5"/>
      <c r="BT1209" s="5"/>
      <c r="BU1209" s="5"/>
      <c r="BV1209" s="5"/>
      <c r="BW1209" s="5"/>
      <c r="BX1209" s="5"/>
      <c r="BY1209" s="5"/>
      <c r="BZ1209" s="5"/>
      <c r="CA1209" s="5"/>
      <c r="CB1209" s="5"/>
      <c r="CC1209" s="5"/>
      <c r="CD1209" s="5"/>
      <c r="CE1209" s="5"/>
      <c r="CF1209" s="5"/>
      <c r="CG1209" s="5"/>
      <c r="CH1209" s="5"/>
      <c r="CI1209" s="5"/>
      <c r="CJ1209" s="5"/>
      <c r="CK1209" s="5"/>
      <c r="CL1209" s="5"/>
      <c r="CM1209" s="5"/>
      <c r="CN1209" s="5"/>
      <c r="CO1209" s="5"/>
      <c r="CP1209" s="5"/>
      <c r="CQ1209" s="5"/>
      <c r="CR1209" s="5"/>
      <c r="CS1209" s="5"/>
      <c r="CT1209" s="5"/>
      <c r="CU1209" s="5"/>
      <c r="CV1209" s="5"/>
      <c r="CW1209" s="5"/>
      <c r="CX1209" s="5"/>
      <c r="CY1209" s="5"/>
      <c r="CZ1209" s="5"/>
      <c r="DA1209" s="5"/>
      <c r="DB1209" s="5"/>
      <c r="DC1209" s="5"/>
      <c r="DD1209" s="5"/>
      <c r="DE1209" s="5"/>
      <c r="DF1209" s="5"/>
      <c r="DG1209" s="5"/>
      <c r="DH1209" s="5"/>
      <c r="DI1209" s="5"/>
      <c r="DJ1209" s="5"/>
      <c r="DK1209" s="5"/>
      <c r="DL1209" s="5"/>
      <c r="DM1209" s="5"/>
      <c r="DN1209" s="5"/>
      <c r="DO1209" s="5"/>
      <c r="DP1209" s="5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  <c r="GV1209" s="1"/>
      <c r="GW1209" s="1"/>
      <c r="GX1209" s="1"/>
      <c r="GY1209" s="1"/>
      <c r="GZ1209" s="1"/>
      <c r="HA1209" s="1"/>
      <c r="HB1209" s="1"/>
      <c r="HC1209" s="1"/>
      <c r="HD1209" s="1"/>
      <c r="HE1209" s="1"/>
      <c r="HF1209" s="1"/>
      <c r="HG1209" s="1"/>
      <c r="HH1209" s="1"/>
      <c r="HI1209" s="1"/>
      <c r="HJ1209" s="1"/>
      <c r="HK1209" s="1"/>
      <c r="HL1209" s="1"/>
      <c r="HM1209" s="1"/>
      <c r="HN1209" s="1"/>
      <c r="HO1209" s="1"/>
      <c r="HP1209" s="1"/>
      <c r="HQ1209" s="1"/>
      <c r="HR1209" s="1"/>
      <c r="HS1209" s="1"/>
      <c r="HT1209" s="1"/>
      <c r="HU1209" s="1"/>
      <c r="HV1209" s="1"/>
      <c r="HW1209" s="1"/>
      <c r="HX1209" s="1"/>
      <c r="HY1209" s="1"/>
      <c r="HZ1209" s="1"/>
      <c r="IA1209" s="1"/>
      <c r="IB1209" s="1"/>
      <c r="IC1209" s="1"/>
      <c r="ID1209" s="1"/>
      <c r="IE1209" s="1"/>
      <c r="IF1209" s="1"/>
      <c r="IG1209" s="1"/>
      <c r="IH1209" s="1"/>
      <c r="II1209" s="1"/>
      <c r="IJ1209" s="1"/>
      <c r="IK1209" s="1"/>
      <c r="IL1209" s="1"/>
      <c r="IM1209" s="1"/>
      <c r="IN1209" s="1"/>
      <c r="IO1209" s="1"/>
      <c r="IP1209" s="1"/>
      <c r="IQ1209" s="1"/>
      <c r="IR1209" s="1"/>
      <c r="IS1209" s="1"/>
      <c r="IT1209" s="1"/>
      <c r="IU1209" s="1"/>
      <c r="IV1209" s="1"/>
      <c r="IW1209" s="1"/>
      <c r="IX1209" s="1"/>
      <c r="IY1209" s="1"/>
      <c r="IZ1209" s="1"/>
      <c r="JA1209" s="1"/>
      <c r="JB1209" s="1"/>
      <c r="JC1209" s="1"/>
      <c r="JD1209" s="1"/>
    </row>
    <row r="1210" s="504" customFormat="true" ht="12.75" hidden="true" customHeight="true" outlineLevel="0" collapsed="false">
      <c r="A1210" s="5"/>
      <c r="B1210" s="813" t="n">
        <f aca="false">B1209+1</f>
        <v>995</v>
      </c>
      <c r="C1210" s="814" t="n">
        <f aca="false">C1209+D1210</f>
        <v>156610.234004078</v>
      </c>
      <c r="D1210" s="815" t="n">
        <f aca="false">E1210*$E$205*M1210</f>
        <v>236.196260910888</v>
      </c>
      <c r="E1210" s="601" t="n">
        <f aca="false">E1209+$C$204</f>
        <v>14.9794686016545</v>
      </c>
      <c r="F1210" s="816" t="n">
        <f aca="false">F1209+1</f>
        <v>995</v>
      </c>
      <c r="G1210" s="775" t="n">
        <f aca="false">C1210</f>
        <v>156610.234004078</v>
      </c>
      <c r="H1210" s="817" t="n">
        <f aca="false">1000*(E1210-E1209)</f>
        <v>9.99999999999979</v>
      </c>
      <c r="I1210" s="5"/>
      <c r="J1210" s="818" t="n">
        <f aca="false">1000*(E1210-$E$215)/(B1210-$B$215)</f>
        <v>11.5817787221825</v>
      </c>
      <c r="K1210" s="732" t="n">
        <f aca="false">AVERAGE($E$216:E1210)</f>
        <v>10.0018304106998</v>
      </c>
      <c r="L1210" s="819" t="n">
        <f aca="false">L1209+1</f>
        <v>995</v>
      </c>
      <c r="M1210" s="820" t="n">
        <f aca="false">IF(B1210&lt;$E$104,$E$105,$E$106)</f>
        <v>3</v>
      </c>
      <c r="N1210" s="821" t="n">
        <f aca="false">IF(B1210&lt;$E$104,$E$105,$E$111)</f>
        <v>2.5</v>
      </c>
      <c r="O1210" s="822" t="n">
        <f aca="false">E1210*$E$205*N1210</f>
        <v>196.83021742574</v>
      </c>
      <c r="P1210" s="823" t="n">
        <f aca="false">P1209+O1210</f>
        <v>130560.208937108</v>
      </c>
      <c r="Q1210" s="606" t="n">
        <f aca="false">Q1209+1</f>
        <v>995</v>
      </c>
      <c r="R1210" s="824" t="n">
        <f aca="false">R1209-1</f>
        <v>-995</v>
      </c>
      <c r="S1210" s="5"/>
      <c r="T1210" s="5"/>
      <c r="U1210" s="5"/>
      <c r="V1210" s="10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02"/>
      <c r="AU1210" s="502"/>
      <c r="AV1210" s="606"/>
      <c r="AW1210" s="502"/>
      <c r="AX1210" s="502"/>
      <c r="AY1210" s="502"/>
      <c r="AZ1210" s="502"/>
      <c r="BA1210" s="502"/>
      <c r="BB1210" s="502"/>
      <c r="BC1210" s="502"/>
      <c r="BD1210" s="502"/>
      <c r="BE1210" s="502"/>
      <c r="BF1210" s="502"/>
      <c r="BG1210" s="502"/>
      <c r="BH1210" s="502"/>
      <c r="BI1210" s="502"/>
      <c r="BJ1210" s="502"/>
      <c r="BK1210" s="502"/>
      <c r="BL1210" s="502"/>
      <c r="BM1210" s="502"/>
      <c r="BN1210" s="502"/>
      <c r="BO1210" s="502"/>
      <c r="BP1210" s="5"/>
      <c r="BQ1210" s="5"/>
      <c r="BR1210" s="5"/>
      <c r="BS1210" s="5"/>
      <c r="BT1210" s="5"/>
      <c r="BU1210" s="5"/>
      <c r="BV1210" s="5"/>
      <c r="BW1210" s="5"/>
      <c r="BX1210" s="5"/>
      <c r="BY1210" s="5"/>
      <c r="BZ1210" s="5"/>
      <c r="CA1210" s="5"/>
      <c r="CB1210" s="5"/>
      <c r="CC1210" s="5"/>
      <c r="CD1210" s="5"/>
      <c r="CE1210" s="5"/>
      <c r="CF1210" s="5"/>
      <c r="CG1210" s="5"/>
      <c r="CH1210" s="5"/>
      <c r="CI1210" s="5"/>
      <c r="CJ1210" s="5"/>
      <c r="CK1210" s="5"/>
      <c r="CL1210" s="5"/>
      <c r="CM1210" s="5"/>
      <c r="CN1210" s="5"/>
      <c r="CO1210" s="5"/>
      <c r="CP1210" s="5"/>
      <c r="CQ1210" s="5"/>
      <c r="CR1210" s="5"/>
      <c r="CS1210" s="5"/>
      <c r="CT1210" s="5"/>
      <c r="CU1210" s="5"/>
      <c r="CV1210" s="5"/>
      <c r="CW1210" s="5"/>
      <c r="CX1210" s="5"/>
      <c r="CY1210" s="5"/>
      <c r="CZ1210" s="5"/>
      <c r="DA1210" s="5"/>
      <c r="DB1210" s="5"/>
      <c r="DC1210" s="5"/>
      <c r="DD1210" s="5"/>
      <c r="DE1210" s="5"/>
      <c r="DF1210" s="5"/>
      <c r="DG1210" s="5"/>
      <c r="DH1210" s="5"/>
      <c r="DI1210" s="5"/>
      <c r="DJ1210" s="5"/>
      <c r="DK1210" s="5"/>
      <c r="DL1210" s="5"/>
      <c r="DM1210" s="5"/>
      <c r="DN1210" s="5"/>
      <c r="DO1210" s="5"/>
      <c r="DP1210" s="5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  <c r="GV1210" s="1"/>
      <c r="GW1210" s="1"/>
      <c r="GX1210" s="1"/>
      <c r="GY1210" s="1"/>
      <c r="GZ1210" s="1"/>
      <c r="HA1210" s="1"/>
      <c r="HB1210" s="1"/>
      <c r="HC1210" s="1"/>
      <c r="HD1210" s="1"/>
      <c r="HE1210" s="1"/>
      <c r="HF1210" s="1"/>
      <c r="HG1210" s="1"/>
      <c r="HH1210" s="1"/>
      <c r="HI1210" s="1"/>
      <c r="HJ1210" s="1"/>
      <c r="HK1210" s="1"/>
      <c r="HL1210" s="1"/>
      <c r="HM1210" s="1"/>
      <c r="HN1210" s="1"/>
      <c r="HO1210" s="1"/>
      <c r="HP1210" s="1"/>
      <c r="HQ1210" s="1"/>
      <c r="HR1210" s="1"/>
      <c r="HS1210" s="1"/>
      <c r="HT1210" s="1"/>
      <c r="HU1210" s="1"/>
      <c r="HV1210" s="1"/>
      <c r="HW1210" s="1"/>
      <c r="HX1210" s="1"/>
      <c r="HY1210" s="1"/>
      <c r="HZ1210" s="1"/>
      <c r="IA1210" s="1"/>
      <c r="IB1210" s="1"/>
      <c r="IC1210" s="1"/>
      <c r="ID1210" s="1"/>
      <c r="IE1210" s="1"/>
      <c r="IF1210" s="1"/>
      <c r="IG1210" s="1"/>
      <c r="IH1210" s="1"/>
      <c r="II1210" s="1"/>
      <c r="IJ1210" s="1"/>
      <c r="IK1210" s="1"/>
      <c r="IL1210" s="1"/>
      <c r="IM1210" s="1"/>
      <c r="IN1210" s="1"/>
      <c r="IO1210" s="1"/>
      <c r="IP1210" s="1"/>
      <c r="IQ1210" s="1"/>
      <c r="IR1210" s="1"/>
      <c r="IS1210" s="1"/>
      <c r="IT1210" s="1"/>
      <c r="IU1210" s="1"/>
      <c r="IV1210" s="1"/>
      <c r="IW1210" s="1"/>
      <c r="IX1210" s="1"/>
      <c r="IY1210" s="1"/>
      <c r="IZ1210" s="1"/>
      <c r="JA1210" s="1"/>
      <c r="JB1210" s="1"/>
      <c r="JC1210" s="1"/>
      <c r="JD1210" s="1"/>
    </row>
    <row r="1211" s="504" customFormat="true" ht="12.75" hidden="true" customHeight="true" outlineLevel="0" collapsed="false">
      <c r="A1211" s="5"/>
      <c r="B1211" s="813" t="n">
        <f aca="false">B1210+1</f>
        <v>996</v>
      </c>
      <c r="C1211" s="814" t="n">
        <f aca="false">C1210+D1211</f>
        <v>156846.587944989</v>
      </c>
      <c r="D1211" s="815" t="n">
        <f aca="false">E1211*$E$205*M1211</f>
        <v>236.353940910888</v>
      </c>
      <c r="E1211" s="601" t="n">
        <f aca="false">E1210+$C$204</f>
        <v>14.9894686016545</v>
      </c>
      <c r="F1211" s="816" t="n">
        <f aca="false">F1210+1</f>
        <v>996</v>
      </c>
      <c r="G1211" s="775" t="n">
        <f aca="false">C1211</f>
        <v>156846.587944989</v>
      </c>
      <c r="H1211" s="817" t="n">
        <f aca="false">1000*(E1211-E1210)</f>
        <v>9.99999999999979</v>
      </c>
      <c r="I1211" s="5"/>
      <c r="J1211" s="818" t="n">
        <f aca="false">1000*(E1211-$E$215)/(B1211-$B$215)</f>
        <v>11.5801905909354</v>
      </c>
      <c r="K1211" s="732" t="n">
        <f aca="false">AVERAGE($E$216:E1211)</f>
        <v>10.0068380795662</v>
      </c>
      <c r="L1211" s="819" t="n">
        <f aca="false">L1210+1</f>
        <v>996</v>
      </c>
      <c r="M1211" s="820" t="n">
        <f aca="false">IF(B1211&lt;$E$104,$E$105,$E$106)</f>
        <v>3</v>
      </c>
      <c r="N1211" s="821" t="n">
        <f aca="false">IF(B1211&lt;$E$104,$E$105,$E$111)</f>
        <v>2.5</v>
      </c>
      <c r="O1211" s="822" t="n">
        <f aca="false">E1211*$E$205*N1211</f>
        <v>196.96161742574</v>
      </c>
      <c r="P1211" s="823" t="n">
        <f aca="false">P1210+O1211</f>
        <v>130757.170554534</v>
      </c>
      <c r="Q1211" s="606" t="n">
        <f aca="false">Q1210+1</f>
        <v>996</v>
      </c>
      <c r="R1211" s="824" t="n">
        <f aca="false">R1210-1</f>
        <v>-996</v>
      </c>
      <c r="S1211" s="5"/>
      <c r="T1211" s="5"/>
      <c r="U1211" s="5"/>
      <c r="V1211" s="10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02"/>
      <c r="AU1211" s="502"/>
      <c r="AV1211" s="606"/>
      <c r="AW1211" s="502"/>
      <c r="AX1211" s="502"/>
      <c r="AY1211" s="502"/>
      <c r="AZ1211" s="502"/>
      <c r="BA1211" s="502"/>
      <c r="BB1211" s="502"/>
      <c r="BC1211" s="502"/>
      <c r="BD1211" s="502"/>
      <c r="BE1211" s="502"/>
      <c r="BF1211" s="502"/>
      <c r="BG1211" s="502"/>
      <c r="BH1211" s="502"/>
      <c r="BI1211" s="502"/>
      <c r="BJ1211" s="502"/>
      <c r="BK1211" s="502"/>
      <c r="BL1211" s="502"/>
      <c r="BM1211" s="502"/>
      <c r="BN1211" s="502"/>
      <c r="BO1211" s="502"/>
      <c r="BP1211" s="5"/>
      <c r="BQ1211" s="5"/>
      <c r="BR1211" s="5"/>
      <c r="BS1211" s="5"/>
      <c r="BT1211" s="5"/>
      <c r="BU1211" s="5"/>
      <c r="BV1211" s="5"/>
      <c r="BW1211" s="5"/>
      <c r="BX1211" s="5"/>
      <c r="BY1211" s="5"/>
      <c r="BZ1211" s="5"/>
      <c r="CA1211" s="5"/>
      <c r="CB1211" s="5"/>
      <c r="CC1211" s="5"/>
      <c r="CD1211" s="5"/>
      <c r="CE1211" s="5"/>
      <c r="CF1211" s="5"/>
      <c r="CG1211" s="5"/>
      <c r="CH1211" s="5"/>
      <c r="CI1211" s="5"/>
      <c r="CJ1211" s="5"/>
      <c r="CK1211" s="5"/>
      <c r="CL1211" s="5"/>
      <c r="CM1211" s="5"/>
      <c r="CN1211" s="5"/>
      <c r="CO1211" s="5"/>
      <c r="CP1211" s="5"/>
      <c r="CQ1211" s="5"/>
      <c r="CR1211" s="5"/>
      <c r="CS1211" s="5"/>
      <c r="CT1211" s="5"/>
      <c r="CU1211" s="5"/>
      <c r="CV1211" s="5"/>
      <c r="CW1211" s="5"/>
      <c r="CX1211" s="5"/>
      <c r="CY1211" s="5"/>
      <c r="CZ1211" s="5"/>
      <c r="DA1211" s="5"/>
      <c r="DB1211" s="5"/>
      <c r="DC1211" s="5"/>
      <c r="DD1211" s="5"/>
      <c r="DE1211" s="5"/>
      <c r="DF1211" s="5"/>
      <c r="DG1211" s="5"/>
      <c r="DH1211" s="5"/>
      <c r="DI1211" s="5"/>
      <c r="DJ1211" s="5"/>
      <c r="DK1211" s="5"/>
      <c r="DL1211" s="5"/>
      <c r="DM1211" s="5"/>
      <c r="DN1211" s="5"/>
      <c r="DO1211" s="5"/>
      <c r="DP1211" s="5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  <c r="GV1211" s="1"/>
      <c r="GW1211" s="1"/>
      <c r="GX1211" s="1"/>
      <c r="GY1211" s="1"/>
      <c r="GZ1211" s="1"/>
      <c r="HA1211" s="1"/>
      <c r="HB1211" s="1"/>
      <c r="HC1211" s="1"/>
      <c r="HD1211" s="1"/>
      <c r="HE1211" s="1"/>
      <c r="HF1211" s="1"/>
      <c r="HG1211" s="1"/>
      <c r="HH1211" s="1"/>
      <c r="HI1211" s="1"/>
      <c r="HJ1211" s="1"/>
      <c r="HK1211" s="1"/>
      <c r="HL1211" s="1"/>
      <c r="HM1211" s="1"/>
      <c r="HN1211" s="1"/>
      <c r="HO1211" s="1"/>
      <c r="HP1211" s="1"/>
      <c r="HQ1211" s="1"/>
      <c r="HR1211" s="1"/>
      <c r="HS1211" s="1"/>
      <c r="HT1211" s="1"/>
      <c r="HU1211" s="1"/>
      <c r="HV1211" s="1"/>
      <c r="HW1211" s="1"/>
      <c r="HX1211" s="1"/>
      <c r="HY1211" s="1"/>
      <c r="HZ1211" s="1"/>
      <c r="IA1211" s="1"/>
      <c r="IB1211" s="1"/>
      <c r="IC1211" s="1"/>
      <c r="ID1211" s="1"/>
      <c r="IE1211" s="1"/>
      <c r="IF1211" s="1"/>
      <c r="IG1211" s="1"/>
      <c r="IH1211" s="1"/>
      <c r="II1211" s="1"/>
      <c r="IJ1211" s="1"/>
      <c r="IK1211" s="1"/>
      <c r="IL1211" s="1"/>
      <c r="IM1211" s="1"/>
      <c r="IN1211" s="1"/>
      <c r="IO1211" s="1"/>
      <c r="IP1211" s="1"/>
      <c r="IQ1211" s="1"/>
      <c r="IR1211" s="1"/>
      <c r="IS1211" s="1"/>
      <c r="IT1211" s="1"/>
      <c r="IU1211" s="1"/>
      <c r="IV1211" s="1"/>
      <c r="IW1211" s="1"/>
      <c r="IX1211" s="1"/>
      <c r="IY1211" s="1"/>
      <c r="IZ1211" s="1"/>
      <c r="JA1211" s="1"/>
      <c r="JB1211" s="1"/>
      <c r="JC1211" s="1"/>
      <c r="JD1211" s="1"/>
    </row>
    <row r="1212" s="504" customFormat="true" ht="12.75" hidden="true" customHeight="true" outlineLevel="0" collapsed="false">
      <c r="A1212" s="5"/>
      <c r="B1212" s="813" t="n">
        <f aca="false">B1211+1</f>
        <v>997</v>
      </c>
      <c r="C1212" s="814" t="n">
        <f aca="false">C1211+D1212</f>
        <v>157083.0995659</v>
      </c>
      <c r="D1212" s="815" t="n">
        <f aca="false">E1212*$E$205*M1212</f>
        <v>236.511620910888</v>
      </c>
      <c r="E1212" s="601" t="n">
        <f aca="false">E1211+$C$204</f>
        <v>14.9994686016545</v>
      </c>
      <c r="F1212" s="816" t="n">
        <f aca="false">F1211+1</f>
        <v>997</v>
      </c>
      <c r="G1212" s="775" t="n">
        <f aca="false">C1212</f>
        <v>157083.0995659</v>
      </c>
      <c r="H1212" s="817" t="n">
        <f aca="false">1000*(E1212-E1211)</f>
        <v>9.99999999999979</v>
      </c>
      <c r="I1212" s="5"/>
      <c r="J1212" s="818" t="n">
        <f aca="false">1000*(E1212-$E$215)/(B1212-$B$215)</f>
        <v>11.5786056455082</v>
      </c>
      <c r="K1212" s="732" t="n">
        <f aca="false">AVERAGE($E$216:E1212)</f>
        <v>10.0118457330488</v>
      </c>
      <c r="L1212" s="819" t="n">
        <f aca="false">L1211+1</f>
        <v>997</v>
      </c>
      <c r="M1212" s="820" t="n">
        <f aca="false">IF(B1212&lt;$E$104,$E$105,$E$106)</f>
        <v>3</v>
      </c>
      <c r="N1212" s="821" t="n">
        <f aca="false">IF(B1212&lt;$E$104,$E$105,$E$111)</f>
        <v>2.5</v>
      </c>
      <c r="O1212" s="822" t="n">
        <f aca="false">E1212*$E$205*N1212</f>
        <v>197.09301742574</v>
      </c>
      <c r="P1212" s="823" t="n">
        <f aca="false">P1211+O1212</f>
        <v>130954.263571959</v>
      </c>
      <c r="Q1212" s="606" t="n">
        <f aca="false">Q1211+1</f>
        <v>997</v>
      </c>
      <c r="R1212" s="824" t="n">
        <f aca="false">R1211-1</f>
        <v>-997</v>
      </c>
      <c r="S1212" s="5"/>
      <c r="T1212" s="5"/>
      <c r="U1212" s="5"/>
      <c r="V1212" s="10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02"/>
      <c r="AU1212" s="502"/>
      <c r="AV1212" s="606"/>
      <c r="AW1212" s="502"/>
      <c r="AX1212" s="502"/>
      <c r="AY1212" s="502"/>
      <c r="AZ1212" s="502"/>
      <c r="BA1212" s="502"/>
      <c r="BB1212" s="502"/>
      <c r="BC1212" s="502"/>
      <c r="BD1212" s="502"/>
      <c r="BE1212" s="502"/>
      <c r="BF1212" s="502"/>
      <c r="BG1212" s="502"/>
      <c r="BH1212" s="502"/>
      <c r="BI1212" s="502"/>
      <c r="BJ1212" s="502"/>
      <c r="BK1212" s="502"/>
      <c r="BL1212" s="502"/>
      <c r="BM1212" s="502"/>
      <c r="BN1212" s="502"/>
      <c r="BO1212" s="502"/>
      <c r="BP1212" s="5"/>
      <c r="BQ1212" s="5"/>
      <c r="BR1212" s="5"/>
      <c r="BS1212" s="5"/>
      <c r="BT1212" s="5"/>
      <c r="BU1212" s="5"/>
      <c r="BV1212" s="5"/>
      <c r="BW1212" s="5"/>
      <c r="BX1212" s="5"/>
      <c r="BY1212" s="5"/>
      <c r="BZ1212" s="5"/>
      <c r="CA1212" s="5"/>
      <c r="CB1212" s="5"/>
      <c r="CC1212" s="5"/>
      <c r="CD1212" s="5"/>
      <c r="CE1212" s="5"/>
      <c r="CF1212" s="5"/>
      <c r="CG1212" s="5"/>
      <c r="CH1212" s="5"/>
      <c r="CI1212" s="5"/>
      <c r="CJ1212" s="5"/>
      <c r="CK1212" s="5"/>
      <c r="CL1212" s="5"/>
      <c r="CM1212" s="5"/>
      <c r="CN1212" s="5"/>
      <c r="CO1212" s="5"/>
      <c r="CP1212" s="5"/>
      <c r="CQ1212" s="5"/>
      <c r="CR1212" s="5"/>
      <c r="CS1212" s="5"/>
      <c r="CT1212" s="5"/>
      <c r="CU1212" s="5"/>
      <c r="CV1212" s="5"/>
      <c r="CW1212" s="5"/>
      <c r="CX1212" s="5"/>
      <c r="CY1212" s="5"/>
      <c r="CZ1212" s="5"/>
      <c r="DA1212" s="5"/>
      <c r="DB1212" s="5"/>
      <c r="DC1212" s="5"/>
      <c r="DD1212" s="5"/>
      <c r="DE1212" s="5"/>
      <c r="DF1212" s="5"/>
      <c r="DG1212" s="5"/>
      <c r="DH1212" s="5"/>
      <c r="DI1212" s="5"/>
      <c r="DJ1212" s="5"/>
      <c r="DK1212" s="5"/>
      <c r="DL1212" s="5"/>
      <c r="DM1212" s="5"/>
      <c r="DN1212" s="5"/>
      <c r="DO1212" s="5"/>
      <c r="DP1212" s="5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  <c r="GV1212" s="1"/>
      <c r="GW1212" s="1"/>
      <c r="GX1212" s="1"/>
      <c r="GY1212" s="1"/>
      <c r="GZ1212" s="1"/>
      <c r="HA1212" s="1"/>
      <c r="HB1212" s="1"/>
      <c r="HC1212" s="1"/>
      <c r="HD1212" s="1"/>
      <c r="HE1212" s="1"/>
      <c r="HF1212" s="1"/>
      <c r="HG1212" s="1"/>
      <c r="HH1212" s="1"/>
      <c r="HI1212" s="1"/>
      <c r="HJ1212" s="1"/>
      <c r="HK1212" s="1"/>
      <c r="HL1212" s="1"/>
      <c r="HM1212" s="1"/>
      <c r="HN1212" s="1"/>
      <c r="HO1212" s="1"/>
      <c r="HP1212" s="1"/>
      <c r="HQ1212" s="1"/>
      <c r="HR1212" s="1"/>
      <c r="HS1212" s="1"/>
      <c r="HT1212" s="1"/>
      <c r="HU1212" s="1"/>
      <c r="HV1212" s="1"/>
      <c r="HW1212" s="1"/>
      <c r="HX1212" s="1"/>
      <c r="HY1212" s="1"/>
      <c r="HZ1212" s="1"/>
      <c r="IA1212" s="1"/>
      <c r="IB1212" s="1"/>
      <c r="IC1212" s="1"/>
      <c r="ID1212" s="1"/>
      <c r="IE1212" s="1"/>
      <c r="IF1212" s="1"/>
      <c r="IG1212" s="1"/>
      <c r="IH1212" s="1"/>
      <c r="II1212" s="1"/>
      <c r="IJ1212" s="1"/>
      <c r="IK1212" s="1"/>
      <c r="IL1212" s="1"/>
      <c r="IM1212" s="1"/>
      <c r="IN1212" s="1"/>
      <c r="IO1212" s="1"/>
      <c r="IP1212" s="1"/>
      <c r="IQ1212" s="1"/>
      <c r="IR1212" s="1"/>
      <c r="IS1212" s="1"/>
      <c r="IT1212" s="1"/>
      <c r="IU1212" s="1"/>
      <c r="IV1212" s="1"/>
      <c r="IW1212" s="1"/>
      <c r="IX1212" s="1"/>
      <c r="IY1212" s="1"/>
      <c r="IZ1212" s="1"/>
      <c r="JA1212" s="1"/>
      <c r="JB1212" s="1"/>
      <c r="JC1212" s="1"/>
      <c r="JD1212" s="1"/>
    </row>
    <row r="1213" s="504" customFormat="true" ht="12.75" hidden="true" customHeight="true" outlineLevel="0" collapsed="false">
      <c r="A1213" s="5"/>
      <c r="B1213" s="813" t="n">
        <f aca="false">B1212+1</f>
        <v>998</v>
      </c>
      <c r="C1213" s="814" t="n">
        <f aca="false">C1212+D1213</f>
        <v>157319.768866811</v>
      </c>
      <c r="D1213" s="815" t="n">
        <f aca="false">E1213*$E$205*M1213</f>
        <v>236.669300910888</v>
      </c>
      <c r="E1213" s="601" t="n">
        <f aca="false">E1212+$C$204</f>
        <v>15.0094686016545</v>
      </c>
      <c r="F1213" s="816" t="n">
        <f aca="false">F1212+1</f>
        <v>998</v>
      </c>
      <c r="G1213" s="775" t="n">
        <f aca="false">C1213</f>
        <v>157319.768866811</v>
      </c>
      <c r="H1213" s="817" t="n">
        <f aca="false">1000*(E1213-E1212)</f>
        <v>9.99999999999979</v>
      </c>
      <c r="I1213" s="5"/>
      <c r="J1213" s="818" t="n">
        <f aca="false">1000*(E1213-$E$215)/(B1213-$B$215)</f>
        <v>11.5770238763243</v>
      </c>
      <c r="K1213" s="732" t="n">
        <f aca="false">AVERAGE($E$216:E1213)</f>
        <v>10.0168533711937</v>
      </c>
      <c r="L1213" s="819" t="n">
        <f aca="false">L1212+1</f>
        <v>998</v>
      </c>
      <c r="M1213" s="820" t="n">
        <f aca="false">IF(B1213&lt;$E$104,$E$105,$E$106)</f>
        <v>3</v>
      </c>
      <c r="N1213" s="821" t="n">
        <f aca="false">IF(B1213&lt;$E$104,$E$105,$E$111)</f>
        <v>2.5</v>
      </c>
      <c r="O1213" s="822" t="n">
        <f aca="false">E1213*$E$205*N1213</f>
        <v>197.22441742574</v>
      </c>
      <c r="P1213" s="823" t="n">
        <f aca="false">P1212+O1213</f>
        <v>131151.487989385</v>
      </c>
      <c r="Q1213" s="606" t="n">
        <f aca="false">Q1212+1</f>
        <v>998</v>
      </c>
      <c r="R1213" s="824" t="n">
        <f aca="false">R1212-1</f>
        <v>-998</v>
      </c>
      <c r="S1213" s="5"/>
      <c r="T1213" s="5"/>
      <c r="U1213" s="5"/>
      <c r="V1213" s="10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02"/>
      <c r="AU1213" s="502"/>
      <c r="AV1213" s="606"/>
      <c r="AW1213" s="502"/>
      <c r="AX1213" s="502"/>
      <c r="AY1213" s="502"/>
      <c r="AZ1213" s="502"/>
      <c r="BA1213" s="502"/>
      <c r="BB1213" s="502"/>
      <c r="BC1213" s="502"/>
      <c r="BD1213" s="502"/>
      <c r="BE1213" s="502"/>
      <c r="BF1213" s="502"/>
      <c r="BG1213" s="502"/>
      <c r="BH1213" s="502"/>
      <c r="BI1213" s="502"/>
      <c r="BJ1213" s="502"/>
      <c r="BK1213" s="502"/>
      <c r="BL1213" s="502"/>
      <c r="BM1213" s="502"/>
      <c r="BN1213" s="502"/>
      <c r="BO1213" s="502"/>
      <c r="BP1213" s="5"/>
      <c r="BQ1213" s="5"/>
      <c r="BR1213" s="5"/>
      <c r="BS1213" s="5"/>
      <c r="BT1213" s="5"/>
      <c r="BU1213" s="5"/>
      <c r="BV1213" s="5"/>
      <c r="BW1213" s="5"/>
      <c r="BX1213" s="5"/>
      <c r="BY1213" s="5"/>
      <c r="BZ1213" s="5"/>
      <c r="CA1213" s="5"/>
      <c r="CB1213" s="5"/>
      <c r="CC1213" s="5"/>
      <c r="CD1213" s="5"/>
      <c r="CE1213" s="5"/>
      <c r="CF1213" s="5"/>
      <c r="CG1213" s="5"/>
      <c r="CH1213" s="5"/>
      <c r="CI1213" s="5"/>
      <c r="CJ1213" s="5"/>
      <c r="CK1213" s="5"/>
      <c r="CL1213" s="5"/>
      <c r="CM1213" s="5"/>
      <c r="CN1213" s="5"/>
      <c r="CO1213" s="5"/>
      <c r="CP1213" s="5"/>
      <c r="CQ1213" s="5"/>
      <c r="CR1213" s="5"/>
      <c r="CS1213" s="5"/>
      <c r="CT1213" s="5"/>
      <c r="CU1213" s="5"/>
      <c r="CV1213" s="5"/>
      <c r="CW1213" s="5"/>
      <c r="CX1213" s="5"/>
      <c r="CY1213" s="5"/>
      <c r="CZ1213" s="5"/>
      <c r="DA1213" s="5"/>
      <c r="DB1213" s="5"/>
      <c r="DC1213" s="5"/>
      <c r="DD1213" s="5"/>
      <c r="DE1213" s="5"/>
      <c r="DF1213" s="5"/>
      <c r="DG1213" s="5"/>
      <c r="DH1213" s="5"/>
      <c r="DI1213" s="5"/>
      <c r="DJ1213" s="5"/>
      <c r="DK1213" s="5"/>
      <c r="DL1213" s="5"/>
      <c r="DM1213" s="5"/>
      <c r="DN1213" s="5"/>
      <c r="DO1213" s="5"/>
      <c r="DP1213" s="5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  <c r="GV1213" s="1"/>
      <c r="GW1213" s="1"/>
      <c r="GX1213" s="1"/>
      <c r="GY1213" s="1"/>
      <c r="GZ1213" s="1"/>
      <c r="HA1213" s="1"/>
      <c r="HB1213" s="1"/>
      <c r="HC1213" s="1"/>
      <c r="HD1213" s="1"/>
      <c r="HE1213" s="1"/>
      <c r="HF1213" s="1"/>
      <c r="HG1213" s="1"/>
      <c r="HH1213" s="1"/>
      <c r="HI1213" s="1"/>
      <c r="HJ1213" s="1"/>
      <c r="HK1213" s="1"/>
      <c r="HL1213" s="1"/>
      <c r="HM1213" s="1"/>
      <c r="HN1213" s="1"/>
      <c r="HO1213" s="1"/>
      <c r="HP1213" s="1"/>
      <c r="HQ1213" s="1"/>
      <c r="HR1213" s="1"/>
      <c r="HS1213" s="1"/>
      <c r="HT1213" s="1"/>
      <c r="HU1213" s="1"/>
      <c r="HV1213" s="1"/>
      <c r="HW1213" s="1"/>
      <c r="HX1213" s="1"/>
      <c r="HY1213" s="1"/>
      <c r="HZ1213" s="1"/>
      <c r="IA1213" s="1"/>
      <c r="IB1213" s="1"/>
      <c r="IC1213" s="1"/>
      <c r="ID1213" s="1"/>
      <c r="IE1213" s="1"/>
      <c r="IF1213" s="1"/>
      <c r="IG1213" s="1"/>
      <c r="IH1213" s="1"/>
      <c r="II1213" s="1"/>
      <c r="IJ1213" s="1"/>
      <c r="IK1213" s="1"/>
      <c r="IL1213" s="1"/>
      <c r="IM1213" s="1"/>
      <c r="IN1213" s="1"/>
      <c r="IO1213" s="1"/>
      <c r="IP1213" s="1"/>
      <c r="IQ1213" s="1"/>
      <c r="IR1213" s="1"/>
      <c r="IS1213" s="1"/>
      <c r="IT1213" s="1"/>
      <c r="IU1213" s="1"/>
      <c r="IV1213" s="1"/>
      <c r="IW1213" s="1"/>
      <c r="IX1213" s="1"/>
      <c r="IY1213" s="1"/>
      <c r="IZ1213" s="1"/>
      <c r="JA1213" s="1"/>
      <c r="JB1213" s="1"/>
      <c r="JC1213" s="1"/>
      <c r="JD1213" s="1"/>
    </row>
    <row r="1214" s="504" customFormat="true" ht="12.75" hidden="true" customHeight="true" outlineLevel="0" collapsed="false">
      <c r="A1214" s="5"/>
      <c r="B1214" s="813" t="n">
        <f aca="false">B1213+1</f>
        <v>999</v>
      </c>
      <c r="C1214" s="814" t="n">
        <f aca="false">C1213+D1214</f>
        <v>157556.595847721</v>
      </c>
      <c r="D1214" s="815" t="n">
        <f aca="false">E1214*$E$205*M1214</f>
        <v>236.826980910888</v>
      </c>
      <c r="E1214" s="601" t="n">
        <f aca="false">E1213+$C$204</f>
        <v>15.0194686016545</v>
      </c>
      <c r="F1214" s="816" t="n">
        <f aca="false">F1213+1</f>
        <v>999</v>
      </c>
      <c r="G1214" s="775" t="n">
        <f aca="false">C1214</f>
        <v>157556.595847721</v>
      </c>
      <c r="H1214" s="817" t="n">
        <f aca="false">1000*(E1214-E1213)</f>
        <v>9.99999999999979</v>
      </c>
      <c r="I1214" s="5"/>
      <c r="J1214" s="818" t="n">
        <f aca="false">1000*(E1214-$E$215)/(B1214-$B$215)</f>
        <v>11.5754452738455</v>
      </c>
      <c r="K1214" s="732" t="n">
        <f aca="false">AVERAGE($E$216:E1214)</f>
        <v>10.021860994047</v>
      </c>
      <c r="L1214" s="819" t="n">
        <f aca="false">L1213+1</f>
        <v>999</v>
      </c>
      <c r="M1214" s="820" t="n">
        <f aca="false">IF(B1214&lt;$E$104,$E$105,$E$106)</f>
        <v>3</v>
      </c>
      <c r="N1214" s="821" t="n">
        <f aca="false">IF(B1214&lt;$E$104,$E$105,$E$111)</f>
        <v>2.5</v>
      </c>
      <c r="O1214" s="822" t="n">
        <f aca="false">E1214*$E$205*N1214</f>
        <v>197.35581742574</v>
      </c>
      <c r="P1214" s="823" t="n">
        <f aca="false">P1213+O1214</f>
        <v>131348.843806811</v>
      </c>
      <c r="Q1214" s="606" t="n">
        <f aca="false">Q1213+1</f>
        <v>999</v>
      </c>
      <c r="R1214" s="824" t="n">
        <f aca="false">R1213-1</f>
        <v>-999</v>
      </c>
      <c r="S1214" s="5"/>
      <c r="T1214" s="5"/>
      <c r="U1214" s="5"/>
      <c r="V1214" s="10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02"/>
      <c r="AU1214" s="502"/>
      <c r="AV1214" s="606"/>
      <c r="AW1214" s="502"/>
      <c r="AX1214" s="502"/>
      <c r="AY1214" s="502"/>
      <c r="AZ1214" s="502"/>
      <c r="BA1214" s="502"/>
      <c r="BB1214" s="502"/>
      <c r="BC1214" s="502"/>
      <c r="BD1214" s="502"/>
      <c r="BE1214" s="502"/>
      <c r="BF1214" s="502"/>
      <c r="BG1214" s="502"/>
      <c r="BH1214" s="502"/>
      <c r="BI1214" s="502"/>
      <c r="BJ1214" s="502"/>
      <c r="BK1214" s="502"/>
      <c r="BL1214" s="502"/>
      <c r="BM1214" s="502"/>
      <c r="BN1214" s="502"/>
      <c r="BO1214" s="502"/>
      <c r="BP1214" s="5"/>
      <c r="BQ1214" s="5"/>
      <c r="BR1214" s="5"/>
      <c r="BS1214" s="5"/>
      <c r="BT1214" s="5"/>
      <c r="BU1214" s="5"/>
      <c r="BV1214" s="5"/>
      <c r="BW1214" s="5"/>
      <c r="BX1214" s="5"/>
      <c r="BY1214" s="5"/>
      <c r="BZ1214" s="5"/>
      <c r="CA1214" s="5"/>
      <c r="CB1214" s="5"/>
      <c r="CC1214" s="5"/>
      <c r="CD1214" s="5"/>
      <c r="CE1214" s="5"/>
      <c r="CF1214" s="5"/>
      <c r="CG1214" s="5"/>
      <c r="CH1214" s="5"/>
      <c r="CI1214" s="5"/>
      <c r="CJ1214" s="5"/>
      <c r="CK1214" s="5"/>
      <c r="CL1214" s="5"/>
      <c r="CM1214" s="5"/>
      <c r="CN1214" s="5"/>
      <c r="CO1214" s="5"/>
      <c r="CP1214" s="5"/>
      <c r="CQ1214" s="5"/>
      <c r="CR1214" s="5"/>
      <c r="CS1214" s="5"/>
      <c r="CT1214" s="5"/>
      <c r="CU1214" s="5"/>
      <c r="CV1214" s="5"/>
      <c r="CW1214" s="5"/>
      <c r="CX1214" s="5"/>
      <c r="CY1214" s="5"/>
      <c r="CZ1214" s="5"/>
      <c r="DA1214" s="5"/>
      <c r="DB1214" s="5"/>
      <c r="DC1214" s="5"/>
      <c r="DD1214" s="5"/>
      <c r="DE1214" s="5"/>
      <c r="DF1214" s="5"/>
      <c r="DG1214" s="5"/>
      <c r="DH1214" s="5"/>
      <c r="DI1214" s="5"/>
      <c r="DJ1214" s="5"/>
      <c r="DK1214" s="5"/>
      <c r="DL1214" s="5"/>
      <c r="DM1214" s="5"/>
      <c r="DN1214" s="5"/>
      <c r="DO1214" s="5"/>
      <c r="DP1214" s="5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  <c r="GV1214" s="1"/>
      <c r="GW1214" s="1"/>
      <c r="GX1214" s="1"/>
      <c r="GY1214" s="1"/>
      <c r="GZ1214" s="1"/>
      <c r="HA1214" s="1"/>
      <c r="HB1214" s="1"/>
      <c r="HC1214" s="1"/>
      <c r="HD1214" s="1"/>
      <c r="HE1214" s="1"/>
      <c r="HF1214" s="1"/>
      <c r="HG1214" s="1"/>
      <c r="HH1214" s="1"/>
      <c r="HI1214" s="1"/>
      <c r="HJ1214" s="1"/>
      <c r="HK1214" s="1"/>
      <c r="HL1214" s="1"/>
      <c r="HM1214" s="1"/>
      <c r="HN1214" s="1"/>
      <c r="HO1214" s="1"/>
      <c r="HP1214" s="1"/>
      <c r="HQ1214" s="1"/>
      <c r="HR1214" s="1"/>
      <c r="HS1214" s="1"/>
      <c r="HT1214" s="1"/>
      <c r="HU1214" s="1"/>
      <c r="HV1214" s="1"/>
      <c r="HW1214" s="1"/>
      <c r="HX1214" s="1"/>
      <c r="HY1214" s="1"/>
      <c r="HZ1214" s="1"/>
      <c r="IA1214" s="1"/>
      <c r="IB1214" s="1"/>
      <c r="IC1214" s="1"/>
      <c r="ID1214" s="1"/>
      <c r="IE1214" s="1"/>
      <c r="IF1214" s="1"/>
      <c r="IG1214" s="1"/>
      <c r="IH1214" s="1"/>
      <c r="II1214" s="1"/>
      <c r="IJ1214" s="1"/>
      <c r="IK1214" s="1"/>
      <c r="IL1214" s="1"/>
      <c r="IM1214" s="1"/>
      <c r="IN1214" s="1"/>
      <c r="IO1214" s="1"/>
      <c r="IP1214" s="1"/>
      <c r="IQ1214" s="1"/>
      <c r="IR1214" s="1"/>
      <c r="IS1214" s="1"/>
      <c r="IT1214" s="1"/>
      <c r="IU1214" s="1"/>
      <c r="IV1214" s="1"/>
      <c r="IW1214" s="1"/>
      <c r="IX1214" s="1"/>
      <c r="IY1214" s="1"/>
      <c r="IZ1214" s="1"/>
      <c r="JA1214" s="1"/>
      <c r="JB1214" s="1"/>
      <c r="JC1214" s="1"/>
      <c r="JD1214" s="1"/>
    </row>
    <row r="1215" s="504" customFormat="true" ht="12.75" hidden="true" customHeight="true" outlineLevel="0" collapsed="false">
      <c r="A1215" s="5"/>
      <c r="B1215" s="827" t="n">
        <f aca="false">B1214+1</f>
        <v>1000</v>
      </c>
      <c r="C1215" s="768" t="n">
        <f aca="false">C1214+D1215</f>
        <v>157793.580508632</v>
      </c>
      <c r="D1215" s="828" t="n">
        <f aca="false">E1215*$E$205*M1215</f>
        <v>236.984660910888</v>
      </c>
      <c r="E1215" s="787" t="n">
        <f aca="false">E1214+$C$204</f>
        <v>15.0294686016545</v>
      </c>
      <c r="F1215" s="829" t="n">
        <f aca="false">F1214+1</f>
        <v>1000</v>
      </c>
      <c r="G1215" s="830" t="n">
        <f aca="false">C1215</f>
        <v>157793.580508632</v>
      </c>
      <c r="H1215" s="831" t="n">
        <f aca="false">1000*(E1215-E1214)</f>
        <v>9.99999999999979</v>
      </c>
      <c r="I1215" s="785"/>
      <c r="J1215" s="832" t="n">
        <f aca="false">1000*(E1215-$E$215)/(B1215-$B$215)</f>
        <v>11.5738698285716</v>
      </c>
      <c r="K1215" s="787" t="n">
        <f aca="false">AVERAGE($E$216:E1215)</f>
        <v>10.0268686016546</v>
      </c>
      <c r="L1215" s="833" t="n">
        <f aca="false">L1214+1</f>
        <v>1000</v>
      </c>
      <c r="M1215" s="834" t="n">
        <f aca="false">IF(B1215&lt;$E$104,$E$105,$E$106)</f>
        <v>3</v>
      </c>
      <c r="N1215" s="835" t="n">
        <f aca="false">IF(B1215&lt;$E$104,$E$105,$E$111)</f>
        <v>2.5</v>
      </c>
      <c r="O1215" s="836" t="n">
        <f aca="false">E1215*$E$205*N1215</f>
        <v>197.48721742574</v>
      </c>
      <c r="P1215" s="837" t="n">
        <f aca="false">P1214+O1215</f>
        <v>131546.331024236</v>
      </c>
      <c r="Q1215" s="742" t="n">
        <f aca="false">Q1214+1</f>
        <v>1000</v>
      </c>
      <c r="R1215" s="838" t="n">
        <f aca="false">R1214-1</f>
        <v>-1000</v>
      </c>
      <c r="S1215" s="5"/>
      <c r="T1215" s="5"/>
      <c r="U1215" s="5"/>
      <c r="V1215" s="10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02"/>
      <c r="AU1215" s="502"/>
      <c r="AV1215" s="606"/>
      <c r="AW1215" s="502"/>
      <c r="AX1215" s="502"/>
      <c r="AY1215" s="502"/>
      <c r="AZ1215" s="502"/>
      <c r="BA1215" s="502"/>
      <c r="BB1215" s="502"/>
      <c r="BC1215" s="502"/>
      <c r="BD1215" s="502"/>
      <c r="BE1215" s="502"/>
      <c r="BF1215" s="502"/>
      <c r="BG1215" s="502"/>
      <c r="BH1215" s="502"/>
      <c r="BI1215" s="502"/>
      <c r="BJ1215" s="502"/>
      <c r="BK1215" s="502"/>
      <c r="BL1215" s="502"/>
      <c r="BM1215" s="502"/>
      <c r="BN1215" s="502"/>
      <c r="BO1215" s="502"/>
      <c r="BP1215" s="5"/>
      <c r="BQ1215" s="5"/>
      <c r="BR1215" s="5"/>
      <c r="BS1215" s="5"/>
      <c r="BT1215" s="5"/>
      <c r="BU1215" s="5"/>
      <c r="BV1215" s="5"/>
      <c r="BW1215" s="5"/>
      <c r="BX1215" s="5"/>
      <c r="BY1215" s="5"/>
      <c r="BZ1215" s="5"/>
      <c r="CA1215" s="5"/>
      <c r="CB1215" s="5"/>
      <c r="CC1215" s="5"/>
      <c r="CD1215" s="5"/>
      <c r="CE1215" s="5"/>
      <c r="CF1215" s="5"/>
      <c r="CG1215" s="5"/>
      <c r="CH1215" s="5"/>
      <c r="CI1215" s="5"/>
      <c r="CJ1215" s="5"/>
      <c r="CK1215" s="5"/>
      <c r="CL1215" s="5"/>
      <c r="CM1215" s="5"/>
      <c r="CN1215" s="5"/>
      <c r="CO1215" s="5"/>
      <c r="CP1215" s="5"/>
      <c r="CQ1215" s="5"/>
      <c r="CR1215" s="5"/>
      <c r="CS1215" s="5"/>
      <c r="CT1215" s="5"/>
      <c r="CU1215" s="5"/>
      <c r="CV1215" s="5"/>
      <c r="CW1215" s="5"/>
      <c r="CX1215" s="5"/>
      <c r="CY1215" s="5"/>
      <c r="CZ1215" s="5"/>
      <c r="DA1215" s="5"/>
      <c r="DB1215" s="5"/>
      <c r="DC1215" s="5"/>
      <c r="DD1215" s="5"/>
      <c r="DE1215" s="5"/>
      <c r="DF1215" s="5"/>
      <c r="DG1215" s="5"/>
      <c r="DH1215" s="5"/>
      <c r="DI1215" s="5"/>
      <c r="DJ1215" s="5"/>
      <c r="DK1215" s="5"/>
      <c r="DL1215" s="5"/>
      <c r="DM1215" s="5"/>
      <c r="DN1215" s="5"/>
      <c r="DO1215" s="5"/>
      <c r="DP1215" s="5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  <c r="GV1215" s="1"/>
      <c r="GW1215" s="1"/>
      <c r="GX1215" s="1"/>
      <c r="GY1215" s="1"/>
      <c r="GZ1215" s="1"/>
      <c r="HA1215" s="1"/>
      <c r="HB1215" s="1"/>
      <c r="HC1215" s="1"/>
      <c r="HD1215" s="1"/>
      <c r="HE1215" s="1"/>
      <c r="HF1215" s="1"/>
      <c r="HG1215" s="1"/>
      <c r="HH1215" s="1"/>
      <c r="HI1215" s="1"/>
      <c r="HJ1215" s="1"/>
      <c r="HK1215" s="1"/>
      <c r="HL1215" s="1"/>
      <c r="HM1215" s="1"/>
      <c r="HN1215" s="1"/>
      <c r="HO1215" s="1"/>
      <c r="HP1215" s="1"/>
      <c r="HQ1215" s="1"/>
      <c r="HR1215" s="1"/>
      <c r="HS1215" s="1"/>
      <c r="HT1215" s="1"/>
      <c r="HU1215" s="1"/>
      <c r="HV1215" s="1"/>
      <c r="HW1215" s="1"/>
      <c r="HX1215" s="1"/>
      <c r="HY1215" s="1"/>
      <c r="HZ1215" s="1"/>
      <c r="IA1215" s="1"/>
      <c r="IB1215" s="1"/>
      <c r="IC1215" s="1"/>
      <c r="ID1215" s="1"/>
      <c r="IE1215" s="1"/>
      <c r="IF1215" s="1"/>
      <c r="IG1215" s="1"/>
      <c r="IH1215" s="1"/>
      <c r="II1215" s="1"/>
      <c r="IJ1215" s="1"/>
      <c r="IK1215" s="1"/>
      <c r="IL1215" s="1"/>
      <c r="IM1215" s="1"/>
      <c r="IN1215" s="1"/>
      <c r="IO1215" s="1"/>
      <c r="IP1215" s="1"/>
      <c r="IQ1215" s="1"/>
      <c r="IR1215" s="1"/>
      <c r="IS1215" s="1"/>
      <c r="IT1215" s="1"/>
      <c r="IU1215" s="1"/>
      <c r="IV1215" s="1"/>
      <c r="IW1215" s="1"/>
      <c r="IX1215" s="1"/>
      <c r="IY1215" s="1"/>
      <c r="IZ1215" s="1"/>
      <c r="JA1215" s="1"/>
      <c r="JB1215" s="1"/>
      <c r="JC1215" s="1"/>
      <c r="JD1215" s="1"/>
    </row>
    <row r="1216" s="504" customFormat="true" ht="12.75" hidden="true" customHeight="true" outlineLevel="0" collapsed="false">
      <c r="A1216" s="5"/>
      <c r="B1216" s="813" t="n">
        <f aca="false">B1215+1</f>
        <v>1001</v>
      </c>
      <c r="C1216" s="814" t="n">
        <f aca="false">C1215+D1216</f>
        <v>158030.722849543</v>
      </c>
      <c r="D1216" s="815" t="n">
        <f aca="false">E1216*$E$205*M1216</f>
        <v>237.142340910888</v>
      </c>
      <c r="E1216" s="601" t="n">
        <f aca="false">E1215+$C$204</f>
        <v>15.0394686016545</v>
      </c>
      <c r="F1216" s="816" t="n">
        <f aca="false">F1215+1</f>
        <v>1001</v>
      </c>
      <c r="G1216" s="775" t="n">
        <f aca="false">C1216</f>
        <v>158030.722849543</v>
      </c>
      <c r="H1216" s="817" t="n">
        <f aca="false">1000*(E1216-E1215)</f>
        <v>9.99999999999979</v>
      </c>
      <c r="I1216" s="5"/>
      <c r="J1216" s="818" t="n">
        <f aca="false">1000*(E1216-$E$215)/(B1216-$B$215)</f>
        <v>11.5722975310406</v>
      </c>
      <c r="K1216" s="732" t="n">
        <f aca="false">AVERAGE($E$216:E1216)</f>
        <v>10.0318761940622</v>
      </c>
      <c r="L1216" s="819" t="n">
        <f aca="false">L1215+1</f>
        <v>1001</v>
      </c>
      <c r="M1216" s="820" t="n">
        <f aca="false">IF(B1216&lt;$E$104,$E$105,$E$106)</f>
        <v>3</v>
      </c>
      <c r="N1216" s="821" t="n">
        <f aca="false">IF(B1216&lt;$E$104,$E$105,$E$111)</f>
        <v>2.5</v>
      </c>
      <c r="O1216" s="822" t="n">
        <f aca="false">E1216*$E$205*N1216</f>
        <v>197.61861742574</v>
      </c>
      <c r="P1216" s="823" t="n">
        <f aca="false">P1215+O1216</f>
        <v>131743.949641662</v>
      </c>
      <c r="Q1216" s="606" t="n">
        <f aca="false">Q1215+1</f>
        <v>1001</v>
      </c>
      <c r="R1216" s="824" t="n">
        <f aca="false">R1215-1</f>
        <v>-1001</v>
      </c>
      <c r="S1216" s="5"/>
      <c r="T1216" s="5"/>
      <c r="U1216" s="5"/>
      <c r="V1216" s="10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02"/>
      <c r="AU1216" s="502"/>
      <c r="AV1216" s="606"/>
      <c r="AW1216" s="502"/>
      <c r="AX1216" s="502"/>
      <c r="AY1216" s="502"/>
      <c r="AZ1216" s="502"/>
      <c r="BA1216" s="502"/>
      <c r="BB1216" s="502"/>
      <c r="BC1216" s="502"/>
      <c r="BD1216" s="502"/>
      <c r="BE1216" s="502"/>
      <c r="BF1216" s="502"/>
      <c r="BG1216" s="502"/>
      <c r="BH1216" s="502"/>
      <c r="BI1216" s="502"/>
      <c r="BJ1216" s="502"/>
      <c r="BK1216" s="502"/>
      <c r="BL1216" s="502"/>
      <c r="BM1216" s="502"/>
      <c r="BN1216" s="502"/>
      <c r="BO1216" s="502"/>
      <c r="BP1216" s="5"/>
      <c r="BQ1216" s="5"/>
      <c r="BR1216" s="5"/>
      <c r="BS1216" s="5"/>
      <c r="BT1216" s="5"/>
      <c r="BU1216" s="5"/>
      <c r="BV1216" s="5"/>
      <c r="BW1216" s="5"/>
      <c r="BX1216" s="5"/>
      <c r="BY1216" s="5"/>
      <c r="BZ1216" s="5"/>
      <c r="CA1216" s="5"/>
      <c r="CB1216" s="5"/>
      <c r="CC1216" s="5"/>
      <c r="CD1216" s="5"/>
      <c r="CE1216" s="5"/>
      <c r="CF1216" s="5"/>
      <c r="CG1216" s="5"/>
      <c r="CH1216" s="5"/>
      <c r="CI1216" s="5"/>
      <c r="CJ1216" s="5"/>
      <c r="CK1216" s="5"/>
      <c r="CL1216" s="5"/>
      <c r="CM1216" s="5"/>
      <c r="CN1216" s="5"/>
      <c r="CO1216" s="5"/>
      <c r="CP1216" s="5"/>
      <c r="CQ1216" s="5"/>
      <c r="CR1216" s="5"/>
      <c r="CS1216" s="5"/>
      <c r="CT1216" s="5"/>
      <c r="CU1216" s="5"/>
      <c r="CV1216" s="5"/>
      <c r="CW1216" s="5"/>
      <c r="CX1216" s="5"/>
      <c r="CY1216" s="5"/>
      <c r="CZ1216" s="5"/>
      <c r="DA1216" s="5"/>
      <c r="DB1216" s="5"/>
      <c r="DC1216" s="5"/>
      <c r="DD1216" s="5"/>
      <c r="DE1216" s="5"/>
      <c r="DF1216" s="5"/>
      <c r="DG1216" s="5"/>
      <c r="DH1216" s="5"/>
      <c r="DI1216" s="5"/>
      <c r="DJ1216" s="5"/>
      <c r="DK1216" s="5"/>
      <c r="DL1216" s="5"/>
      <c r="DM1216" s="5"/>
      <c r="DN1216" s="5"/>
      <c r="DO1216" s="5"/>
      <c r="DP1216" s="5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  <c r="GV1216" s="1"/>
      <c r="GW1216" s="1"/>
      <c r="GX1216" s="1"/>
      <c r="GY1216" s="1"/>
      <c r="GZ1216" s="1"/>
      <c r="HA1216" s="1"/>
      <c r="HB1216" s="1"/>
      <c r="HC1216" s="1"/>
      <c r="HD1216" s="1"/>
      <c r="HE1216" s="1"/>
      <c r="HF1216" s="1"/>
      <c r="HG1216" s="1"/>
      <c r="HH1216" s="1"/>
      <c r="HI1216" s="1"/>
      <c r="HJ1216" s="1"/>
      <c r="HK1216" s="1"/>
      <c r="HL1216" s="1"/>
      <c r="HM1216" s="1"/>
      <c r="HN1216" s="1"/>
      <c r="HO1216" s="1"/>
      <c r="HP1216" s="1"/>
      <c r="HQ1216" s="1"/>
      <c r="HR1216" s="1"/>
      <c r="HS1216" s="1"/>
      <c r="HT1216" s="1"/>
      <c r="HU1216" s="1"/>
      <c r="HV1216" s="1"/>
      <c r="HW1216" s="1"/>
      <c r="HX1216" s="1"/>
      <c r="HY1216" s="1"/>
      <c r="HZ1216" s="1"/>
      <c r="IA1216" s="1"/>
      <c r="IB1216" s="1"/>
      <c r="IC1216" s="1"/>
      <c r="ID1216" s="1"/>
      <c r="IE1216" s="1"/>
      <c r="IF1216" s="1"/>
      <c r="IG1216" s="1"/>
      <c r="IH1216" s="1"/>
      <c r="II1216" s="1"/>
      <c r="IJ1216" s="1"/>
      <c r="IK1216" s="1"/>
      <c r="IL1216" s="1"/>
      <c r="IM1216" s="1"/>
      <c r="IN1216" s="1"/>
      <c r="IO1216" s="1"/>
      <c r="IP1216" s="1"/>
      <c r="IQ1216" s="1"/>
      <c r="IR1216" s="1"/>
      <c r="IS1216" s="1"/>
      <c r="IT1216" s="1"/>
      <c r="IU1216" s="1"/>
      <c r="IV1216" s="1"/>
      <c r="IW1216" s="1"/>
      <c r="IX1216" s="1"/>
      <c r="IY1216" s="1"/>
      <c r="IZ1216" s="1"/>
      <c r="JA1216" s="1"/>
      <c r="JB1216" s="1"/>
      <c r="JC1216" s="1"/>
      <c r="JD1216" s="1"/>
    </row>
    <row r="1217" s="504" customFormat="true" ht="12.75" hidden="true" customHeight="true" outlineLevel="0" collapsed="false">
      <c r="A1217" s="5"/>
      <c r="B1217" s="813" t="n">
        <f aca="false">B1216+1</f>
        <v>1002</v>
      </c>
      <c r="C1217" s="814" t="n">
        <f aca="false">C1216+D1217</f>
        <v>158268.022870454</v>
      </c>
      <c r="D1217" s="815" t="n">
        <f aca="false">E1217*$E$205*M1217</f>
        <v>237.300020910888</v>
      </c>
      <c r="E1217" s="601" t="n">
        <f aca="false">E1216+$C$204</f>
        <v>15.0494686016545</v>
      </c>
      <c r="F1217" s="816" t="n">
        <f aca="false">F1216+1</f>
        <v>1002</v>
      </c>
      <c r="G1217" s="775" t="n">
        <f aca="false">C1217</f>
        <v>158268.022870454</v>
      </c>
      <c r="H1217" s="817" t="n">
        <f aca="false">1000*(E1217-E1216)</f>
        <v>9.99999999999979</v>
      </c>
      <c r="I1217" s="5"/>
      <c r="J1217" s="818" t="n">
        <f aca="false">1000*(E1217-$E$215)/(B1217-$B$215)</f>
        <v>11.570728371828</v>
      </c>
      <c r="K1217" s="732" t="n">
        <f aca="false">AVERAGE($E$216:E1217)</f>
        <v>10.0368837713153</v>
      </c>
      <c r="L1217" s="819" t="n">
        <f aca="false">L1216+1</f>
        <v>1002</v>
      </c>
      <c r="M1217" s="820" t="n">
        <f aca="false">IF(B1217&lt;$E$104,$E$105,$E$106)</f>
        <v>3</v>
      </c>
      <c r="N1217" s="821" t="n">
        <f aca="false">IF(B1217&lt;$E$104,$E$105,$E$111)</f>
        <v>2.5</v>
      </c>
      <c r="O1217" s="822" t="n">
        <f aca="false">E1217*$E$205*N1217</f>
        <v>197.75001742574</v>
      </c>
      <c r="P1217" s="823" t="n">
        <f aca="false">P1216+O1217</f>
        <v>131941.699659088</v>
      </c>
      <c r="Q1217" s="606" t="n">
        <f aca="false">Q1216+1</f>
        <v>1002</v>
      </c>
      <c r="R1217" s="824" t="n">
        <f aca="false">R1216-1</f>
        <v>-1002</v>
      </c>
      <c r="S1217" s="5"/>
      <c r="T1217" s="5"/>
      <c r="U1217" s="5"/>
      <c r="V1217" s="10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02"/>
      <c r="AU1217" s="502"/>
      <c r="AV1217" s="606"/>
      <c r="AW1217" s="502"/>
      <c r="AX1217" s="502"/>
      <c r="AY1217" s="502"/>
      <c r="AZ1217" s="502"/>
      <c r="BA1217" s="502"/>
      <c r="BB1217" s="502"/>
      <c r="BC1217" s="502"/>
      <c r="BD1217" s="502"/>
      <c r="BE1217" s="502"/>
      <c r="BF1217" s="502"/>
      <c r="BG1217" s="502"/>
      <c r="BH1217" s="502"/>
      <c r="BI1217" s="502"/>
      <c r="BJ1217" s="502"/>
      <c r="BK1217" s="502"/>
      <c r="BL1217" s="502"/>
      <c r="BM1217" s="502"/>
      <c r="BN1217" s="502"/>
      <c r="BO1217" s="502"/>
      <c r="BP1217" s="5"/>
      <c r="BQ1217" s="5"/>
      <c r="BR1217" s="5"/>
      <c r="BS1217" s="5"/>
      <c r="BT1217" s="5"/>
      <c r="BU1217" s="5"/>
      <c r="BV1217" s="5"/>
      <c r="BW1217" s="5"/>
      <c r="BX1217" s="5"/>
      <c r="BY1217" s="5"/>
      <c r="BZ1217" s="5"/>
      <c r="CA1217" s="5"/>
      <c r="CB1217" s="5"/>
      <c r="CC1217" s="5"/>
      <c r="CD1217" s="5"/>
      <c r="CE1217" s="5"/>
      <c r="CF1217" s="5"/>
      <c r="CG1217" s="5"/>
      <c r="CH1217" s="5"/>
      <c r="CI1217" s="5"/>
      <c r="CJ1217" s="5"/>
      <c r="CK1217" s="5"/>
      <c r="CL1217" s="5"/>
      <c r="CM1217" s="5"/>
      <c r="CN1217" s="5"/>
      <c r="CO1217" s="5"/>
      <c r="CP1217" s="5"/>
      <c r="CQ1217" s="5"/>
      <c r="CR1217" s="5"/>
      <c r="CS1217" s="5"/>
      <c r="CT1217" s="5"/>
      <c r="CU1217" s="5"/>
      <c r="CV1217" s="5"/>
      <c r="CW1217" s="5"/>
      <c r="CX1217" s="5"/>
      <c r="CY1217" s="5"/>
      <c r="CZ1217" s="5"/>
      <c r="DA1217" s="5"/>
      <c r="DB1217" s="5"/>
      <c r="DC1217" s="5"/>
      <c r="DD1217" s="5"/>
      <c r="DE1217" s="5"/>
      <c r="DF1217" s="5"/>
      <c r="DG1217" s="5"/>
      <c r="DH1217" s="5"/>
      <c r="DI1217" s="5"/>
      <c r="DJ1217" s="5"/>
      <c r="DK1217" s="5"/>
      <c r="DL1217" s="5"/>
      <c r="DM1217" s="5"/>
      <c r="DN1217" s="5"/>
      <c r="DO1217" s="5"/>
      <c r="DP1217" s="5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  <c r="GV1217" s="1"/>
      <c r="GW1217" s="1"/>
      <c r="GX1217" s="1"/>
      <c r="GY1217" s="1"/>
      <c r="GZ1217" s="1"/>
      <c r="HA1217" s="1"/>
      <c r="HB1217" s="1"/>
      <c r="HC1217" s="1"/>
      <c r="HD1217" s="1"/>
      <c r="HE1217" s="1"/>
      <c r="HF1217" s="1"/>
      <c r="HG1217" s="1"/>
      <c r="HH1217" s="1"/>
      <c r="HI1217" s="1"/>
      <c r="HJ1217" s="1"/>
      <c r="HK1217" s="1"/>
      <c r="HL1217" s="1"/>
      <c r="HM1217" s="1"/>
      <c r="HN1217" s="1"/>
      <c r="HO1217" s="1"/>
      <c r="HP1217" s="1"/>
      <c r="HQ1217" s="1"/>
      <c r="HR1217" s="1"/>
      <c r="HS1217" s="1"/>
      <c r="HT1217" s="1"/>
      <c r="HU1217" s="1"/>
      <c r="HV1217" s="1"/>
      <c r="HW1217" s="1"/>
      <c r="HX1217" s="1"/>
      <c r="HY1217" s="1"/>
      <c r="HZ1217" s="1"/>
      <c r="IA1217" s="1"/>
      <c r="IB1217" s="1"/>
      <c r="IC1217" s="1"/>
      <c r="ID1217" s="1"/>
      <c r="IE1217" s="1"/>
      <c r="IF1217" s="1"/>
      <c r="IG1217" s="1"/>
      <c r="IH1217" s="1"/>
      <c r="II1217" s="1"/>
      <c r="IJ1217" s="1"/>
      <c r="IK1217" s="1"/>
      <c r="IL1217" s="1"/>
      <c r="IM1217" s="1"/>
      <c r="IN1217" s="1"/>
      <c r="IO1217" s="1"/>
      <c r="IP1217" s="1"/>
      <c r="IQ1217" s="1"/>
      <c r="IR1217" s="1"/>
      <c r="IS1217" s="1"/>
      <c r="IT1217" s="1"/>
      <c r="IU1217" s="1"/>
      <c r="IV1217" s="1"/>
      <c r="IW1217" s="1"/>
      <c r="IX1217" s="1"/>
      <c r="IY1217" s="1"/>
      <c r="IZ1217" s="1"/>
      <c r="JA1217" s="1"/>
      <c r="JB1217" s="1"/>
      <c r="JC1217" s="1"/>
      <c r="JD1217" s="1"/>
    </row>
    <row r="1218" s="504" customFormat="true" ht="12.75" hidden="true" customHeight="true" outlineLevel="0" collapsed="false">
      <c r="A1218" s="5"/>
      <c r="B1218" s="813" t="n">
        <f aca="false">B1217+1</f>
        <v>1003</v>
      </c>
      <c r="C1218" s="814" t="n">
        <f aca="false">C1217+D1218</f>
        <v>158505.480571365</v>
      </c>
      <c r="D1218" s="815" t="n">
        <f aca="false">E1218*$E$205*M1218</f>
        <v>237.457700910888</v>
      </c>
      <c r="E1218" s="601" t="n">
        <f aca="false">E1217+$C$204</f>
        <v>15.0594686016545</v>
      </c>
      <c r="F1218" s="816" t="n">
        <f aca="false">F1217+1</f>
        <v>1003</v>
      </c>
      <c r="G1218" s="775" t="n">
        <f aca="false">C1218</f>
        <v>158505.480571365</v>
      </c>
      <c r="H1218" s="817" t="n">
        <f aca="false">1000*(E1218-E1217)</f>
        <v>9.99999999999979</v>
      </c>
      <c r="I1218" s="5"/>
      <c r="J1218" s="818" t="n">
        <f aca="false">1000*(E1218-$E$215)/(B1218-$B$215)</f>
        <v>11.569162341547</v>
      </c>
      <c r="K1218" s="732" t="n">
        <f aca="false">AVERAGE($E$216:E1218)</f>
        <v>10.0418913334592</v>
      </c>
      <c r="L1218" s="819" t="n">
        <f aca="false">L1217+1</f>
        <v>1003</v>
      </c>
      <c r="M1218" s="820" t="n">
        <f aca="false">IF(B1218&lt;$E$104,$E$105,$E$106)</f>
        <v>3</v>
      </c>
      <c r="N1218" s="821" t="n">
        <f aca="false">IF(B1218&lt;$E$104,$E$105,$E$111)</f>
        <v>2.5</v>
      </c>
      <c r="O1218" s="822" t="n">
        <f aca="false">E1218*$E$205*N1218</f>
        <v>197.88141742574</v>
      </c>
      <c r="P1218" s="823" t="n">
        <f aca="false">P1217+O1218</f>
        <v>132139.581076514</v>
      </c>
      <c r="Q1218" s="606" t="n">
        <f aca="false">Q1217+1</f>
        <v>1003</v>
      </c>
      <c r="R1218" s="824" t="n">
        <f aca="false">R1217-1</f>
        <v>-1003</v>
      </c>
      <c r="S1218" s="5"/>
      <c r="T1218" s="5"/>
      <c r="U1218" s="5"/>
      <c r="V1218" s="10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02"/>
      <c r="AU1218" s="502"/>
      <c r="AV1218" s="606"/>
      <c r="AW1218" s="502"/>
      <c r="AX1218" s="502"/>
      <c r="AY1218" s="502"/>
      <c r="AZ1218" s="502"/>
      <c r="BA1218" s="502"/>
      <c r="BB1218" s="502"/>
      <c r="BC1218" s="502"/>
      <c r="BD1218" s="502"/>
      <c r="BE1218" s="502"/>
      <c r="BF1218" s="502"/>
      <c r="BG1218" s="502"/>
      <c r="BH1218" s="502"/>
      <c r="BI1218" s="502"/>
      <c r="BJ1218" s="502"/>
      <c r="BK1218" s="502"/>
      <c r="BL1218" s="502"/>
      <c r="BM1218" s="502"/>
      <c r="BN1218" s="502"/>
      <c r="BO1218" s="502"/>
      <c r="BP1218" s="5"/>
      <c r="BQ1218" s="5"/>
      <c r="BR1218" s="5"/>
      <c r="BS1218" s="5"/>
      <c r="BT1218" s="5"/>
      <c r="BU1218" s="5"/>
      <c r="BV1218" s="5"/>
      <c r="BW1218" s="5"/>
      <c r="BX1218" s="5"/>
      <c r="BY1218" s="5"/>
      <c r="BZ1218" s="5"/>
      <c r="CA1218" s="5"/>
      <c r="CB1218" s="5"/>
      <c r="CC1218" s="5"/>
      <c r="CD1218" s="5"/>
      <c r="CE1218" s="5"/>
      <c r="CF1218" s="5"/>
      <c r="CG1218" s="5"/>
      <c r="CH1218" s="5"/>
      <c r="CI1218" s="5"/>
      <c r="CJ1218" s="5"/>
      <c r="CK1218" s="5"/>
      <c r="CL1218" s="5"/>
      <c r="CM1218" s="5"/>
      <c r="CN1218" s="5"/>
      <c r="CO1218" s="5"/>
      <c r="CP1218" s="5"/>
      <c r="CQ1218" s="5"/>
      <c r="CR1218" s="5"/>
      <c r="CS1218" s="5"/>
      <c r="CT1218" s="5"/>
      <c r="CU1218" s="5"/>
      <c r="CV1218" s="5"/>
      <c r="CW1218" s="5"/>
      <c r="CX1218" s="5"/>
      <c r="CY1218" s="5"/>
      <c r="CZ1218" s="5"/>
      <c r="DA1218" s="5"/>
      <c r="DB1218" s="5"/>
      <c r="DC1218" s="5"/>
      <c r="DD1218" s="5"/>
      <c r="DE1218" s="5"/>
      <c r="DF1218" s="5"/>
      <c r="DG1218" s="5"/>
      <c r="DH1218" s="5"/>
      <c r="DI1218" s="5"/>
      <c r="DJ1218" s="5"/>
      <c r="DK1218" s="5"/>
      <c r="DL1218" s="5"/>
      <c r="DM1218" s="5"/>
      <c r="DN1218" s="5"/>
      <c r="DO1218" s="5"/>
      <c r="DP1218" s="5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  <c r="GV1218" s="1"/>
      <c r="GW1218" s="1"/>
      <c r="GX1218" s="1"/>
      <c r="GY1218" s="1"/>
      <c r="GZ1218" s="1"/>
      <c r="HA1218" s="1"/>
      <c r="HB1218" s="1"/>
      <c r="HC1218" s="1"/>
      <c r="HD1218" s="1"/>
      <c r="HE1218" s="1"/>
      <c r="HF1218" s="1"/>
      <c r="HG1218" s="1"/>
      <c r="HH1218" s="1"/>
      <c r="HI1218" s="1"/>
      <c r="HJ1218" s="1"/>
      <c r="HK1218" s="1"/>
      <c r="HL1218" s="1"/>
      <c r="HM1218" s="1"/>
      <c r="HN1218" s="1"/>
      <c r="HO1218" s="1"/>
      <c r="HP1218" s="1"/>
      <c r="HQ1218" s="1"/>
      <c r="HR1218" s="1"/>
      <c r="HS1218" s="1"/>
      <c r="HT1218" s="1"/>
      <c r="HU1218" s="1"/>
      <c r="HV1218" s="1"/>
      <c r="HW1218" s="1"/>
      <c r="HX1218" s="1"/>
      <c r="HY1218" s="1"/>
      <c r="HZ1218" s="1"/>
      <c r="IA1218" s="1"/>
      <c r="IB1218" s="1"/>
      <c r="IC1218" s="1"/>
      <c r="ID1218" s="1"/>
      <c r="IE1218" s="1"/>
      <c r="IF1218" s="1"/>
      <c r="IG1218" s="1"/>
      <c r="IH1218" s="1"/>
      <c r="II1218" s="1"/>
      <c r="IJ1218" s="1"/>
      <c r="IK1218" s="1"/>
      <c r="IL1218" s="1"/>
      <c r="IM1218" s="1"/>
      <c r="IN1218" s="1"/>
      <c r="IO1218" s="1"/>
      <c r="IP1218" s="1"/>
      <c r="IQ1218" s="1"/>
      <c r="IR1218" s="1"/>
      <c r="IS1218" s="1"/>
      <c r="IT1218" s="1"/>
      <c r="IU1218" s="1"/>
      <c r="IV1218" s="1"/>
      <c r="IW1218" s="1"/>
      <c r="IX1218" s="1"/>
      <c r="IY1218" s="1"/>
      <c r="IZ1218" s="1"/>
      <c r="JA1218" s="1"/>
      <c r="JB1218" s="1"/>
      <c r="JC1218" s="1"/>
      <c r="JD1218" s="1"/>
    </row>
    <row r="1219" s="504" customFormat="true" ht="12.75" hidden="true" customHeight="true" outlineLevel="0" collapsed="false">
      <c r="A1219" s="5"/>
      <c r="B1219" s="813" t="n">
        <f aca="false">B1218+1</f>
        <v>1004</v>
      </c>
      <c r="C1219" s="814" t="n">
        <f aca="false">C1218+D1219</f>
        <v>158743.095952276</v>
      </c>
      <c r="D1219" s="815" t="n">
        <f aca="false">E1219*$E$205*M1219</f>
        <v>237.615380910888</v>
      </c>
      <c r="E1219" s="601" t="n">
        <f aca="false">E1218+$C$204</f>
        <v>15.0694686016545</v>
      </c>
      <c r="F1219" s="816" t="n">
        <f aca="false">F1218+1</f>
        <v>1004</v>
      </c>
      <c r="G1219" s="775" t="n">
        <f aca="false">C1219</f>
        <v>158743.095952276</v>
      </c>
      <c r="H1219" s="817" t="n">
        <f aca="false">1000*(E1219-E1218)</f>
        <v>9.99999999999979</v>
      </c>
      <c r="I1219" s="5"/>
      <c r="J1219" s="818" t="n">
        <f aca="false">1000*(E1219-$E$215)/(B1219-$B$215)</f>
        <v>11.5675994308482</v>
      </c>
      <c r="K1219" s="732" t="n">
        <f aca="false">AVERAGE($E$216:E1219)</f>
        <v>10.0468988805391</v>
      </c>
      <c r="L1219" s="819" t="n">
        <f aca="false">L1218+1</f>
        <v>1004</v>
      </c>
      <c r="M1219" s="820" t="n">
        <f aca="false">IF(B1219&lt;$E$104,$E$105,$E$106)</f>
        <v>3</v>
      </c>
      <c r="N1219" s="821" t="n">
        <f aca="false">IF(B1219&lt;$E$104,$E$105,$E$111)</f>
        <v>2.5</v>
      </c>
      <c r="O1219" s="822" t="n">
        <f aca="false">E1219*$E$205*N1219</f>
        <v>198.01281742574</v>
      </c>
      <c r="P1219" s="823" t="n">
        <f aca="false">P1218+O1219</f>
        <v>132337.593893939</v>
      </c>
      <c r="Q1219" s="606" t="n">
        <f aca="false">Q1218+1</f>
        <v>1004</v>
      </c>
      <c r="R1219" s="824" t="n">
        <f aca="false">R1218-1</f>
        <v>-1004</v>
      </c>
      <c r="S1219" s="5"/>
      <c r="T1219" s="5"/>
      <c r="U1219" s="5"/>
      <c r="V1219" s="10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02"/>
      <c r="AU1219" s="502"/>
      <c r="AV1219" s="606"/>
      <c r="AW1219" s="502"/>
      <c r="AX1219" s="502"/>
      <c r="AY1219" s="502"/>
      <c r="AZ1219" s="502"/>
      <c r="BA1219" s="502"/>
      <c r="BB1219" s="502"/>
      <c r="BC1219" s="502"/>
      <c r="BD1219" s="502"/>
      <c r="BE1219" s="502"/>
      <c r="BF1219" s="502"/>
      <c r="BG1219" s="502"/>
      <c r="BH1219" s="502"/>
      <c r="BI1219" s="502"/>
      <c r="BJ1219" s="502"/>
      <c r="BK1219" s="502"/>
      <c r="BL1219" s="502"/>
      <c r="BM1219" s="502"/>
      <c r="BN1219" s="502"/>
      <c r="BO1219" s="502"/>
      <c r="BP1219" s="5"/>
      <c r="BQ1219" s="5"/>
      <c r="BR1219" s="5"/>
      <c r="BS1219" s="5"/>
      <c r="BT1219" s="5"/>
      <c r="BU1219" s="5"/>
      <c r="BV1219" s="5"/>
      <c r="BW1219" s="5"/>
      <c r="BX1219" s="5"/>
      <c r="BY1219" s="5"/>
      <c r="BZ1219" s="5"/>
      <c r="CA1219" s="5"/>
      <c r="CB1219" s="5"/>
      <c r="CC1219" s="5"/>
      <c r="CD1219" s="5"/>
      <c r="CE1219" s="5"/>
      <c r="CF1219" s="5"/>
      <c r="CG1219" s="5"/>
      <c r="CH1219" s="5"/>
      <c r="CI1219" s="5"/>
      <c r="CJ1219" s="5"/>
      <c r="CK1219" s="5"/>
      <c r="CL1219" s="5"/>
      <c r="CM1219" s="5"/>
      <c r="CN1219" s="5"/>
      <c r="CO1219" s="5"/>
      <c r="CP1219" s="5"/>
      <c r="CQ1219" s="5"/>
      <c r="CR1219" s="5"/>
      <c r="CS1219" s="5"/>
      <c r="CT1219" s="5"/>
      <c r="CU1219" s="5"/>
      <c r="CV1219" s="5"/>
      <c r="CW1219" s="5"/>
      <c r="CX1219" s="5"/>
      <c r="CY1219" s="5"/>
      <c r="CZ1219" s="5"/>
      <c r="DA1219" s="5"/>
      <c r="DB1219" s="5"/>
      <c r="DC1219" s="5"/>
      <c r="DD1219" s="5"/>
      <c r="DE1219" s="5"/>
      <c r="DF1219" s="5"/>
      <c r="DG1219" s="5"/>
      <c r="DH1219" s="5"/>
      <c r="DI1219" s="5"/>
      <c r="DJ1219" s="5"/>
      <c r="DK1219" s="5"/>
      <c r="DL1219" s="5"/>
      <c r="DM1219" s="5"/>
      <c r="DN1219" s="5"/>
      <c r="DO1219" s="5"/>
      <c r="DP1219" s="5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  <c r="GV1219" s="1"/>
      <c r="GW1219" s="1"/>
      <c r="GX1219" s="1"/>
      <c r="GY1219" s="1"/>
      <c r="GZ1219" s="1"/>
      <c r="HA1219" s="1"/>
      <c r="HB1219" s="1"/>
      <c r="HC1219" s="1"/>
      <c r="HD1219" s="1"/>
      <c r="HE1219" s="1"/>
      <c r="HF1219" s="1"/>
      <c r="HG1219" s="1"/>
      <c r="HH1219" s="1"/>
      <c r="HI1219" s="1"/>
      <c r="HJ1219" s="1"/>
      <c r="HK1219" s="1"/>
      <c r="HL1219" s="1"/>
      <c r="HM1219" s="1"/>
      <c r="HN1219" s="1"/>
      <c r="HO1219" s="1"/>
      <c r="HP1219" s="1"/>
      <c r="HQ1219" s="1"/>
      <c r="HR1219" s="1"/>
      <c r="HS1219" s="1"/>
      <c r="HT1219" s="1"/>
      <c r="HU1219" s="1"/>
      <c r="HV1219" s="1"/>
      <c r="HW1219" s="1"/>
      <c r="HX1219" s="1"/>
      <c r="HY1219" s="1"/>
      <c r="HZ1219" s="1"/>
      <c r="IA1219" s="1"/>
      <c r="IB1219" s="1"/>
      <c r="IC1219" s="1"/>
      <c r="ID1219" s="1"/>
      <c r="IE1219" s="1"/>
      <c r="IF1219" s="1"/>
      <c r="IG1219" s="1"/>
      <c r="IH1219" s="1"/>
      <c r="II1219" s="1"/>
      <c r="IJ1219" s="1"/>
      <c r="IK1219" s="1"/>
      <c r="IL1219" s="1"/>
      <c r="IM1219" s="1"/>
      <c r="IN1219" s="1"/>
      <c r="IO1219" s="1"/>
      <c r="IP1219" s="1"/>
      <c r="IQ1219" s="1"/>
      <c r="IR1219" s="1"/>
      <c r="IS1219" s="1"/>
      <c r="IT1219" s="1"/>
      <c r="IU1219" s="1"/>
      <c r="IV1219" s="1"/>
      <c r="IW1219" s="1"/>
      <c r="IX1219" s="1"/>
      <c r="IY1219" s="1"/>
      <c r="IZ1219" s="1"/>
      <c r="JA1219" s="1"/>
      <c r="JB1219" s="1"/>
      <c r="JC1219" s="1"/>
      <c r="JD1219" s="1"/>
    </row>
    <row r="1220" s="504" customFormat="true" ht="12.75" hidden="true" customHeight="true" outlineLevel="0" collapsed="false">
      <c r="A1220" s="5"/>
      <c r="B1220" s="813" t="n">
        <f aca="false">B1219+1</f>
        <v>1005</v>
      </c>
      <c r="C1220" s="814" t="n">
        <f aca="false">C1219+D1220</f>
        <v>158980.869013187</v>
      </c>
      <c r="D1220" s="815" t="n">
        <f aca="false">E1220*$E$205*M1220</f>
        <v>237.773060910888</v>
      </c>
      <c r="E1220" s="601" t="n">
        <f aca="false">E1219+$C$204</f>
        <v>15.0794686016545</v>
      </c>
      <c r="F1220" s="816" t="n">
        <f aca="false">F1219+1</f>
        <v>1005</v>
      </c>
      <c r="G1220" s="775" t="n">
        <f aca="false">C1220</f>
        <v>158980.869013187</v>
      </c>
      <c r="H1220" s="817" t="n">
        <f aca="false">1000*(E1220-E1219)</f>
        <v>9.99999999999979</v>
      </c>
      <c r="I1220" s="5"/>
      <c r="J1220" s="818" t="n">
        <f aca="false">1000*(E1220-$E$215)/(B1220-$B$215)</f>
        <v>11.5660396304195</v>
      </c>
      <c r="K1220" s="732" t="n">
        <f aca="false">AVERAGE($E$216:E1220)</f>
        <v>10.0519064125999</v>
      </c>
      <c r="L1220" s="819" t="n">
        <f aca="false">L1219+1</f>
        <v>1005</v>
      </c>
      <c r="M1220" s="820" t="n">
        <f aca="false">IF(B1220&lt;$E$104,$E$105,$E$106)</f>
        <v>3</v>
      </c>
      <c r="N1220" s="821" t="n">
        <f aca="false">IF(B1220&lt;$E$104,$E$105,$E$111)</f>
        <v>2.5</v>
      </c>
      <c r="O1220" s="822" t="n">
        <f aca="false">E1220*$E$205*N1220</f>
        <v>198.14421742574</v>
      </c>
      <c r="P1220" s="823" t="n">
        <f aca="false">P1219+O1220</f>
        <v>132535.738111365</v>
      </c>
      <c r="Q1220" s="606" t="n">
        <f aca="false">Q1219+1</f>
        <v>1005</v>
      </c>
      <c r="R1220" s="824" t="n">
        <f aca="false">R1219-1</f>
        <v>-1005</v>
      </c>
      <c r="S1220" s="5"/>
      <c r="T1220" s="5"/>
      <c r="U1220" s="5"/>
      <c r="V1220" s="10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02"/>
      <c r="AU1220" s="502"/>
      <c r="AV1220" s="606"/>
      <c r="AW1220" s="502"/>
      <c r="AX1220" s="502"/>
      <c r="AY1220" s="502"/>
      <c r="AZ1220" s="502"/>
      <c r="BA1220" s="502"/>
      <c r="BB1220" s="502"/>
      <c r="BC1220" s="502"/>
      <c r="BD1220" s="502"/>
      <c r="BE1220" s="502"/>
      <c r="BF1220" s="502"/>
      <c r="BG1220" s="502"/>
      <c r="BH1220" s="502"/>
      <c r="BI1220" s="502"/>
      <c r="BJ1220" s="502"/>
      <c r="BK1220" s="502"/>
      <c r="BL1220" s="502"/>
      <c r="BM1220" s="502"/>
      <c r="BN1220" s="502"/>
      <c r="BO1220" s="502"/>
      <c r="BP1220" s="5"/>
      <c r="BQ1220" s="5"/>
      <c r="BR1220" s="5"/>
      <c r="BS1220" s="5"/>
      <c r="BT1220" s="5"/>
      <c r="BU1220" s="5"/>
      <c r="BV1220" s="5"/>
      <c r="BW1220" s="5"/>
      <c r="BX1220" s="5"/>
      <c r="BY1220" s="5"/>
      <c r="BZ1220" s="5"/>
      <c r="CA1220" s="5"/>
      <c r="CB1220" s="5"/>
      <c r="CC1220" s="5"/>
      <c r="CD1220" s="5"/>
      <c r="CE1220" s="5"/>
      <c r="CF1220" s="5"/>
      <c r="CG1220" s="5"/>
      <c r="CH1220" s="5"/>
      <c r="CI1220" s="5"/>
      <c r="CJ1220" s="5"/>
      <c r="CK1220" s="5"/>
      <c r="CL1220" s="5"/>
      <c r="CM1220" s="5"/>
      <c r="CN1220" s="5"/>
      <c r="CO1220" s="5"/>
      <c r="CP1220" s="5"/>
      <c r="CQ1220" s="5"/>
      <c r="CR1220" s="5"/>
      <c r="CS1220" s="5"/>
      <c r="CT1220" s="5"/>
      <c r="CU1220" s="5"/>
      <c r="CV1220" s="5"/>
      <c r="CW1220" s="5"/>
      <c r="CX1220" s="5"/>
      <c r="CY1220" s="5"/>
      <c r="CZ1220" s="5"/>
      <c r="DA1220" s="5"/>
      <c r="DB1220" s="5"/>
      <c r="DC1220" s="5"/>
      <c r="DD1220" s="5"/>
      <c r="DE1220" s="5"/>
      <c r="DF1220" s="5"/>
      <c r="DG1220" s="5"/>
      <c r="DH1220" s="5"/>
      <c r="DI1220" s="5"/>
      <c r="DJ1220" s="5"/>
      <c r="DK1220" s="5"/>
      <c r="DL1220" s="5"/>
      <c r="DM1220" s="5"/>
      <c r="DN1220" s="5"/>
      <c r="DO1220" s="5"/>
      <c r="DP1220" s="5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  <c r="GV1220" s="1"/>
      <c r="GW1220" s="1"/>
      <c r="GX1220" s="1"/>
      <c r="GY1220" s="1"/>
      <c r="GZ1220" s="1"/>
      <c r="HA1220" s="1"/>
      <c r="HB1220" s="1"/>
      <c r="HC1220" s="1"/>
      <c r="HD1220" s="1"/>
      <c r="HE1220" s="1"/>
      <c r="HF1220" s="1"/>
      <c r="HG1220" s="1"/>
      <c r="HH1220" s="1"/>
      <c r="HI1220" s="1"/>
      <c r="HJ1220" s="1"/>
      <c r="HK1220" s="1"/>
      <c r="HL1220" s="1"/>
      <c r="HM1220" s="1"/>
      <c r="HN1220" s="1"/>
      <c r="HO1220" s="1"/>
      <c r="HP1220" s="1"/>
      <c r="HQ1220" s="1"/>
      <c r="HR1220" s="1"/>
      <c r="HS1220" s="1"/>
      <c r="HT1220" s="1"/>
      <c r="HU1220" s="1"/>
      <c r="HV1220" s="1"/>
      <c r="HW1220" s="1"/>
      <c r="HX1220" s="1"/>
      <c r="HY1220" s="1"/>
      <c r="HZ1220" s="1"/>
      <c r="IA1220" s="1"/>
      <c r="IB1220" s="1"/>
      <c r="IC1220" s="1"/>
      <c r="ID1220" s="1"/>
      <c r="IE1220" s="1"/>
      <c r="IF1220" s="1"/>
      <c r="IG1220" s="1"/>
      <c r="IH1220" s="1"/>
      <c r="II1220" s="1"/>
      <c r="IJ1220" s="1"/>
      <c r="IK1220" s="1"/>
      <c r="IL1220" s="1"/>
      <c r="IM1220" s="1"/>
      <c r="IN1220" s="1"/>
      <c r="IO1220" s="1"/>
      <c r="IP1220" s="1"/>
      <c r="IQ1220" s="1"/>
      <c r="IR1220" s="1"/>
      <c r="IS1220" s="1"/>
      <c r="IT1220" s="1"/>
      <c r="IU1220" s="1"/>
      <c r="IV1220" s="1"/>
      <c r="IW1220" s="1"/>
      <c r="IX1220" s="1"/>
      <c r="IY1220" s="1"/>
      <c r="IZ1220" s="1"/>
      <c r="JA1220" s="1"/>
      <c r="JB1220" s="1"/>
      <c r="JC1220" s="1"/>
      <c r="JD1220" s="1"/>
    </row>
    <row r="1221" s="504" customFormat="true" ht="12.75" hidden="true" customHeight="true" outlineLevel="0" collapsed="false">
      <c r="A1221" s="5"/>
      <c r="B1221" s="813" t="n">
        <f aca="false">B1220+1</f>
        <v>1006</v>
      </c>
      <c r="C1221" s="814" t="n">
        <f aca="false">C1220+D1221</f>
        <v>159218.799754098</v>
      </c>
      <c r="D1221" s="815" t="n">
        <f aca="false">E1221*$E$205*M1221</f>
        <v>237.930740910888</v>
      </c>
      <c r="E1221" s="601" t="n">
        <f aca="false">E1220+$C$204</f>
        <v>15.0894686016545</v>
      </c>
      <c r="F1221" s="816" t="n">
        <f aca="false">F1220+1</f>
        <v>1006</v>
      </c>
      <c r="G1221" s="775" t="n">
        <f aca="false">C1221</f>
        <v>159218.799754098</v>
      </c>
      <c r="H1221" s="817" t="n">
        <f aca="false">1000*(E1221-E1220)</f>
        <v>9.99999999999979</v>
      </c>
      <c r="I1221" s="5"/>
      <c r="J1221" s="818" t="n">
        <f aca="false">1000*(E1221-$E$215)/(B1221-$B$215)</f>
        <v>11.5644829309857</v>
      </c>
      <c r="K1221" s="732" t="n">
        <f aca="false">AVERAGE($E$216:E1221)</f>
        <v>10.0569139296864</v>
      </c>
      <c r="L1221" s="819" t="n">
        <f aca="false">L1220+1</f>
        <v>1006</v>
      </c>
      <c r="M1221" s="820" t="n">
        <f aca="false">IF(B1221&lt;$E$104,$E$105,$E$106)</f>
        <v>3</v>
      </c>
      <c r="N1221" s="821" t="n">
        <f aca="false">IF(B1221&lt;$E$104,$E$105,$E$111)</f>
        <v>2.5</v>
      </c>
      <c r="O1221" s="822" t="n">
        <f aca="false">E1221*$E$205*N1221</f>
        <v>198.27561742574</v>
      </c>
      <c r="P1221" s="823" t="n">
        <f aca="false">P1220+O1221</f>
        <v>132734.013728791</v>
      </c>
      <c r="Q1221" s="606" t="n">
        <f aca="false">Q1220+1</f>
        <v>1006</v>
      </c>
      <c r="R1221" s="824" t="n">
        <f aca="false">R1220-1</f>
        <v>-1006</v>
      </c>
      <c r="S1221" s="5"/>
      <c r="T1221" s="5"/>
      <c r="U1221" s="5"/>
      <c r="V1221" s="10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02"/>
      <c r="AU1221" s="502"/>
      <c r="AV1221" s="606"/>
      <c r="AW1221" s="502"/>
      <c r="AX1221" s="502"/>
      <c r="AY1221" s="502"/>
      <c r="AZ1221" s="502"/>
      <c r="BA1221" s="502"/>
      <c r="BB1221" s="502"/>
      <c r="BC1221" s="502"/>
      <c r="BD1221" s="502"/>
      <c r="BE1221" s="502"/>
      <c r="BF1221" s="502"/>
      <c r="BG1221" s="502"/>
      <c r="BH1221" s="502"/>
      <c r="BI1221" s="502"/>
      <c r="BJ1221" s="502"/>
      <c r="BK1221" s="502"/>
      <c r="BL1221" s="502"/>
      <c r="BM1221" s="502"/>
      <c r="BN1221" s="502"/>
      <c r="BO1221" s="502"/>
      <c r="BP1221" s="5"/>
      <c r="BQ1221" s="5"/>
      <c r="BR1221" s="5"/>
      <c r="BS1221" s="5"/>
      <c r="BT1221" s="5"/>
      <c r="BU1221" s="5"/>
      <c r="BV1221" s="5"/>
      <c r="BW1221" s="5"/>
      <c r="BX1221" s="5"/>
      <c r="BY1221" s="5"/>
      <c r="BZ1221" s="5"/>
      <c r="CA1221" s="5"/>
      <c r="CB1221" s="5"/>
      <c r="CC1221" s="5"/>
      <c r="CD1221" s="5"/>
      <c r="CE1221" s="5"/>
      <c r="CF1221" s="5"/>
      <c r="CG1221" s="5"/>
      <c r="CH1221" s="5"/>
      <c r="CI1221" s="5"/>
      <c r="CJ1221" s="5"/>
      <c r="CK1221" s="5"/>
      <c r="CL1221" s="5"/>
      <c r="CM1221" s="5"/>
      <c r="CN1221" s="5"/>
      <c r="CO1221" s="5"/>
      <c r="CP1221" s="5"/>
      <c r="CQ1221" s="5"/>
      <c r="CR1221" s="5"/>
      <c r="CS1221" s="5"/>
      <c r="CT1221" s="5"/>
      <c r="CU1221" s="5"/>
      <c r="CV1221" s="5"/>
      <c r="CW1221" s="5"/>
      <c r="CX1221" s="5"/>
      <c r="CY1221" s="5"/>
      <c r="CZ1221" s="5"/>
      <c r="DA1221" s="5"/>
      <c r="DB1221" s="5"/>
      <c r="DC1221" s="5"/>
      <c r="DD1221" s="5"/>
      <c r="DE1221" s="5"/>
      <c r="DF1221" s="5"/>
      <c r="DG1221" s="5"/>
      <c r="DH1221" s="5"/>
      <c r="DI1221" s="5"/>
      <c r="DJ1221" s="5"/>
      <c r="DK1221" s="5"/>
      <c r="DL1221" s="5"/>
      <c r="DM1221" s="5"/>
      <c r="DN1221" s="5"/>
      <c r="DO1221" s="5"/>
      <c r="DP1221" s="5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  <c r="GV1221" s="1"/>
      <c r="GW1221" s="1"/>
      <c r="GX1221" s="1"/>
      <c r="GY1221" s="1"/>
      <c r="GZ1221" s="1"/>
      <c r="HA1221" s="1"/>
      <c r="HB1221" s="1"/>
      <c r="HC1221" s="1"/>
      <c r="HD1221" s="1"/>
      <c r="HE1221" s="1"/>
      <c r="HF1221" s="1"/>
      <c r="HG1221" s="1"/>
      <c r="HH1221" s="1"/>
      <c r="HI1221" s="1"/>
      <c r="HJ1221" s="1"/>
      <c r="HK1221" s="1"/>
      <c r="HL1221" s="1"/>
      <c r="HM1221" s="1"/>
      <c r="HN1221" s="1"/>
      <c r="HO1221" s="1"/>
      <c r="HP1221" s="1"/>
      <c r="HQ1221" s="1"/>
      <c r="HR1221" s="1"/>
      <c r="HS1221" s="1"/>
      <c r="HT1221" s="1"/>
      <c r="HU1221" s="1"/>
      <c r="HV1221" s="1"/>
      <c r="HW1221" s="1"/>
      <c r="HX1221" s="1"/>
      <c r="HY1221" s="1"/>
      <c r="HZ1221" s="1"/>
      <c r="IA1221" s="1"/>
      <c r="IB1221" s="1"/>
      <c r="IC1221" s="1"/>
      <c r="ID1221" s="1"/>
      <c r="IE1221" s="1"/>
      <c r="IF1221" s="1"/>
      <c r="IG1221" s="1"/>
      <c r="IH1221" s="1"/>
      <c r="II1221" s="1"/>
      <c r="IJ1221" s="1"/>
      <c r="IK1221" s="1"/>
      <c r="IL1221" s="1"/>
      <c r="IM1221" s="1"/>
      <c r="IN1221" s="1"/>
      <c r="IO1221" s="1"/>
      <c r="IP1221" s="1"/>
      <c r="IQ1221" s="1"/>
      <c r="IR1221" s="1"/>
      <c r="IS1221" s="1"/>
      <c r="IT1221" s="1"/>
      <c r="IU1221" s="1"/>
      <c r="IV1221" s="1"/>
      <c r="IW1221" s="1"/>
      <c r="IX1221" s="1"/>
      <c r="IY1221" s="1"/>
      <c r="IZ1221" s="1"/>
      <c r="JA1221" s="1"/>
      <c r="JB1221" s="1"/>
      <c r="JC1221" s="1"/>
      <c r="JD1221" s="1"/>
    </row>
    <row r="1222" s="504" customFormat="true" ht="12.75" hidden="true" customHeight="true" outlineLevel="0" collapsed="false">
      <c r="A1222" s="5"/>
      <c r="B1222" s="813" t="n">
        <f aca="false">B1221+1</f>
        <v>1007</v>
      </c>
      <c r="C1222" s="814" t="n">
        <f aca="false">C1221+D1222</f>
        <v>159456.888175009</v>
      </c>
      <c r="D1222" s="815" t="n">
        <f aca="false">E1222*$E$205*M1222</f>
        <v>238.088420910888</v>
      </c>
      <c r="E1222" s="601" t="n">
        <f aca="false">E1221+$C$204</f>
        <v>15.0994686016545</v>
      </c>
      <c r="F1222" s="816" t="n">
        <f aca="false">F1221+1</f>
        <v>1007</v>
      </c>
      <c r="G1222" s="775" t="n">
        <f aca="false">C1222</f>
        <v>159456.888175009</v>
      </c>
      <c r="H1222" s="817" t="n">
        <f aca="false">1000*(E1222-E1221)</f>
        <v>9.99999999999979</v>
      </c>
      <c r="I1222" s="5"/>
      <c r="J1222" s="818" t="n">
        <f aca="false">1000*(E1222-$E$215)/(B1222-$B$215)</f>
        <v>11.5629293233085</v>
      </c>
      <c r="K1222" s="732" t="n">
        <f aca="false">AVERAGE($E$216:E1222)</f>
        <v>10.0619214318433</v>
      </c>
      <c r="L1222" s="819" t="n">
        <f aca="false">L1221+1</f>
        <v>1007</v>
      </c>
      <c r="M1222" s="820" t="n">
        <f aca="false">IF(B1222&lt;$E$104,$E$105,$E$106)</f>
        <v>3</v>
      </c>
      <c r="N1222" s="821" t="n">
        <f aca="false">IF(B1222&lt;$E$104,$E$105,$E$111)</f>
        <v>2.5</v>
      </c>
      <c r="O1222" s="822" t="n">
        <f aca="false">E1222*$E$205*N1222</f>
        <v>198.40701742574</v>
      </c>
      <c r="P1222" s="823" t="n">
        <f aca="false">P1221+O1222</f>
        <v>132932.420746217</v>
      </c>
      <c r="Q1222" s="606" t="n">
        <f aca="false">Q1221+1</f>
        <v>1007</v>
      </c>
      <c r="R1222" s="824" t="n">
        <f aca="false">R1221-1</f>
        <v>-1007</v>
      </c>
      <c r="S1222" s="5"/>
      <c r="T1222" s="5"/>
      <c r="U1222" s="5"/>
      <c r="V1222" s="10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02"/>
      <c r="AU1222" s="502"/>
      <c r="AV1222" s="606"/>
      <c r="AW1222" s="502"/>
      <c r="AX1222" s="502"/>
      <c r="AY1222" s="502"/>
      <c r="AZ1222" s="502"/>
      <c r="BA1222" s="502"/>
      <c r="BB1222" s="502"/>
      <c r="BC1222" s="502"/>
      <c r="BD1222" s="502"/>
      <c r="BE1222" s="502"/>
      <c r="BF1222" s="502"/>
      <c r="BG1222" s="502"/>
      <c r="BH1222" s="502"/>
      <c r="BI1222" s="502"/>
      <c r="BJ1222" s="502"/>
      <c r="BK1222" s="502"/>
      <c r="BL1222" s="502"/>
      <c r="BM1222" s="502"/>
      <c r="BN1222" s="502"/>
      <c r="BO1222" s="502"/>
      <c r="BP1222" s="5"/>
      <c r="BQ1222" s="5"/>
      <c r="BR1222" s="5"/>
      <c r="BS1222" s="5"/>
      <c r="BT1222" s="5"/>
      <c r="BU1222" s="5"/>
      <c r="BV1222" s="5"/>
      <c r="BW1222" s="5"/>
      <c r="BX1222" s="5"/>
      <c r="BY1222" s="5"/>
      <c r="BZ1222" s="5"/>
      <c r="CA1222" s="5"/>
      <c r="CB1222" s="5"/>
      <c r="CC1222" s="5"/>
      <c r="CD1222" s="5"/>
      <c r="CE1222" s="5"/>
      <c r="CF1222" s="5"/>
      <c r="CG1222" s="5"/>
      <c r="CH1222" s="5"/>
      <c r="CI1222" s="5"/>
      <c r="CJ1222" s="5"/>
      <c r="CK1222" s="5"/>
      <c r="CL1222" s="5"/>
      <c r="CM1222" s="5"/>
      <c r="CN1222" s="5"/>
      <c r="CO1222" s="5"/>
      <c r="CP1222" s="5"/>
      <c r="CQ1222" s="5"/>
      <c r="CR1222" s="5"/>
      <c r="CS1222" s="5"/>
      <c r="CT1222" s="5"/>
      <c r="CU1222" s="5"/>
      <c r="CV1222" s="5"/>
      <c r="CW1222" s="5"/>
      <c r="CX1222" s="5"/>
      <c r="CY1222" s="5"/>
      <c r="CZ1222" s="5"/>
      <c r="DA1222" s="5"/>
      <c r="DB1222" s="5"/>
      <c r="DC1222" s="5"/>
      <c r="DD1222" s="5"/>
      <c r="DE1222" s="5"/>
      <c r="DF1222" s="5"/>
      <c r="DG1222" s="5"/>
      <c r="DH1222" s="5"/>
      <c r="DI1222" s="5"/>
      <c r="DJ1222" s="5"/>
      <c r="DK1222" s="5"/>
      <c r="DL1222" s="5"/>
      <c r="DM1222" s="5"/>
      <c r="DN1222" s="5"/>
      <c r="DO1222" s="5"/>
      <c r="DP1222" s="5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  <c r="GV1222" s="1"/>
      <c r="GW1222" s="1"/>
      <c r="GX1222" s="1"/>
      <c r="GY1222" s="1"/>
      <c r="GZ1222" s="1"/>
      <c r="HA1222" s="1"/>
      <c r="HB1222" s="1"/>
      <c r="HC1222" s="1"/>
      <c r="HD1222" s="1"/>
      <c r="HE1222" s="1"/>
      <c r="HF1222" s="1"/>
      <c r="HG1222" s="1"/>
      <c r="HH1222" s="1"/>
      <c r="HI1222" s="1"/>
      <c r="HJ1222" s="1"/>
      <c r="HK1222" s="1"/>
      <c r="HL1222" s="1"/>
      <c r="HM1222" s="1"/>
      <c r="HN1222" s="1"/>
      <c r="HO1222" s="1"/>
      <c r="HP1222" s="1"/>
      <c r="HQ1222" s="1"/>
      <c r="HR1222" s="1"/>
      <c r="HS1222" s="1"/>
      <c r="HT1222" s="1"/>
      <c r="HU1222" s="1"/>
      <c r="HV1222" s="1"/>
      <c r="HW1222" s="1"/>
      <c r="HX1222" s="1"/>
      <c r="HY1222" s="1"/>
      <c r="HZ1222" s="1"/>
      <c r="IA1222" s="1"/>
      <c r="IB1222" s="1"/>
      <c r="IC1222" s="1"/>
      <c r="ID1222" s="1"/>
      <c r="IE1222" s="1"/>
      <c r="IF1222" s="1"/>
      <c r="IG1222" s="1"/>
      <c r="IH1222" s="1"/>
      <c r="II1222" s="1"/>
      <c r="IJ1222" s="1"/>
      <c r="IK1222" s="1"/>
      <c r="IL1222" s="1"/>
      <c r="IM1222" s="1"/>
      <c r="IN1222" s="1"/>
      <c r="IO1222" s="1"/>
      <c r="IP1222" s="1"/>
      <c r="IQ1222" s="1"/>
      <c r="IR1222" s="1"/>
      <c r="IS1222" s="1"/>
      <c r="IT1222" s="1"/>
      <c r="IU1222" s="1"/>
      <c r="IV1222" s="1"/>
      <c r="IW1222" s="1"/>
      <c r="IX1222" s="1"/>
      <c r="IY1222" s="1"/>
      <c r="IZ1222" s="1"/>
      <c r="JA1222" s="1"/>
      <c r="JB1222" s="1"/>
      <c r="JC1222" s="1"/>
      <c r="JD1222" s="1"/>
    </row>
    <row r="1223" s="504" customFormat="true" ht="12.75" hidden="true" customHeight="true" outlineLevel="0" collapsed="false">
      <c r="A1223" s="5"/>
      <c r="B1223" s="813" t="n">
        <f aca="false">B1222+1</f>
        <v>1008</v>
      </c>
      <c r="C1223" s="814" t="n">
        <f aca="false">C1222+D1223</f>
        <v>159695.134275919</v>
      </c>
      <c r="D1223" s="815" t="n">
        <f aca="false">E1223*$E$205*M1223</f>
        <v>238.246100910888</v>
      </c>
      <c r="E1223" s="601" t="n">
        <f aca="false">E1222+$C$204</f>
        <v>15.1094686016545</v>
      </c>
      <c r="F1223" s="816" t="n">
        <f aca="false">F1222+1</f>
        <v>1008</v>
      </c>
      <c r="G1223" s="775" t="n">
        <f aca="false">C1223</f>
        <v>159695.134275919</v>
      </c>
      <c r="H1223" s="817" t="n">
        <f aca="false">1000*(E1223-E1222)</f>
        <v>9.99999999999979</v>
      </c>
      <c r="I1223" s="5"/>
      <c r="J1223" s="818" t="n">
        <f aca="false">1000*(E1223-$E$215)/(B1223-$B$215)</f>
        <v>11.5613787981861</v>
      </c>
      <c r="K1223" s="732" t="n">
        <f aca="false">AVERAGE($E$216:E1223)</f>
        <v>10.0669289191149</v>
      </c>
      <c r="L1223" s="819" t="n">
        <f aca="false">L1222+1</f>
        <v>1008</v>
      </c>
      <c r="M1223" s="820" t="n">
        <f aca="false">IF(B1223&lt;$E$104,$E$105,$E$106)</f>
        <v>3</v>
      </c>
      <c r="N1223" s="821" t="n">
        <f aca="false">IF(B1223&lt;$E$104,$E$105,$E$111)</f>
        <v>2.5</v>
      </c>
      <c r="O1223" s="822" t="n">
        <f aca="false">E1223*$E$205*N1223</f>
        <v>198.53841742574</v>
      </c>
      <c r="P1223" s="823" t="n">
        <f aca="false">P1222+O1223</f>
        <v>133130.959163642</v>
      </c>
      <c r="Q1223" s="606" t="n">
        <f aca="false">Q1222+1</f>
        <v>1008</v>
      </c>
      <c r="R1223" s="824" t="n">
        <f aca="false">R1222-1</f>
        <v>-1008</v>
      </c>
      <c r="S1223" s="5"/>
      <c r="T1223" s="5"/>
      <c r="U1223" s="5"/>
      <c r="V1223" s="10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02"/>
      <c r="AU1223" s="502"/>
      <c r="AV1223" s="606"/>
      <c r="AW1223" s="502"/>
      <c r="AX1223" s="502"/>
      <c r="AY1223" s="502"/>
      <c r="AZ1223" s="502"/>
      <c r="BA1223" s="502"/>
      <c r="BB1223" s="502"/>
      <c r="BC1223" s="502"/>
      <c r="BD1223" s="502"/>
      <c r="BE1223" s="502"/>
      <c r="BF1223" s="502"/>
      <c r="BG1223" s="502"/>
      <c r="BH1223" s="502"/>
      <c r="BI1223" s="502"/>
      <c r="BJ1223" s="502"/>
      <c r="BK1223" s="502"/>
      <c r="BL1223" s="502"/>
      <c r="BM1223" s="502"/>
      <c r="BN1223" s="502"/>
      <c r="BO1223" s="502"/>
      <c r="BP1223" s="5"/>
      <c r="BQ1223" s="5"/>
      <c r="BR1223" s="5"/>
      <c r="BS1223" s="5"/>
      <c r="BT1223" s="5"/>
      <c r="BU1223" s="5"/>
      <c r="BV1223" s="5"/>
      <c r="BW1223" s="5"/>
      <c r="BX1223" s="5"/>
      <c r="BY1223" s="5"/>
      <c r="BZ1223" s="5"/>
      <c r="CA1223" s="5"/>
      <c r="CB1223" s="5"/>
      <c r="CC1223" s="5"/>
      <c r="CD1223" s="5"/>
      <c r="CE1223" s="5"/>
      <c r="CF1223" s="5"/>
      <c r="CG1223" s="5"/>
      <c r="CH1223" s="5"/>
      <c r="CI1223" s="5"/>
      <c r="CJ1223" s="5"/>
      <c r="CK1223" s="5"/>
      <c r="CL1223" s="5"/>
      <c r="CM1223" s="5"/>
      <c r="CN1223" s="5"/>
      <c r="CO1223" s="5"/>
      <c r="CP1223" s="5"/>
      <c r="CQ1223" s="5"/>
      <c r="CR1223" s="5"/>
      <c r="CS1223" s="5"/>
      <c r="CT1223" s="5"/>
      <c r="CU1223" s="5"/>
      <c r="CV1223" s="5"/>
      <c r="CW1223" s="5"/>
      <c r="CX1223" s="5"/>
      <c r="CY1223" s="5"/>
      <c r="CZ1223" s="5"/>
      <c r="DA1223" s="5"/>
      <c r="DB1223" s="5"/>
      <c r="DC1223" s="5"/>
      <c r="DD1223" s="5"/>
      <c r="DE1223" s="5"/>
      <c r="DF1223" s="5"/>
      <c r="DG1223" s="5"/>
      <c r="DH1223" s="5"/>
      <c r="DI1223" s="5"/>
      <c r="DJ1223" s="5"/>
      <c r="DK1223" s="5"/>
      <c r="DL1223" s="5"/>
      <c r="DM1223" s="5"/>
      <c r="DN1223" s="5"/>
      <c r="DO1223" s="5"/>
      <c r="DP1223" s="5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  <c r="GV1223" s="1"/>
      <c r="GW1223" s="1"/>
      <c r="GX1223" s="1"/>
      <c r="GY1223" s="1"/>
      <c r="GZ1223" s="1"/>
      <c r="HA1223" s="1"/>
      <c r="HB1223" s="1"/>
      <c r="HC1223" s="1"/>
      <c r="HD1223" s="1"/>
      <c r="HE1223" s="1"/>
      <c r="HF1223" s="1"/>
      <c r="HG1223" s="1"/>
      <c r="HH1223" s="1"/>
      <c r="HI1223" s="1"/>
      <c r="HJ1223" s="1"/>
      <c r="HK1223" s="1"/>
      <c r="HL1223" s="1"/>
      <c r="HM1223" s="1"/>
      <c r="HN1223" s="1"/>
      <c r="HO1223" s="1"/>
      <c r="HP1223" s="1"/>
      <c r="HQ1223" s="1"/>
      <c r="HR1223" s="1"/>
      <c r="HS1223" s="1"/>
      <c r="HT1223" s="1"/>
      <c r="HU1223" s="1"/>
      <c r="HV1223" s="1"/>
      <c r="HW1223" s="1"/>
      <c r="HX1223" s="1"/>
      <c r="HY1223" s="1"/>
      <c r="HZ1223" s="1"/>
      <c r="IA1223" s="1"/>
      <c r="IB1223" s="1"/>
      <c r="IC1223" s="1"/>
      <c r="ID1223" s="1"/>
      <c r="IE1223" s="1"/>
      <c r="IF1223" s="1"/>
      <c r="IG1223" s="1"/>
      <c r="IH1223" s="1"/>
      <c r="II1223" s="1"/>
      <c r="IJ1223" s="1"/>
      <c r="IK1223" s="1"/>
      <c r="IL1223" s="1"/>
      <c r="IM1223" s="1"/>
      <c r="IN1223" s="1"/>
      <c r="IO1223" s="1"/>
      <c r="IP1223" s="1"/>
      <c r="IQ1223" s="1"/>
      <c r="IR1223" s="1"/>
      <c r="IS1223" s="1"/>
      <c r="IT1223" s="1"/>
      <c r="IU1223" s="1"/>
      <c r="IV1223" s="1"/>
      <c r="IW1223" s="1"/>
      <c r="IX1223" s="1"/>
      <c r="IY1223" s="1"/>
      <c r="IZ1223" s="1"/>
      <c r="JA1223" s="1"/>
      <c r="JB1223" s="1"/>
      <c r="JC1223" s="1"/>
      <c r="JD1223" s="1"/>
    </row>
    <row r="1224" s="504" customFormat="true" ht="12.75" hidden="true" customHeight="true" outlineLevel="0" collapsed="false">
      <c r="A1224" s="5"/>
      <c r="B1224" s="813" t="n">
        <f aca="false">B1223+1</f>
        <v>1009</v>
      </c>
      <c r="C1224" s="814" t="n">
        <f aca="false">C1223+D1224</f>
        <v>159933.53805683</v>
      </c>
      <c r="D1224" s="815" t="n">
        <f aca="false">E1224*$E$205*M1224</f>
        <v>238.403780910888</v>
      </c>
      <c r="E1224" s="601" t="n">
        <f aca="false">E1223+$C$204</f>
        <v>15.1194686016545</v>
      </c>
      <c r="F1224" s="816" t="n">
        <f aca="false">F1223+1</f>
        <v>1009</v>
      </c>
      <c r="G1224" s="775" t="n">
        <f aca="false">C1224</f>
        <v>159933.53805683</v>
      </c>
      <c r="H1224" s="817" t="n">
        <f aca="false">1000*(E1224-E1223)</f>
        <v>9.99999999999979</v>
      </c>
      <c r="I1224" s="5"/>
      <c r="J1224" s="818" t="n">
        <f aca="false">1000*(E1224-$E$215)/(B1224-$B$215)</f>
        <v>11.5598313464535</v>
      </c>
      <c r="K1224" s="732" t="n">
        <f aca="false">AVERAGE($E$216:E1224)</f>
        <v>10.0719363915456</v>
      </c>
      <c r="L1224" s="819" t="n">
        <f aca="false">L1223+1</f>
        <v>1009</v>
      </c>
      <c r="M1224" s="820" t="n">
        <f aca="false">IF(B1224&lt;$E$104,$E$105,$E$106)</f>
        <v>3</v>
      </c>
      <c r="N1224" s="821" t="n">
        <f aca="false">IF(B1224&lt;$E$104,$E$105,$E$111)</f>
        <v>2.5</v>
      </c>
      <c r="O1224" s="822" t="n">
        <f aca="false">E1224*$E$205*N1224</f>
        <v>198.66981742574</v>
      </c>
      <c r="P1224" s="823" t="n">
        <f aca="false">P1223+O1224</f>
        <v>133329.628981068</v>
      </c>
      <c r="Q1224" s="606" t="n">
        <f aca="false">Q1223+1</f>
        <v>1009</v>
      </c>
      <c r="R1224" s="824" t="n">
        <f aca="false">R1223-1</f>
        <v>-1009</v>
      </c>
      <c r="S1224" s="5"/>
      <c r="T1224" s="5"/>
      <c r="U1224" s="5"/>
      <c r="V1224" s="10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02"/>
      <c r="AU1224" s="502"/>
      <c r="AV1224" s="606"/>
      <c r="AW1224" s="502"/>
      <c r="AX1224" s="502"/>
      <c r="AY1224" s="502"/>
      <c r="AZ1224" s="502"/>
      <c r="BA1224" s="502"/>
      <c r="BB1224" s="502"/>
      <c r="BC1224" s="502"/>
      <c r="BD1224" s="502"/>
      <c r="BE1224" s="502"/>
      <c r="BF1224" s="502"/>
      <c r="BG1224" s="502"/>
      <c r="BH1224" s="502"/>
      <c r="BI1224" s="502"/>
      <c r="BJ1224" s="502"/>
      <c r="BK1224" s="502"/>
      <c r="BL1224" s="502"/>
      <c r="BM1224" s="502"/>
      <c r="BN1224" s="502"/>
      <c r="BO1224" s="502"/>
      <c r="BP1224" s="5"/>
      <c r="BQ1224" s="5"/>
      <c r="BR1224" s="5"/>
      <c r="BS1224" s="5"/>
      <c r="BT1224" s="5"/>
      <c r="BU1224" s="5"/>
      <c r="BV1224" s="5"/>
      <c r="BW1224" s="5"/>
      <c r="BX1224" s="5"/>
      <c r="BY1224" s="5"/>
      <c r="BZ1224" s="5"/>
      <c r="CA1224" s="5"/>
      <c r="CB1224" s="5"/>
      <c r="CC1224" s="5"/>
      <c r="CD1224" s="5"/>
      <c r="CE1224" s="5"/>
      <c r="CF1224" s="5"/>
      <c r="CG1224" s="5"/>
      <c r="CH1224" s="5"/>
      <c r="CI1224" s="5"/>
      <c r="CJ1224" s="5"/>
      <c r="CK1224" s="5"/>
      <c r="CL1224" s="5"/>
      <c r="CM1224" s="5"/>
      <c r="CN1224" s="5"/>
      <c r="CO1224" s="5"/>
      <c r="CP1224" s="5"/>
      <c r="CQ1224" s="5"/>
      <c r="CR1224" s="5"/>
      <c r="CS1224" s="5"/>
      <c r="CT1224" s="5"/>
      <c r="CU1224" s="5"/>
      <c r="CV1224" s="5"/>
      <c r="CW1224" s="5"/>
      <c r="CX1224" s="5"/>
      <c r="CY1224" s="5"/>
      <c r="CZ1224" s="5"/>
      <c r="DA1224" s="5"/>
      <c r="DB1224" s="5"/>
      <c r="DC1224" s="5"/>
      <c r="DD1224" s="5"/>
      <c r="DE1224" s="5"/>
      <c r="DF1224" s="5"/>
      <c r="DG1224" s="5"/>
      <c r="DH1224" s="5"/>
      <c r="DI1224" s="5"/>
      <c r="DJ1224" s="5"/>
      <c r="DK1224" s="5"/>
      <c r="DL1224" s="5"/>
      <c r="DM1224" s="5"/>
      <c r="DN1224" s="5"/>
      <c r="DO1224" s="5"/>
      <c r="DP1224" s="5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  <c r="GV1224" s="1"/>
      <c r="GW1224" s="1"/>
      <c r="GX1224" s="1"/>
      <c r="GY1224" s="1"/>
      <c r="GZ1224" s="1"/>
      <c r="HA1224" s="1"/>
      <c r="HB1224" s="1"/>
      <c r="HC1224" s="1"/>
      <c r="HD1224" s="1"/>
      <c r="HE1224" s="1"/>
      <c r="HF1224" s="1"/>
      <c r="HG1224" s="1"/>
      <c r="HH1224" s="1"/>
      <c r="HI1224" s="1"/>
      <c r="HJ1224" s="1"/>
      <c r="HK1224" s="1"/>
      <c r="HL1224" s="1"/>
      <c r="HM1224" s="1"/>
      <c r="HN1224" s="1"/>
      <c r="HO1224" s="1"/>
      <c r="HP1224" s="1"/>
      <c r="HQ1224" s="1"/>
      <c r="HR1224" s="1"/>
      <c r="HS1224" s="1"/>
      <c r="HT1224" s="1"/>
      <c r="HU1224" s="1"/>
      <c r="HV1224" s="1"/>
      <c r="HW1224" s="1"/>
      <c r="HX1224" s="1"/>
      <c r="HY1224" s="1"/>
      <c r="HZ1224" s="1"/>
      <c r="IA1224" s="1"/>
      <c r="IB1224" s="1"/>
      <c r="IC1224" s="1"/>
      <c r="ID1224" s="1"/>
      <c r="IE1224" s="1"/>
      <c r="IF1224" s="1"/>
      <c r="IG1224" s="1"/>
      <c r="IH1224" s="1"/>
      <c r="II1224" s="1"/>
      <c r="IJ1224" s="1"/>
      <c r="IK1224" s="1"/>
      <c r="IL1224" s="1"/>
      <c r="IM1224" s="1"/>
      <c r="IN1224" s="1"/>
      <c r="IO1224" s="1"/>
      <c r="IP1224" s="1"/>
      <c r="IQ1224" s="1"/>
      <c r="IR1224" s="1"/>
      <c r="IS1224" s="1"/>
      <c r="IT1224" s="1"/>
      <c r="IU1224" s="1"/>
      <c r="IV1224" s="1"/>
      <c r="IW1224" s="1"/>
      <c r="IX1224" s="1"/>
      <c r="IY1224" s="1"/>
      <c r="IZ1224" s="1"/>
      <c r="JA1224" s="1"/>
      <c r="JB1224" s="1"/>
      <c r="JC1224" s="1"/>
      <c r="JD1224" s="1"/>
    </row>
    <row r="1225" s="504" customFormat="true" ht="12.75" hidden="true" customHeight="true" outlineLevel="0" collapsed="false">
      <c r="A1225" s="5"/>
      <c r="B1225" s="813" t="n">
        <f aca="false">B1224+1</f>
        <v>1010</v>
      </c>
      <c r="C1225" s="814" t="n">
        <f aca="false">C1224+D1225</f>
        <v>160172.099517741</v>
      </c>
      <c r="D1225" s="815" t="n">
        <f aca="false">E1225*$E$205*M1225</f>
        <v>238.561460910888</v>
      </c>
      <c r="E1225" s="601" t="n">
        <f aca="false">E1224+$C$204</f>
        <v>15.1294686016545</v>
      </c>
      <c r="F1225" s="816" t="n">
        <f aca="false">F1224+1</f>
        <v>1010</v>
      </c>
      <c r="G1225" s="775" t="n">
        <f aca="false">C1225</f>
        <v>160172.099517741</v>
      </c>
      <c r="H1225" s="817" t="n">
        <f aca="false">1000*(E1225-E1224)</f>
        <v>9.99999999999979</v>
      </c>
      <c r="I1225" s="5"/>
      <c r="J1225" s="818" t="n">
        <f aca="false">1000*(E1225-$E$215)/(B1225-$B$215)</f>
        <v>11.5582869589818</v>
      </c>
      <c r="K1225" s="732" t="n">
        <f aca="false">AVERAGE($E$216:E1225)</f>
        <v>10.0769438491793</v>
      </c>
      <c r="L1225" s="819" t="n">
        <f aca="false">L1224+1</f>
        <v>1010</v>
      </c>
      <c r="M1225" s="820" t="n">
        <f aca="false">IF(B1225&lt;$E$104,$E$105,$E$106)</f>
        <v>3</v>
      </c>
      <c r="N1225" s="821" t="n">
        <f aca="false">IF(B1225&lt;$E$104,$E$105,$E$111)</f>
        <v>2.5</v>
      </c>
      <c r="O1225" s="822" t="n">
        <f aca="false">E1225*$E$205*N1225</f>
        <v>198.80121742574</v>
      </c>
      <c r="P1225" s="823" t="n">
        <f aca="false">P1224+O1225</f>
        <v>133528.430198494</v>
      </c>
      <c r="Q1225" s="606" t="n">
        <f aca="false">Q1224+1</f>
        <v>1010</v>
      </c>
      <c r="R1225" s="824" t="n">
        <f aca="false">R1224-1</f>
        <v>-1010</v>
      </c>
      <c r="S1225" s="5"/>
      <c r="T1225" s="5"/>
      <c r="U1225" s="5"/>
      <c r="V1225" s="10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02"/>
      <c r="AU1225" s="502"/>
      <c r="AV1225" s="606"/>
      <c r="AW1225" s="502"/>
      <c r="AX1225" s="502"/>
      <c r="AY1225" s="502"/>
      <c r="AZ1225" s="502"/>
      <c r="BA1225" s="502"/>
      <c r="BB1225" s="502"/>
      <c r="BC1225" s="502"/>
      <c r="BD1225" s="502"/>
      <c r="BE1225" s="502"/>
      <c r="BF1225" s="502"/>
      <c r="BG1225" s="502"/>
      <c r="BH1225" s="502"/>
      <c r="BI1225" s="502"/>
      <c r="BJ1225" s="502"/>
      <c r="BK1225" s="502"/>
      <c r="BL1225" s="502"/>
      <c r="BM1225" s="502"/>
      <c r="BN1225" s="502"/>
      <c r="BO1225" s="502"/>
      <c r="BP1225" s="5"/>
      <c r="BQ1225" s="5"/>
      <c r="BR1225" s="5"/>
      <c r="BS1225" s="5"/>
      <c r="BT1225" s="5"/>
      <c r="BU1225" s="5"/>
      <c r="BV1225" s="5"/>
      <c r="BW1225" s="5"/>
      <c r="BX1225" s="5"/>
      <c r="BY1225" s="5"/>
      <c r="BZ1225" s="5"/>
      <c r="CA1225" s="5"/>
      <c r="CB1225" s="5"/>
      <c r="CC1225" s="5"/>
      <c r="CD1225" s="5"/>
      <c r="CE1225" s="5"/>
      <c r="CF1225" s="5"/>
      <c r="CG1225" s="5"/>
      <c r="CH1225" s="5"/>
      <c r="CI1225" s="5"/>
      <c r="CJ1225" s="5"/>
      <c r="CK1225" s="5"/>
      <c r="CL1225" s="5"/>
      <c r="CM1225" s="5"/>
      <c r="CN1225" s="5"/>
      <c r="CO1225" s="5"/>
      <c r="CP1225" s="5"/>
      <c r="CQ1225" s="5"/>
      <c r="CR1225" s="5"/>
      <c r="CS1225" s="5"/>
      <c r="CT1225" s="5"/>
      <c r="CU1225" s="5"/>
      <c r="CV1225" s="5"/>
      <c r="CW1225" s="5"/>
      <c r="CX1225" s="5"/>
      <c r="CY1225" s="5"/>
      <c r="CZ1225" s="5"/>
      <c r="DA1225" s="5"/>
      <c r="DB1225" s="5"/>
      <c r="DC1225" s="5"/>
      <c r="DD1225" s="5"/>
      <c r="DE1225" s="5"/>
      <c r="DF1225" s="5"/>
      <c r="DG1225" s="5"/>
      <c r="DH1225" s="5"/>
      <c r="DI1225" s="5"/>
      <c r="DJ1225" s="5"/>
      <c r="DK1225" s="5"/>
      <c r="DL1225" s="5"/>
      <c r="DM1225" s="5"/>
      <c r="DN1225" s="5"/>
      <c r="DO1225" s="5"/>
      <c r="DP1225" s="5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  <c r="GV1225" s="1"/>
      <c r="GW1225" s="1"/>
      <c r="GX1225" s="1"/>
      <c r="GY1225" s="1"/>
      <c r="GZ1225" s="1"/>
      <c r="HA1225" s="1"/>
      <c r="HB1225" s="1"/>
      <c r="HC1225" s="1"/>
      <c r="HD1225" s="1"/>
      <c r="HE1225" s="1"/>
      <c r="HF1225" s="1"/>
      <c r="HG1225" s="1"/>
      <c r="HH1225" s="1"/>
      <c r="HI1225" s="1"/>
      <c r="HJ1225" s="1"/>
      <c r="HK1225" s="1"/>
      <c r="HL1225" s="1"/>
      <c r="HM1225" s="1"/>
      <c r="HN1225" s="1"/>
      <c r="HO1225" s="1"/>
      <c r="HP1225" s="1"/>
      <c r="HQ1225" s="1"/>
      <c r="HR1225" s="1"/>
      <c r="HS1225" s="1"/>
      <c r="HT1225" s="1"/>
      <c r="HU1225" s="1"/>
      <c r="HV1225" s="1"/>
      <c r="HW1225" s="1"/>
      <c r="HX1225" s="1"/>
      <c r="HY1225" s="1"/>
      <c r="HZ1225" s="1"/>
      <c r="IA1225" s="1"/>
      <c r="IB1225" s="1"/>
      <c r="IC1225" s="1"/>
      <c r="ID1225" s="1"/>
      <c r="IE1225" s="1"/>
      <c r="IF1225" s="1"/>
      <c r="IG1225" s="1"/>
      <c r="IH1225" s="1"/>
      <c r="II1225" s="1"/>
      <c r="IJ1225" s="1"/>
      <c r="IK1225" s="1"/>
      <c r="IL1225" s="1"/>
      <c r="IM1225" s="1"/>
      <c r="IN1225" s="1"/>
      <c r="IO1225" s="1"/>
      <c r="IP1225" s="1"/>
      <c r="IQ1225" s="1"/>
      <c r="IR1225" s="1"/>
      <c r="IS1225" s="1"/>
      <c r="IT1225" s="1"/>
      <c r="IU1225" s="1"/>
      <c r="IV1225" s="1"/>
      <c r="IW1225" s="1"/>
      <c r="IX1225" s="1"/>
      <c r="IY1225" s="1"/>
      <c r="IZ1225" s="1"/>
      <c r="JA1225" s="1"/>
      <c r="JB1225" s="1"/>
      <c r="JC1225" s="1"/>
      <c r="JD1225" s="1"/>
    </row>
    <row r="1226" s="504" customFormat="true" ht="12.75" hidden="true" customHeight="true" outlineLevel="0" collapsed="false">
      <c r="A1226" s="5"/>
      <c r="B1226" s="813" t="n">
        <f aca="false">B1225+1</f>
        <v>1011</v>
      </c>
      <c r="C1226" s="814" t="n">
        <f aca="false">C1225+D1226</f>
        <v>160410.818658652</v>
      </c>
      <c r="D1226" s="815" t="n">
        <f aca="false">E1226*$E$205*M1226</f>
        <v>238.719140910888</v>
      </c>
      <c r="E1226" s="601" t="n">
        <f aca="false">E1225+$C$204</f>
        <v>15.1394686016545</v>
      </c>
      <c r="F1226" s="816" t="n">
        <f aca="false">F1225+1</f>
        <v>1011</v>
      </c>
      <c r="G1226" s="775" t="n">
        <f aca="false">C1226</f>
        <v>160410.818658652</v>
      </c>
      <c r="H1226" s="817" t="n">
        <f aca="false">1000*(E1226-E1225)</f>
        <v>9.99999999999979</v>
      </c>
      <c r="I1226" s="5"/>
      <c r="J1226" s="818" t="n">
        <f aca="false">1000*(E1226-$E$215)/(B1226-$B$215)</f>
        <v>11.5567456266782</v>
      </c>
      <c r="K1226" s="732" t="n">
        <f aca="false">AVERAGE($E$216:E1226)</f>
        <v>10.0819512920601</v>
      </c>
      <c r="L1226" s="819" t="n">
        <f aca="false">L1225+1</f>
        <v>1011</v>
      </c>
      <c r="M1226" s="820" t="n">
        <f aca="false">IF(B1226&lt;$E$104,$E$105,$E$106)</f>
        <v>3</v>
      </c>
      <c r="N1226" s="821" t="n">
        <f aca="false">IF(B1226&lt;$E$104,$E$105,$E$111)</f>
        <v>2.5</v>
      </c>
      <c r="O1226" s="822" t="n">
        <f aca="false">E1226*$E$205*N1226</f>
        <v>198.93261742574</v>
      </c>
      <c r="P1226" s="823" t="n">
        <f aca="false">P1225+O1226</f>
        <v>133727.36281592</v>
      </c>
      <c r="Q1226" s="606" t="n">
        <f aca="false">Q1225+1</f>
        <v>1011</v>
      </c>
      <c r="R1226" s="824" t="n">
        <f aca="false">R1225-1</f>
        <v>-1011</v>
      </c>
      <c r="S1226" s="5"/>
      <c r="T1226" s="5"/>
      <c r="U1226" s="5"/>
      <c r="V1226" s="10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02"/>
      <c r="AU1226" s="502"/>
      <c r="AV1226" s="606"/>
      <c r="AW1226" s="502"/>
      <c r="AX1226" s="502"/>
      <c r="AY1226" s="502"/>
      <c r="AZ1226" s="502"/>
      <c r="BA1226" s="502"/>
      <c r="BB1226" s="502"/>
      <c r="BC1226" s="502"/>
      <c r="BD1226" s="502"/>
      <c r="BE1226" s="502"/>
      <c r="BF1226" s="502"/>
      <c r="BG1226" s="502"/>
      <c r="BH1226" s="502"/>
      <c r="BI1226" s="502"/>
      <c r="BJ1226" s="502"/>
      <c r="BK1226" s="502"/>
      <c r="BL1226" s="502"/>
      <c r="BM1226" s="502"/>
      <c r="BN1226" s="502"/>
      <c r="BO1226" s="502"/>
      <c r="BP1226" s="5"/>
      <c r="BQ1226" s="5"/>
      <c r="BR1226" s="5"/>
      <c r="BS1226" s="5"/>
      <c r="BT1226" s="5"/>
      <c r="BU1226" s="5"/>
      <c r="BV1226" s="5"/>
      <c r="BW1226" s="5"/>
      <c r="BX1226" s="5"/>
      <c r="BY1226" s="5"/>
      <c r="BZ1226" s="5"/>
      <c r="CA1226" s="5"/>
      <c r="CB1226" s="5"/>
      <c r="CC1226" s="5"/>
      <c r="CD1226" s="5"/>
      <c r="CE1226" s="5"/>
      <c r="CF1226" s="5"/>
      <c r="CG1226" s="5"/>
      <c r="CH1226" s="5"/>
      <c r="CI1226" s="5"/>
      <c r="CJ1226" s="5"/>
      <c r="CK1226" s="5"/>
      <c r="CL1226" s="5"/>
      <c r="CM1226" s="5"/>
      <c r="CN1226" s="5"/>
      <c r="CO1226" s="5"/>
      <c r="CP1226" s="5"/>
      <c r="CQ1226" s="5"/>
      <c r="CR1226" s="5"/>
      <c r="CS1226" s="5"/>
      <c r="CT1226" s="5"/>
      <c r="CU1226" s="5"/>
      <c r="CV1226" s="5"/>
      <c r="CW1226" s="5"/>
      <c r="CX1226" s="5"/>
      <c r="CY1226" s="5"/>
      <c r="CZ1226" s="5"/>
      <c r="DA1226" s="5"/>
      <c r="DB1226" s="5"/>
      <c r="DC1226" s="5"/>
      <c r="DD1226" s="5"/>
      <c r="DE1226" s="5"/>
      <c r="DF1226" s="5"/>
      <c r="DG1226" s="5"/>
      <c r="DH1226" s="5"/>
      <c r="DI1226" s="5"/>
      <c r="DJ1226" s="5"/>
      <c r="DK1226" s="5"/>
      <c r="DL1226" s="5"/>
      <c r="DM1226" s="5"/>
      <c r="DN1226" s="5"/>
      <c r="DO1226" s="5"/>
      <c r="DP1226" s="5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  <c r="GV1226" s="1"/>
      <c r="GW1226" s="1"/>
      <c r="GX1226" s="1"/>
      <c r="GY1226" s="1"/>
      <c r="GZ1226" s="1"/>
      <c r="HA1226" s="1"/>
      <c r="HB1226" s="1"/>
      <c r="HC1226" s="1"/>
      <c r="HD1226" s="1"/>
      <c r="HE1226" s="1"/>
      <c r="HF1226" s="1"/>
      <c r="HG1226" s="1"/>
      <c r="HH1226" s="1"/>
      <c r="HI1226" s="1"/>
      <c r="HJ1226" s="1"/>
      <c r="HK1226" s="1"/>
      <c r="HL1226" s="1"/>
      <c r="HM1226" s="1"/>
      <c r="HN1226" s="1"/>
      <c r="HO1226" s="1"/>
      <c r="HP1226" s="1"/>
      <c r="HQ1226" s="1"/>
      <c r="HR1226" s="1"/>
      <c r="HS1226" s="1"/>
      <c r="HT1226" s="1"/>
      <c r="HU1226" s="1"/>
      <c r="HV1226" s="1"/>
      <c r="HW1226" s="1"/>
      <c r="HX1226" s="1"/>
      <c r="HY1226" s="1"/>
      <c r="HZ1226" s="1"/>
      <c r="IA1226" s="1"/>
      <c r="IB1226" s="1"/>
      <c r="IC1226" s="1"/>
      <c r="ID1226" s="1"/>
      <c r="IE1226" s="1"/>
      <c r="IF1226" s="1"/>
      <c r="IG1226" s="1"/>
      <c r="IH1226" s="1"/>
      <c r="II1226" s="1"/>
      <c r="IJ1226" s="1"/>
      <c r="IK1226" s="1"/>
      <c r="IL1226" s="1"/>
      <c r="IM1226" s="1"/>
      <c r="IN1226" s="1"/>
      <c r="IO1226" s="1"/>
      <c r="IP1226" s="1"/>
      <c r="IQ1226" s="1"/>
      <c r="IR1226" s="1"/>
      <c r="IS1226" s="1"/>
      <c r="IT1226" s="1"/>
      <c r="IU1226" s="1"/>
      <c r="IV1226" s="1"/>
      <c r="IW1226" s="1"/>
      <c r="IX1226" s="1"/>
      <c r="IY1226" s="1"/>
      <c r="IZ1226" s="1"/>
      <c r="JA1226" s="1"/>
      <c r="JB1226" s="1"/>
      <c r="JC1226" s="1"/>
      <c r="JD1226" s="1"/>
    </row>
    <row r="1227" s="504" customFormat="true" ht="12.75" hidden="true" customHeight="true" outlineLevel="0" collapsed="false">
      <c r="A1227" s="5"/>
      <c r="B1227" s="813" t="n">
        <f aca="false">B1226+1</f>
        <v>1012</v>
      </c>
      <c r="C1227" s="814" t="n">
        <f aca="false">C1226+D1227</f>
        <v>160649.695479563</v>
      </c>
      <c r="D1227" s="815" t="n">
        <f aca="false">E1227*$E$205*M1227</f>
        <v>238.876820910888</v>
      </c>
      <c r="E1227" s="601" t="n">
        <f aca="false">E1226+$C$204</f>
        <v>15.1494686016545</v>
      </c>
      <c r="F1227" s="816" t="n">
        <f aca="false">F1226+1</f>
        <v>1012</v>
      </c>
      <c r="G1227" s="775" t="n">
        <f aca="false">C1227</f>
        <v>160649.695479563</v>
      </c>
      <c r="H1227" s="817" t="n">
        <f aca="false">1000*(E1227-E1226)</f>
        <v>9.99999999999979</v>
      </c>
      <c r="I1227" s="5"/>
      <c r="J1227" s="818" t="n">
        <f aca="false">1000*(E1227-$E$215)/(B1227-$B$215)</f>
        <v>11.5552073404858</v>
      </c>
      <c r="K1227" s="732" t="n">
        <f aca="false">AVERAGE($E$216:E1227)</f>
        <v>10.0869587202317</v>
      </c>
      <c r="L1227" s="819" t="n">
        <f aca="false">L1226+1</f>
        <v>1012</v>
      </c>
      <c r="M1227" s="820" t="n">
        <f aca="false">IF(B1227&lt;$E$104,$E$105,$E$106)</f>
        <v>3</v>
      </c>
      <c r="N1227" s="821" t="n">
        <f aca="false">IF(B1227&lt;$E$104,$E$105,$E$111)</f>
        <v>2.5</v>
      </c>
      <c r="O1227" s="822" t="n">
        <f aca="false">E1227*$E$205*N1227</f>
        <v>199.06401742574</v>
      </c>
      <c r="P1227" s="823" t="n">
        <f aca="false">P1226+O1227</f>
        <v>133926.426833345</v>
      </c>
      <c r="Q1227" s="606" t="n">
        <f aca="false">Q1226+1</f>
        <v>1012</v>
      </c>
      <c r="R1227" s="824" t="n">
        <f aca="false">R1226-1</f>
        <v>-1012</v>
      </c>
      <c r="S1227" s="5"/>
      <c r="T1227" s="5"/>
      <c r="U1227" s="5"/>
      <c r="V1227" s="10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02"/>
      <c r="AU1227" s="502"/>
      <c r="AV1227" s="606"/>
      <c r="AW1227" s="502"/>
      <c r="AX1227" s="502"/>
      <c r="AY1227" s="502"/>
      <c r="AZ1227" s="502"/>
      <c r="BA1227" s="502"/>
      <c r="BB1227" s="502"/>
      <c r="BC1227" s="502"/>
      <c r="BD1227" s="502"/>
      <c r="BE1227" s="502"/>
      <c r="BF1227" s="502"/>
      <c r="BG1227" s="502"/>
      <c r="BH1227" s="502"/>
      <c r="BI1227" s="502"/>
      <c r="BJ1227" s="502"/>
      <c r="BK1227" s="502"/>
      <c r="BL1227" s="502"/>
      <c r="BM1227" s="502"/>
      <c r="BN1227" s="502"/>
      <c r="BO1227" s="502"/>
      <c r="BP1227" s="5"/>
      <c r="BQ1227" s="5"/>
      <c r="BR1227" s="5"/>
      <c r="BS1227" s="5"/>
      <c r="BT1227" s="5"/>
      <c r="BU1227" s="5"/>
      <c r="BV1227" s="5"/>
      <c r="BW1227" s="5"/>
      <c r="BX1227" s="5"/>
      <c r="BY1227" s="5"/>
      <c r="BZ1227" s="5"/>
      <c r="CA1227" s="5"/>
      <c r="CB1227" s="5"/>
      <c r="CC1227" s="5"/>
      <c r="CD1227" s="5"/>
      <c r="CE1227" s="5"/>
      <c r="CF1227" s="5"/>
      <c r="CG1227" s="5"/>
      <c r="CH1227" s="5"/>
      <c r="CI1227" s="5"/>
      <c r="CJ1227" s="5"/>
      <c r="CK1227" s="5"/>
      <c r="CL1227" s="5"/>
      <c r="CM1227" s="5"/>
      <c r="CN1227" s="5"/>
      <c r="CO1227" s="5"/>
      <c r="CP1227" s="5"/>
      <c r="CQ1227" s="5"/>
      <c r="CR1227" s="5"/>
      <c r="CS1227" s="5"/>
      <c r="CT1227" s="5"/>
      <c r="CU1227" s="5"/>
      <c r="CV1227" s="5"/>
      <c r="CW1227" s="5"/>
      <c r="CX1227" s="5"/>
      <c r="CY1227" s="5"/>
      <c r="CZ1227" s="5"/>
      <c r="DA1227" s="5"/>
      <c r="DB1227" s="5"/>
      <c r="DC1227" s="5"/>
      <c r="DD1227" s="5"/>
      <c r="DE1227" s="5"/>
      <c r="DF1227" s="5"/>
      <c r="DG1227" s="5"/>
      <c r="DH1227" s="5"/>
      <c r="DI1227" s="5"/>
      <c r="DJ1227" s="5"/>
      <c r="DK1227" s="5"/>
      <c r="DL1227" s="5"/>
      <c r="DM1227" s="5"/>
      <c r="DN1227" s="5"/>
      <c r="DO1227" s="5"/>
      <c r="DP1227" s="5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  <c r="GV1227" s="1"/>
      <c r="GW1227" s="1"/>
      <c r="GX1227" s="1"/>
      <c r="GY1227" s="1"/>
      <c r="GZ1227" s="1"/>
      <c r="HA1227" s="1"/>
      <c r="HB1227" s="1"/>
      <c r="HC1227" s="1"/>
      <c r="HD1227" s="1"/>
      <c r="HE1227" s="1"/>
      <c r="HF1227" s="1"/>
      <c r="HG1227" s="1"/>
      <c r="HH1227" s="1"/>
      <c r="HI1227" s="1"/>
      <c r="HJ1227" s="1"/>
      <c r="HK1227" s="1"/>
      <c r="HL1227" s="1"/>
      <c r="HM1227" s="1"/>
      <c r="HN1227" s="1"/>
      <c r="HO1227" s="1"/>
      <c r="HP1227" s="1"/>
      <c r="HQ1227" s="1"/>
      <c r="HR1227" s="1"/>
      <c r="HS1227" s="1"/>
      <c r="HT1227" s="1"/>
      <c r="HU1227" s="1"/>
      <c r="HV1227" s="1"/>
      <c r="HW1227" s="1"/>
      <c r="HX1227" s="1"/>
      <c r="HY1227" s="1"/>
      <c r="HZ1227" s="1"/>
      <c r="IA1227" s="1"/>
      <c r="IB1227" s="1"/>
      <c r="IC1227" s="1"/>
      <c r="ID1227" s="1"/>
      <c r="IE1227" s="1"/>
      <c r="IF1227" s="1"/>
      <c r="IG1227" s="1"/>
      <c r="IH1227" s="1"/>
      <c r="II1227" s="1"/>
      <c r="IJ1227" s="1"/>
      <c r="IK1227" s="1"/>
      <c r="IL1227" s="1"/>
      <c r="IM1227" s="1"/>
      <c r="IN1227" s="1"/>
      <c r="IO1227" s="1"/>
      <c r="IP1227" s="1"/>
      <c r="IQ1227" s="1"/>
      <c r="IR1227" s="1"/>
      <c r="IS1227" s="1"/>
      <c r="IT1227" s="1"/>
      <c r="IU1227" s="1"/>
      <c r="IV1227" s="1"/>
      <c r="IW1227" s="1"/>
      <c r="IX1227" s="1"/>
      <c r="IY1227" s="1"/>
      <c r="IZ1227" s="1"/>
      <c r="JA1227" s="1"/>
      <c r="JB1227" s="1"/>
      <c r="JC1227" s="1"/>
      <c r="JD1227" s="1"/>
    </row>
    <row r="1228" s="504" customFormat="true" ht="12.75" hidden="true" customHeight="true" outlineLevel="0" collapsed="false">
      <c r="A1228" s="5"/>
      <c r="B1228" s="813" t="n">
        <f aca="false">B1227+1</f>
        <v>1013</v>
      </c>
      <c r="C1228" s="814" t="n">
        <f aca="false">C1227+D1228</f>
        <v>160888.729980474</v>
      </c>
      <c r="D1228" s="815" t="n">
        <f aca="false">E1228*$E$205*M1228</f>
        <v>239.034500910888</v>
      </c>
      <c r="E1228" s="601" t="n">
        <f aca="false">E1227+$C$204</f>
        <v>15.1594686016545</v>
      </c>
      <c r="F1228" s="816" t="n">
        <f aca="false">F1227+1</f>
        <v>1013</v>
      </c>
      <c r="G1228" s="775" t="n">
        <f aca="false">C1228</f>
        <v>160888.729980474</v>
      </c>
      <c r="H1228" s="817" t="n">
        <f aca="false">1000*(E1228-E1227)</f>
        <v>9.99999999999979</v>
      </c>
      <c r="I1228" s="5"/>
      <c r="J1228" s="818" t="n">
        <f aca="false">1000*(E1228-$E$215)/(B1228-$B$215)</f>
        <v>11.5536720913836</v>
      </c>
      <c r="K1228" s="732" t="n">
        <f aca="false">AVERAGE($E$216:E1228)</f>
        <v>10.0919661337375</v>
      </c>
      <c r="L1228" s="819" t="n">
        <f aca="false">L1227+1</f>
        <v>1013</v>
      </c>
      <c r="M1228" s="820" t="n">
        <f aca="false">IF(B1228&lt;$E$104,$E$105,$E$106)</f>
        <v>3</v>
      </c>
      <c r="N1228" s="821" t="n">
        <f aca="false">IF(B1228&lt;$E$104,$E$105,$E$111)</f>
        <v>2.5</v>
      </c>
      <c r="O1228" s="822" t="n">
        <f aca="false">E1228*$E$205*N1228</f>
        <v>199.19541742574</v>
      </c>
      <c r="P1228" s="823" t="n">
        <f aca="false">P1227+O1228</f>
        <v>134125.622250771</v>
      </c>
      <c r="Q1228" s="606" t="n">
        <f aca="false">Q1227+1</f>
        <v>1013</v>
      </c>
      <c r="R1228" s="824" t="n">
        <f aca="false">R1227-1</f>
        <v>-1013</v>
      </c>
      <c r="S1228" s="5"/>
      <c r="T1228" s="5"/>
      <c r="U1228" s="5"/>
      <c r="V1228" s="10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02"/>
      <c r="AU1228" s="502"/>
      <c r="AV1228" s="606"/>
      <c r="AW1228" s="502"/>
      <c r="AX1228" s="502"/>
      <c r="AY1228" s="502"/>
      <c r="AZ1228" s="502"/>
      <c r="BA1228" s="502"/>
      <c r="BB1228" s="502"/>
      <c r="BC1228" s="502"/>
      <c r="BD1228" s="502"/>
      <c r="BE1228" s="502"/>
      <c r="BF1228" s="502"/>
      <c r="BG1228" s="502"/>
      <c r="BH1228" s="502"/>
      <c r="BI1228" s="502"/>
      <c r="BJ1228" s="502"/>
      <c r="BK1228" s="502"/>
      <c r="BL1228" s="502"/>
      <c r="BM1228" s="502"/>
      <c r="BN1228" s="502"/>
      <c r="BO1228" s="502"/>
      <c r="BP1228" s="5"/>
      <c r="BQ1228" s="5"/>
      <c r="BR1228" s="5"/>
      <c r="BS1228" s="5"/>
      <c r="BT1228" s="5"/>
      <c r="BU1228" s="5"/>
      <c r="BV1228" s="5"/>
      <c r="BW1228" s="5"/>
      <c r="BX1228" s="5"/>
      <c r="BY1228" s="5"/>
      <c r="BZ1228" s="5"/>
      <c r="CA1228" s="5"/>
      <c r="CB1228" s="5"/>
      <c r="CC1228" s="5"/>
      <c r="CD1228" s="5"/>
      <c r="CE1228" s="5"/>
      <c r="CF1228" s="5"/>
      <c r="CG1228" s="5"/>
      <c r="CH1228" s="5"/>
      <c r="CI1228" s="5"/>
      <c r="CJ1228" s="5"/>
      <c r="CK1228" s="5"/>
      <c r="CL1228" s="5"/>
      <c r="CM1228" s="5"/>
      <c r="CN1228" s="5"/>
      <c r="CO1228" s="5"/>
      <c r="CP1228" s="5"/>
      <c r="CQ1228" s="5"/>
      <c r="CR1228" s="5"/>
      <c r="CS1228" s="5"/>
      <c r="CT1228" s="5"/>
      <c r="CU1228" s="5"/>
      <c r="CV1228" s="5"/>
      <c r="CW1228" s="5"/>
      <c r="CX1228" s="5"/>
      <c r="CY1228" s="5"/>
      <c r="CZ1228" s="5"/>
      <c r="DA1228" s="5"/>
      <c r="DB1228" s="5"/>
      <c r="DC1228" s="5"/>
      <c r="DD1228" s="5"/>
      <c r="DE1228" s="5"/>
      <c r="DF1228" s="5"/>
      <c r="DG1228" s="5"/>
      <c r="DH1228" s="5"/>
      <c r="DI1228" s="5"/>
      <c r="DJ1228" s="5"/>
      <c r="DK1228" s="5"/>
      <c r="DL1228" s="5"/>
      <c r="DM1228" s="5"/>
      <c r="DN1228" s="5"/>
      <c r="DO1228" s="5"/>
      <c r="DP1228" s="5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  <c r="GV1228" s="1"/>
      <c r="GW1228" s="1"/>
      <c r="GX1228" s="1"/>
      <c r="GY1228" s="1"/>
      <c r="GZ1228" s="1"/>
      <c r="HA1228" s="1"/>
      <c r="HB1228" s="1"/>
      <c r="HC1228" s="1"/>
      <c r="HD1228" s="1"/>
      <c r="HE1228" s="1"/>
      <c r="HF1228" s="1"/>
      <c r="HG1228" s="1"/>
      <c r="HH1228" s="1"/>
      <c r="HI1228" s="1"/>
      <c r="HJ1228" s="1"/>
      <c r="HK1228" s="1"/>
      <c r="HL1228" s="1"/>
      <c r="HM1228" s="1"/>
      <c r="HN1228" s="1"/>
      <c r="HO1228" s="1"/>
      <c r="HP1228" s="1"/>
      <c r="HQ1228" s="1"/>
      <c r="HR1228" s="1"/>
      <c r="HS1228" s="1"/>
      <c r="HT1228" s="1"/>
      <c r="HU1228" s="1"/>
      <c r="HV1228" s="1"/>
      <c r="HW1228" s="1"/>
      <c r="HX1228" s="1"/>
      <c r="HY1228" s="1"/>
      <c r="HZ1228" s="1"/>
      <c r="IA1228" s="1"/>
      <c r="IB1228" s="1"/>
      <c r="IC1228" s="1"/>
      <c r="ID1228" s="1"/>
      <c r="IE1228" s="1"/>
      <c r="IF1228" s="1"/>
      <c r="IG1228" s="1"/>
      <c r="IH1228" s="1"/>
      <c r="II1228" s="1"/>
      <c r="IJ1228" s="1"/>
      <c r="IK1228" s="1"/>
      <c r="IL1228" s="1"/>
      <c r="IM1228" s="1"/>
      <c r="IN1228" s="1"/>
      <c r="IO1228" s="1"/>
      <c r="IP1228" s="1"/>
      <c r="IQ1228" s="1"/>
      <c r="IR1228" s="1"/>
      <c r="IS1228" s="1"/>
      <c r="IT1228" s="1"/>
      <c r="IU1228" s="1"/>
      <c r="IV1228" s="1"/>
      <c r="IW1228" s="1"/>
      <c r="IX1228" s="1"/>
      <c r="IY1228" s="1"/>
      <c r="IZ1228" s="1"/>
      <c r="JA1228" s="1"/>
      <c r="JB1228" s="1"/>
      <c r="JC1228" s="1"/>
      <c r="JD1228" s="1"/>
    </row>
    <row r="1229" s="504" customFormat="true" ht="12.75" hidden="true" customHeight="true" outlineLevel="0" collapsed="false">
      <c r="A1229" s="5"/>
      <c r="B1229" s="813" t="n">
        <f aca="false">B1228+1</f>
        <v>1014</v>
      </c>
      <c r="C1229" s="814" t="n">
        <f aca="false">C1228+D1229</f>
        <v>161127.922161385</v>
      </c>
      <c r="D1229" s="815" t="n">
        <f aca="false">E1229*$E$205*M1229</f>
        <v>239.192180910888</v>
      </c>
      <c r="E1229" s="601" t="n">
        <f aca="false">E1228+$C$204</f>
        <v>15.1694686016545</v>
      </c>
      <c r="F1229" s="816" t="n">
        <f aca="false">F1228+1</f>
        <v>1014</v>
      </c>
      <c r="G1229" s="775" t="n">
        <f aca="false">C1229</f>
        <v>161127.922161385</v>
      </c>
      <c r="H1229" s="817" t="n">
        <f aca="false">1000*(E1229-E1228)</f>
        <v>9.99999999999979</v>
      </c>
      <c r="I1229" s="5"/>
      <c r="J1229" s="818" t="n">
        <f aca="false">1000*(E1229-$E$215)/(B1229-$B$215)</f>
        <v>11.5521398703862</v>
      </c>
      <c r="K1229" s="732" t="n">
        <f aca="false">AVERAGE($E$216:E1229)</f>
        <v>10.0969735326211</v>
      </c>
      <c r="L1229" s="819" t="n">
        <f aca="false">L1228+1</f>
        <v>1014</v>
      </c>
      <c r="M1229" s="820" t="n">
        <f aca="false">IF(B1229&lt;$E$104,$E$105,$E$106)</f>
        <v>3</v>
      </c>
      <c r="N1229" s="821" t="n">
        <f aca="false">IF(B1229&lt;$E$104,$E$105,$E$111)</f>
        <v>2.5</v>
      </c>
      <c r="O1229" s="822" t="n">
        <f aca="false">E1229*$E$205*N1229</f>
        <v>199.32681742574</v>
      </c>
      <c r="P1229" s="823" t="n">
        <f aca="false">P1228+O1229</f>
        <v>134324.949068197</v>
      </c>
      <c r="Q1229" s="606" t="n">
        <f aca="false">Q1228+1</f>
        <v>1014</v>
      </c>
      <c r="R1229" s="824" t="n">
        <f aca="false">R1228-1</f>
        <v>-1014</v>
      </c>
      <c r="S1229" s="5"/>
      <c r="T1229" s="5"/>
      <c r="U1229" s="5"/>
      <c r="V1229" s="10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02"/>
      <c r="AU1229" s="502"/>
      <c r="AV1229" s="606"/>
      <c r="AW1229" s="502"/>
      <c r="AX1229" s="502"/>
      <c r="AY1229" s="502"/>
      <c r="AZ1229" s="502"/>
      <c r="BA1229" s="502"/>
      <c r="BB1229" s="502"/>
      <c r="BC1229" s="502"/>
      <c r="BD1229" s="502"/>
      <c r="BE1229" s="502"/>
      <c r="BF1229" s="502"/>
      <c r="BG1229" s="502"/>
      <c r="BH1229" s="502"/>
      <c r="BI1229" s="502"/>
      <c r="BJ1229" s="502"/>
      <c r="BK1229" s="502"/>
      <c r="BL1229" s="502"/>
      <c r="BM1229" s="502"/>
      <c r="BN1229" s="502"/>
      <c r="BO1229" s="502"/>
      <c r="BP1229" s="5"/>
      <c r="BQ1229" s="5"/>
      <c r="BR1229" s="5"/>
      <c r="BS1229" s="5"/>
      <c r="BT1229" s="5"/>
      <c r="BU1229" s="5"/>
      <c r="BV1229" s="5"/>
      <c r="BW1229" s="5"/>
      <c r="BX1229" s="5"/>
      <c r="BY1229" s="5"/>
      <c r="BZ1229" s="5"/>
      <c r="CA1229" s="5"/>
      <c r="CB1229" s="5"/>
      <c r="CC1229" s="5"/>
      <c r="CD1229" s="5"/>
      <c r="CE1229" s="5"/>
      <c r="CF1229" s="5"/>
      <c r="CG1229" s="5"/>
      <c r="CH1229" s="5"/>
      <c r="CI1229" s="5"/>
      <c r="CJ1229" s="5"/>
      <c r="CK1229" s="5"/>
      <c r="CL1229" s="5"/>
      <c r="CM1229" s="5"/>
      <c r="CN1229" s="5"/>
      <c r="CO1229" s="5"/>
      <c r="CP1229" s="5"/>
      <c r="CQ1229" s="5"/>
      <c r="CR1229" s="5"/>
      <c r="CS1229" s="5"/>
      <c r="CT1229" s="5"/>
      <c r="CU1229" s="5"/>
      <c r="CV1229" s="5"/>
      <c r="CW1229" s="5"/>
      <c r="CX1229" s="5"/>
      <c r="CY1229" s="5"/>
      <c r="CZ1229" s="5"/>
      <c r="DA1229" s="5"/>
      <c r="DB1229" s="5"/>
      <c r="DC1229" s="5"/>
      <c r="DD1229" s="5"/>
      <c r="DE1229" s="5"/>
      <c r="DF1229" s="5"/>
      <c r="DG1229" s="5"/>
      <c r="DH1229" s="5"/>
      <c r="DI1229" s="5"/>
      <c r="DJ1229" s="5"/>
      <c r="DK1229" s="5"/>
      <c r="DL1229" s="5"/>
      <c r="DM1229" s="5"/>
      <c r="DN1229" s="5"/>
      <c r="DO1229" s="5"/>
      <c r="DP1229" s="5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  <c r="GV1229" s="1"/>
      <c r="GW1229" s="1"/>
      <c r="GX1229" s="1"/>
      <c r="GY1229" s="1"/>
      <c r="GZ1229" s="1"/>
      <c r="HA1229" s="1"/>
      <c r="HB1229" s="1"/>
      <c r="HC1229" s="1"/>
      <c r="HD1229" s="1"/>
      <c r="HE1229" s="1"/>
      <c r="HF1229" s="1"/>
      <c r="HG1229" s="1"/>
      <c r="HH1229" s="1"/>
      <c r="HI1229" s="1"/>
      <c r="HJ1229" s="1"/>
      <c r="HK1229" s="1"/>
      <c r="HL1229" s="1"/>
      <c r="HM1229" s="1"/>
      <c r="HN1229" s="1"/>
      <c r="HO1229" s="1"/>
      <c r="HP1229" s="1"/>
      <c r="HQ1229" s="1"/>
      <c r="HR1229" s="1"/>
      <c r="HS1229" s="1"/>
      <c r="HT1229" s="1"/>
      <c r="HU1229" s="1"/>
      <c r="HV1229" s="1"/>
      <c r="HW1229" s="1"/>
      <c r="HX1229" s="1"/>
      <c r="HY1229" s="1"/>
      <c r="HZ1229" s="1"/>
      <c r="IA1229" s="1"/>
      <c r="IB1229" s="1"/>
      <c r="IC1229" s="1"/>
      <c r="ID1229" s="1"/>
      <c r="IE1229" s="1"/>
      <c r="IF1229" s="1"/>
      <c r="IG1229" s="1"/>
      <c r="IH1229" s="1"/>
      <c r="II1229" s="1"/>
      <c r="IJ1229" s="1"/>
      <c r="IK1229" s="1"/>
      <c r="IL1229" s="1"/>
      <c r="IM1229" s="1"/>
      <c r="IN1229" s="1"/>
      <c r="IO1229" s="1"/>
      <c r="IP1229" s="1"/>
      <c r="IQ1229" s="1"/>
      <c r="IR1229" s="1"/>
      <c r="IS1229" s="1"/>
      <c r="IT1229" s="1"/>
      <c r="IU1229" s="1"/>
      <c r="IV1229" s="1"/>
      <c r="IW1229" s="1"/>
      <c r="IX1229" s="1"/>
      <c r="IY1229" s="1"/>
      <c r="IZ1229" s="1"/>
      <c r="JA1229" s="1"/>
      <c r="JB1229" s="1"/>
      <c r="JC1229" s="1"/>
      <c r="JD1229" s="1"/>
    </row>
    <row r="1230" s="504" customFormat="true" ht="12.75" hidden="true" customHeight="true" outlineLevel="0" collapsed="false">
      <c r="A1230" s="5"/>
      <c r="B1230" s="813" t="n">
        <f aca="false">B1229+1</f>
        <v>1015</v>
      </c>
      <c r="C1230" s="814" t="n">
        <f aca="false">C1229+D1230</f>
        <v>161367.272022296</v>
      </c>
      <c r="D1230" s="815" t="n">
        <f aca="false">E1230*$E$205*M1230</f>
        <v>239.349860910888</v>
      </c>
      <c r="E1230" s="601" t="n">
        <f aca="false">E1229+$C$204</f>
        <v>15.1794686016545</v>
      </c>
      <c r="F1230" s="816" t="n">
        <f aca="false">F1229+1</f>
        <v>1015</v>
      </c>
      <c r="G1230" s="775" t="n">
        <f aca="false">C1230</f>
        <v>161367.272022296</v>
      </c>
      <c r="H1230" s="817" t="n">
        <f aca="false">1000*(E1230-E1229)</f>
        <v>9.99999999999979</v>
      </c>
      <c r="I1230" s="5"/>
      <c r="J1230" s="818" t="n">
        <f aca="false">1000*(E1230-$E$215)/(B1230-$B$215)</f>
        <v>11.5506106685435</v>
      </c>
      <c r="K1230" s="732" t="n">
        <f aca="false">AVERAGE($E$216:E1230)</f>
        <v>10.1019809169255</v>
      </c>
      <c r="L1230" s="819" t="n">
        <f aca="false">L1229+1</f>
        <v>1015</v>
      </c>
      <c r="M1230" s="820" t="n">
        <f aca="false">IF(B1230&lt;$E$104,$E$105,$E$106)</f>
        <v>3</v>
      </c>
      <c r="N1230" s="821" t="n">
        <f aca="false">IF(B1230&lt;$E$104,$E$105,$E$111)</f>
        <v>2.5</v>
      </c>
      <c r="O1230" s="822" t="n">
        <f aca="false">E1230*$E$205*N1230</f>
        <v>199.45821742574</v>
      </c>
      <c r="P1230" s="823" t="n">
        <f aca="false">P1229+O1230</f>
        <v>134524.407285623</v>
      </c>
      <c r="Q1230" s="606" t="n">
        <f aca="false">Q1229+1</f>
        <v>1015</v>
      </c>
      <c r="R1230" s="824" t="n">
        <f aca="false">R1229-1</f>
        <v>-1015</v>
      </c>
      <c r="S1230" s="5"/>
      <c r="T1230" s="5"/>
      <c r="U1230" s="5"/>
      <c r="V1230" s="10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02"/>
      <c r="AU1230" s="502"/>
      <c r="AV1230" s="606"/>
      <c r="AW1230" s="502"/>
      <c r="AX1230" s="502"/>
      <c r="AY1230" s="502"/>
      <c r="AZ1230" s="502"/>
      <c r="BA1230" s="502"/>
      <c r="BB1230" s="502"/>
      <c r="BC1230" s="502"/>
      <c r="BD1230" s="502"/>
      <c r="BE1230" s="502"/>
      <c r="BF1230" s="502"/>
      <c r="BG1230" s="502"/>
      <c r="BH1230" s="502"/>
      <c r="BI1230" s="502"/>
      <c r="BJ1230" s="502"/>
      <c r="BK1230" s="502"/>
      <c r="BL1230" s="502"/>
      <c r="BM1230" s="502"/>
      <c r="BN1230" s="502"/>
      <c r="BO1230" s="502"/>
      <c r="BP1230" s="5"/>
      <c r="BQ1230" s="5"/>
      <c r="BR1230" s="5"/>
      <c r="BS1230" s="5"/>
      <c r="BT1230" s="5"/>
      <c r="BU1230" s="5"/>
      <c r="BV1230" s="5"/>
      <c r="BW1230" s="5"/>
      <c r="BX1230" s="5"/>
      <c r="BY1230" s="5"/>
      <c r="BZ1230" s="5"/>
      <c r="CA1230" s="5"/>
      <c r="CB1230" s="5"/>
      <c r="CC1230" s="5"/>
      <c r="CD1230" s="5"/>
      <c r="CE1230" s="5"/>
      <c r="CF1230" s="5"/>
      <c r="CG1230" s="5"/>
      <c r="CH1230" s="5"/>
      <c r="CI1230" s="5"/>
      <c r="CJ1230" s="5"/>
      <c r="CK1230" s="5"/>
      <c r="CL1230" s="5"/>
      <c r="CM1230" s="5"/>
      <c r="CN1230" s="5"/>
      <c r="CO1230" s="5"/>
      <c r="CP1230" s="5"/>
      <c r="CQ1230" s="5"/>
      <c r="CR1230" s="5"/>
      <c r="CS1230" s="5"/>
      <c r="CT1230" s="5"/>
      <c r="CU1230" s="5"/>
      <c r="CV1230" s="5"/>
      <c r="CW1230" s="5"/>
      <c r="CX1230" s="5"/>
      <c r="CY1230" s="5"/>
      <c r="CZ1230" s="5"/>
      <c r="DA1230" s="5"/>
      <c r="DB1230" s="5"/>
      <c r="DC1230" s="5"/>
      <c r="DD1230" s="5"/>
      <c r="DE1230" s="5"/>
      <c r="DF1230" s="5"/>
      <c r="DG1230" s="5"/>
      <c r="DH1230" s="5"/>
      <c r="DI1230" s="5"/>
      <c r="DJ1230" s="5"/>
      <c r="DK1230" s="5"/>
      <c r="DL1230" s="5"/>
      <c r="DM1230" s="5"/>
      <c r="DN1230" s="5"/>
      <c r="DO1230" s="5"/>
      <c r="DP1230" s="5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  <c r="GV1230" s="1"/>
      <c r="GW1230" s="1"/>
      <c r="GX1230" s="1"/>
      <c r="GY1230" s="1"/>
      <c r="GZ1230" s="1"/>
      <c r="HA1230" s="1"/>
      <c r="HB1230" s="1"/>
      <c r="HC1230" s="1"/>
      <c r="HD1230" s="1"/>
      <c r="HE1230" s="1"/>
      <c r="HF1230" s="1"/>
      <c r="HG1230" s="1"/>
      <c r="HH1230" s="1"/>
      <c r="HI1230" s="1"/>
      <c r="HJ1230" s="1"/>
      <c r="HK1230" s="1"/>
      <c r="HL1230" s="1"/>
      <c r="HM1230" s="1"/>
      <c r="HN1230" s="1"/>
      <c r="HO1230" s="1"/>
      <c r="HP1230" s="1"/>
      <c r="HQ1230" s="1"/>
      <c r="HR1230" s="1"/>
      <c r="HS1230" s="1"/>
      <c r="HT1230" s="1"/>
      <c r="HU1230" s="1"/>
      <c r="HV1230" s="1"/>
      <c r="HW1230" s="1"/>
      <c r="HX1230" s="1"/>
      <c r="HY1230" s="1"/>
      <c r="HZ1230" s="1"/>
      <c r="IA1230" s="1"/>
      <c r="IB1230" s="1"/>
      <c r="IC1230" s="1"/>
      <c r="ID1230" s="1"/>
      <c r="IE1230" s="1"/>
      <c r="IF1230" s="1"/>
      <c r="IG1230" s="1"/>
      <c r="IH1230" s="1"/>
      <c r="II1230" s="1"/>
      <c r="IJ1230" s="1"/>
      <c r="IK1230" s="1"/>
      <c r="IL1230" s="1"/>
      <c r="IM1230" s="1"/>
      <c r="IN1230" s="1"/>
      <c r="IO1230" s="1"/>
      <c r="IP1230" s="1"/>
      <c r="IQ1230" s="1"/>
      <c r="IR1230" s="1"/>
      <c r="IS1230" s="1"/>
      <c r="IT1230" s="1"/>
      <c r="IU1230" s="1"/>
      <c r="IV1230" s="1"/>
      <c r="IW1230" s="1"/>
      <c r="IX1230" s="1"/>
      <c r="IY1230" s="1"/>
      <c r="IZ1230" s="1"/>
      <c r="JA1230" s="1"/>
      <c r="JB1230" s="1"/>
      <c r="JC1230" s="1"/>
      <c r="JD1230" s="1"/>
    </row>
    <row r="1231" s="504" customFormat="true" ht="12.75" hidden="true" customHeight="true" outlineLevel="0" collapsed="false">
      <c r="A1231" s="5"/>
      <c r="B1231" s="813" t="n">
        <f aca="false">B1230+1</f>
        <v>1016</v>
      </c>
      <c r="C1231" s="814" t="n">
        <f aca="false">C1230+D1231</f>
        <v>161606.779563207</v>
      </c>
      <c r="D1231" s="815" t="n">
        <f aca="false">E1231*$E$205*M1231</f>
        <v>239.507540910888</v>
      </c>
      <c r="E1231" s="601" t="n">
        <f aca="false">E1230+$C$204</f>
        <v>15.1894686016545</v>
      </c>
      <c r="F1231" s="816" t="n">
        <f aca="false">F1230+1</f>
        <v>1016</v>
      </c>
      <c r="G1231" s="775" t="n">
        <f aca="false">C1231</f>
        <v>161606.779563207</v>
      </c>
      <c r="H1231" s="817" t="n">
        <f aca="false">1000*(E1231-E1230)</f>
        <v>9.99999999999979</v>
      </c>
      <c r="I1231" s="5"/>
      <c r="J1231" s="818" t="n">
        <f aca="false">1000*(E1231-$E$215)/(B1231-$B$215)</f>
        <v>11.5490844769406</v>
      </c>
      <c r="K1231" s="732" t="n">
        <f aca="false">AVERAGE($E$216:E1231)</f>
        <v>10.106988286694</v>
      </c>
      <c r="L1231" s="819" t="n">
        <f aca="false">L1230+1</f>
        <v>1016</v>
      </c>
      <c r="M1231" s="820" t="n">
        <f aca="false">IF(B1231&lt;$E$104,$E$105,$E$106)</f>
        <v>3</v>
      </c>
      <c r="N1231" s="821" t="n">
        <f aca="false">IF(B1231&lt;$E$104,$E$105,$E$111)</f>
        <v>2.5</v>
      </c>
      <c r="O1231" s="822" t="n">
        <f aca="false">E1231*$E$205*N1231</f>
        <v>199.58961742574</v>
      </c>
      <c r="P1231" s="823" t="n">
        <f aca="false">P1230+O1231</f>
        <v>134723.996903048</v>
      </c>
      <c r="Q1231" s="606" t="n">
        <f aca="false">Q1230+1</f>
        <v>1016</v>
      </c>
      <c r="R1231" s="824" t="n">
        <f aca="false">R1230-1</f>
        <v>-1016</v>
      </c>
      <c r="S1231" s="5"/>
      <c r="T1231" s="5"/>
      <c r="U1231" s="5"/>
      <c r="V1231" s="10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02"/>
      <c r="AU1231" s="502"/>
      <c r="AV1231" s="606"/>
      <c r="AW1231" s="502"/>
      <c r="AX1231" s="502"/>
      <c r="AY1231" s="502"/>
      <c r="AZ1231" s="502"/>
      <c r="BA1231" s="502"/>
      <c r="BB1231" s="502"/>
      <c r="BC1231" s="502"/>
      <c r="BD1231" s="502"/>
      <c r="BE1231" s="502"/>
      <c r="BF1231" s="502"/>
      <c r="BG1231" s="502"/>
      <c r="BH1231" s="502"/>
      <c r="BI1231" s="502"/>
      <c r="BJ1231" s="502"/>
      <c r="BK1231" s="502"/>
      <c r="BL1231" s="502"/>
      <c r="BM1231" s="502"/>
      <c r="BN1231" s="502"/>
      <c r="BO1231" s="502"/>
      <c r="BP1231" s="5"/>
      <c r="BQ1231" s="5"/>
      <c r="BR1231" s="5"/>
      <c r="BS1231" s="5"/>
      <c r="BT1231" s="5"/>
      <c r="BU1231" s="5"/>
      <c r="BV1231" s="5"/>
      <c r="BW1231" s="5"/>
      <c r="BX1231" s="5"/>
      <c r="BY1231" s="5"/>
      <c r="BZ1231" s="5"/>
      <c r="CA1231" s="5"/>
      <c r="CB1231" s="5"/>
      <c r="CC1231" s="5"/>
      <c r="CD1231" s="5"/>
      <c r="CE1231" s="5"/>
      <c r="CF1231" s="5"/>
      <c r="CG1231" s="5"/>
      <c r="CH1231" s="5"/>
      <c r="CI1231" s="5"/>
      <c r="CJ1231" s="5"/>
      <c r="CK1231" s="5"/>
      <c r="CL1231" s="5"/>
      <c r="CM1231" s="5"/>
      <c r="CN1231" s="5"/>
      <c r="CO1231" s="5"/>
      <c r="CP1231" s="5"/>
      <c r="CQ1231" s="5"/>
      <c r="CR1231" s="5"/>
      <c r="CS1231" s="5"/>
      <c r="CT1231" s="5"/>
      <c r="CU1231" s="5"/>
      <c r="CV1231" s="5"/>
      <c r="CW1231" s="5"/>
      <c r="CX1231" s="5"/>
      <c r="CY1231" s="5"/>
      <c r="CZ1231" s="5"/>
      <c r="DA1231" s="5"/>
      <c r="DB1231" s="5"/>
      <c r="DC1231" s="5"/>
      <c r="DD1231" s="5"/>
      <c r="DE1231" s="5"/>
      <c r="DF1231" s="5"/>
      <c r="DG1231" s="5"/>
      <c r="DH1231" s="5"/>
      <c r="DI1231" s="5"/>
      <c r="DJ1231" s="5"/>
      <c r="DK1231" s="5"/>
      <c r="DL1231" s="5"/>
      <c r="DM1231" s="5"/>
      <c r="DN1231" s="5"/>
      <c r="DO1231" s="5"/>
      <c r="DP1231" s="5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  <c r="GV1231" s="1"/>
      <c r="GW1231" s="1"/>
      <c r="GX1231" s="1"/>
      <c r="GY1231" s="1"/>
      <c r="GZ1231" s="1"/>
      <c r="HA1231" s="1"/>
      <c r="HB1231" s="1"/>
      <c r="HC1231" s="1"/>
      <c r="HD1231" s="1"/>
      <c r="HE1231" s="1"/>
      <c r="HF1231" s="1"/>
      <c r="HG1231" s="1"/>
      <c r="HH1231" s="1"/>
      <c r="HI1231" s="1"/>
      <c r="HJ1231" s="1"/>
      <c r="HK1231" s="1"/>
      <c r="HL1231" s="1"/>
      <c r="HM1231" s="1"/>
      <c r="HN1231" s="1"/>
      <c r="HO1231" s="1"/>
      <c r="HP1231" s="1"/>
      <c r="HQ1231" s="1"/>
      <c r="HR1231" s="1"/>
      <c r="HS1231" s="1"/>
      <c r="HT1231" s="1"/>
      <c r="HU1231" s="1"/>
      <c r="HV1231" s="1"/>
      <c r="HW1231" s="1"/>
      <c r="HX1231" s="1"/>
      <c r="HY1231" s="1"/>
      <c r="HZ1231" s="1"/>
      <c r="IA1231" s="1"/>
      <c r="IB1231" s="1"/>
      <c r="IC1231" s="1"/>
      <c r="ID1231" s="1"/>
      <c r="IE1231" s="1"/>
      <c r="IF1231" s="1"/>
      <c r="IG1231" s="1"/>
      <c r="IH1231" s="1"/>
      <c r="II1231" s="1"/>
      <c r="IJ1231" s="1"/>
      <c r="IK1231" s="1"/>
      <c r="IL1231" s="1"/>
      <c r="IM1231" s="1"/>
      <c r="IN1231" s="1"/>
      <c r="IO1231" s="1"/>
      <c r="IP1231" s="1"/>
      <c r="IQ1231" s="1"/>
      <c r="IR1231" s="1"/>
      <c r="IS1231" s="1"/>
      <c r="IT1231" s="1"/>
      <c r="IU1231" s="1"/>
      <c r="IV1231" s="1"/>
      <c r="IW1231" s="1"/>
      <c r="IX1231" s="1"/>
      <c r="IY1231" s="1"/>
      <c r="IZ1231" s="1"/>
      <c r="JA1231" s="1"/>
      <c r="JB1231" s="1"/>
      <c r="JC1231" s="1"/>
      <c r="JD1231" s="1"/>
    </row>
    <row r="1232" s="504" customFormat="true" ht="12.75" hidden="true" customHeight="true" outlineLevel="0" collapsed="false">
      <c r="A1232" s="5"/>
      <c r="B1232" s="813" t="n">
        <f aca="false">B1231+1</f>
        <v>1017</v>
      </c>
      <c r="C1232" s="814" t="n">
        <f aca="false">C1231+D1232</f>
        <v>161846.444784117</v>
      </c>
      <c r="D1232" s="815" t="n">
        <f aca="false">E1232*$E$205*M1232</f>
        <v>239.665220910888</v>
      </c>
      <c r="E1232" s="601" t="n">
        <f aca="false">E1231+$C$204</f>
        <v>15.1994686016545</v>
      </c>
      <c r="F1232" s="816" t="n">
        <f aca="false">F1231+1</f>
        <v>1017</v>
      </c>
      <c r="G1232" s="775" t="n">
        <f aca="false">C1232</f>
        <v>161846.444784117</v>
      </c>
      <c r="H1232" s="817" t="n">
        <f aca="false">1000*(E1232-E1231)</f>
        <v>9.99999999999979</v>
      </c>
      <c r="I1232" s="5"/>
      <c r="J1232" s="818" t="n">
        <f aca="false">1000*(E1232-$E$215)/(B1232-$B$215)</f>
        <v>11.5475612866978</v>
      </c>
      <c r="K1232" s="732" t="n">
        <f aca="false">AVERAGE($E$216:E1232)</f>
        <v>10.1119956419692</v>
      </c>
      <c r="L1232" s="819" t="n">
        <f aca="false">L1231+1</f>
        <v>1017</v>
      </c>
      <c r="M1232" s="820" t="n">
        <f aca="false">IF(B1232&lt;$E$104,$E$105,$E$106)</f>
        <v>3</v>
      </c>
      <c r="N1232" s="821" t="n">
        <f aca="false">IF(B1232&lt;$E$104,$E$105,$E$111)</f>
        <v>2.5</v>
      </c>
      <c r="O1232" s="822" t="n">
        <f aca="false">E1232*$E$205*N1232</f>
        <v>199.72101742574</v>
      </c>
      <c r="P1232" s="823" t="n">
        <f aca="false">P1231+O1232</f>
        <v>134923.717920474</v>
      </c>
      <c r="Q1232" s="606" t="n">
        <f aca="false">Q1231+1</f>
        <v>1017</v>
      </c>
      <c r="R1232" s="824" t="n">
        <f aca="false">R1231-1</f>
        <v>-1017</v>
      </c>
      <c r="S1232" s="5"/>
      <c r="T1232" s="5"/>
      <c r="U1232" s="5"/>
      <c r="V1232" s="10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02"/>
      <c r="AU1232" s="502"/>
      <c r="AV1232" s="606"/>
      <c r="AW1232" s="502"/>
      <c r="AX1232" s="502"/>
      <c r="AY1232" s="502"/>
      <c r="AZ1232" s="502"/>
      <c r="BA1232" s="502"/>
      <c r="BB1232" s="502"/>
      <c r="BC1232" s="502"/>
      <c r="BD1232" s="502"/>
      <c r="BE1232" s="502"/>
      <c r="BF1232" s="502"/>
      <c r="BG1232" s="502"/>
      <c r="BH1232" s="502"/>
      <c r="BI1232" s="502"/>
      <c r="BJ1232" s="502"/>
      <c r="BK1232" s="502"/>
      <c r="BL1232" s="502"/>
      <c r="BM1232" s="502"/>
      <c r="BN1232" s="502"/>
      <c r="BO1232" s="502"/>
      <c r="BP1232" s="5"/>
      <c r="BQ1232" s="5"/>
      <c r="BR1232" s="5"/>
      <c r="BS1232" s="5"/>
      <c r="BT1232" s="5"/>
      <c r="BU1232" s="5"/>
      <c r="BV1232" s="5"/>
      <c r="BW1232" s="5"/>
      <c r="BX1232" s="5"/>
      <c r="BY1232" s="5"/>
      <c r="BZ1232" s="5"/>
      <c r="CA1232" s="5"/>
      <c r="CB1232" s="5"/>
      <c r="CC1232" s="5"/>
      <c r="CD1232" s="5"/>
      <c r="CE1232" s="5"/>
      <c r="CF1232" s="5"/>
      <c r="CG1232" s="5"/>
      <c r="CH1232" s="5"/>
      <c r="CI1232" s="5"/>
      <c r="CJ1232" s="5"/>
      <c r="CK1232" s="5"/>
      <c r="CL1232" s="5"/>
      <c r="CM1232" s="5"/>
      <c r="CN1232" s="5"/>
      <c r="CO1232" s="5"/>
      <c r="CP1232" s="5"/>
      <c r="CQ1232" s="5"/>
      <c r="CR1232" s="5"/>
      <c r="CS1232" s="5"/>
      <c r="CT1232" s="5"/>
      <c r="CU1232" s="5"/>
      <c r="CV1232" s="5"/>
      <c r="CW1232" s="5"/>
      <c r="CX1232" s="5"/>
      <c r="CY1232" s="5"/>
      <c r="CZ1232" s="5"/>
      <c r="DA1232" s="5"/>
      <c r="DB1232" s="5"/>
      <c r="DC1232" s="5"/>
      <c r="DD1232" s="5"/>
      <c r="DE1232" s="5"/>
      <c r="DF1232" s="5"/>
      <c r="DG1232" s="5"/>
      <c r="DH1232" s="5"/>
      <c r="DI1232" s="5"/>
      <c r="DJ1232" s="5"/>
      <c r="DK1232" s="5"/>
      <c r="DL1232" s="5"/>
      <c r="DM1232" s="5"/>
      <c r="DN1232" s="5"/>
      <c r="DO1232" s="5"/>
      <c r="DP1232" s="5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  <c r="GV1232" s="1"/>
      <c r="GW1232" s="1"/>
      <c r="GX1232" s="1"/>
      <c r="GY1232" s="1"/>
      <c r="GZ1232" s="1"/>
      <c r="HA1232" s="1"/>
      <c r="HB1232" s="1"/>
      <c r="HC1232" s="1"/>
      <c r="HD1232" s="1"/>
      <c r="HE1232" s="1"/>
      <c r="HF1232" s="1"/>
      <c r="HG1232" s="1"/>
      <c r="HH1232" s="1"/>
      <c r="HI1232" s="1"/>
      <c r="HJ1232" s="1"/>
      <c r="HK1232" s="1"/>
      <c r="HL1232" s="1"/>
      <c r="HM1232" s="1"/>
      <c r="HN1232" s="1"/>
      <c r="HO1232" s="1"/>
      <c r="HP1232" s="1"/>
      <c r="HQ1232" s="1"/>
      <c r="HR1232" s="1"/>
      <c r="HS1232" s="1"/>
      <c r="HT1232" s="1"/>
      <c r="HU1232" s="1"/>
      <c r="HV1232" s="1"/>
      <c r="HW1232" s="1"/>
      <c r="HX1232" s="1"/>
      <c r="HY1232" s="1"/>
      <c r="HZ1232" s="1"/>
      <c r="IA1232" s="1"/>
      <c r="IB1232" s="1"/>
      <c r="IC1232" s="1"/>
      <c r="ID1232" s="1"/>
      <c r="IE1232" s="1"/>
      <c r="IF1232" s="1"/>
      <c r="IG1232" s="1"/>
      <c r="IH1232" s="1"/>
      <c r="II1232" s="1"/>
      <c r="IJ1232" s="1"/>
      <c r="IK1232" s="1"/>
      <c r="IL1232" s="1"/>
      <c r="IM1232" s="1"/>
      <c r="IN1232" s="1"/>
      <c r="IO1232" s="1"/>
      <c r="IP1232" s="1"/>
      <c r="IQ1232" s="1"/>
      <c r="IR1232" s="1"/>
      <c r="IS1232" s="1"/>
      <c r="IT1232" s="1"/>
      <c r="IU1232" s="1"/>
      <c r="IV1232" s="1"/>
      <c r="IW1232" s="1"/>
      <c r="IX1232" s="1"/>
      <c r="IY1232" s="1"/>
      <c r="IZ1232" s="1"/>
      <c r="JA1232" s="1"/>
      <c r="JB1232" s="1"/>
      <c r="JC1232" s="1"/>
      <c r="JD1232" s="1"/>
    </row>
    <row r="1233" s="504" customFormat="true" ht="12.75" hidden="true" customHeight="true" outlineLevel="0" collapsed="false">
      <c r="A1233" s="5"/>
      <c r="B1233" s="813" t="n">
        <f aca="false">B1232+1</f>
        <v>1018</v>
      </c>
      <c r="C1233" s="814" t="n">
        <f aca="false">C1232+D1233</f>
        <v>162086.267685028</v>
      </c>
      <c r="D1233" s="815" t="n">
        <f aca="false">E1233*$E$205*M1233</f>
        <v>239.822900910888</v>
      </c>
      <c r="E1233" s="601" t="n">
        <f aca="false">E1232+$C$204</f>
        <v>15.2094686016545</v>
      </c>
      <c r="F1233" s="816" t="n">
        <f aca="false">F1232+1</f>
        <v>1018</v>
      </c>
      <c r="G1233" s="775" t="n">
        <f aca="false">C1233</f>
        <v>162086.267685028</v>
      </c>
      <c r="H1233" s="817" t="n">
        <f aca="false">1000*(E1233-E1232)</f>
        <v>9.99999999999979</v>
      </c>
      <c r="I1233" s="5"/>
      <c r="J1233" s="818" t="n">
        <f aca="false">1000*(E1233-$E$215)/(B1233-$B$215)</f>
        <v>11.5460410889702</v>
      </c>
      <c r="K1233" s="732" t="n">
        <f aca="false">AVERAGE($E$216:E1233)</f>
        <v>10.1170029827941</v>
      </c>
      <c r="L1233" s="819" t="n">
        <f aca="false">L1232+1</f>
        <v>1018</v>
      </c>
      <c r="M1233" s="820" t="n">
        <f aca="false">IF(B1233&lt;$E$104,$E$105,$E$106)</f>
        <v>3</v>
      </c>
      <c r="N1233" s="821" t="n">
        <f aca="false">IF(B1233&lt;$E$104,$E$105,$E$111)</f>
        <v>2.5</v>
      </c>
      <c r="O1233" s="822" t="n">
        <f aca="false">E1233*$E$205*N1233</f>
        <v>199.85241742574</v>
      </c>
      <c r="P1233" s="823" t="n">
        <f aca="false">P1232+O1233</f>
        <v>135123.5703379</v>
      </c>
      <c r="Q1233" s="606" t="n">
        <f aca="false">Q1232+1</f>
        <v>1018</v>
      </c>
      <c r="R1233" s="824" t="n">
        <f aca="false">R1232-1</f>
        <v>-1018</v>
      </c>
      <c r="S1233" s="5"/>
      <c r="T1233" s="5"/>
      <c r="U1233" s="5"/>
      <c r="V1233" s="10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02"/>
      <c r="AU1233" s="502"/>
      <c r="AV1233" s="606"/>
      <c r="AW1233" s="502"/>
      <c r="AX1233" s="502"/>
      <c r="AY1233" s="502"/>
      <c r="AZ1233" s="502"/>
      <c r="BA1233" s="502"/>
      <c r="BB1233" s="502"/>
      <c r="BC1233" s="502"/>
      <c r="BD1233" s="502"/>
      <c r="BE1233" s="502"/>
      <c r="BF1233" s="502"/>
      <c r="BG1233" s="502"/>
      <c r="BH1233" s="502"/>
      <c r="BI1233" s="502"/>
      <c r="BJ1233" s="502"/>
      <c r="BK1233" s="502"/>
      <c r="BL1233" s="502"/>
      <c r="BM1233" s="502"/>
      <c r="BN1233" s="502"/>
      <c r="BO1233" s="502"/>
      <c r="BP1233" s="5"/>
      <c r="BQ1233" s="5"/>
      <c r="BR1233" s="5"/>
      <c r="BS1233" s="5"/>
      <c r="BT1233" s="5"/>
      <c r="BU1233" s="5"/>
      <c r="BV1233" s="5"/>
      <c r="BW1233" s="5"/>
      <c r="BX1233" s="5"/>
      <c r="BY1233" s="5"/>
      <c r="BZ1233" s="5"/>
      <c r="CA1233" s="5"/>
      <c r="CB1233" s="5"/>
      <c r="CC1233" s="5"/>
      <c r="CD1233" s="5"/>
      <c r="CE1233" s="5"/>
      <c r="CF1233" s="5"/>
      <c r="CG1233" s="5"/>
      <c r="CH1233" s="5"/>
      <c r="CI1233" s="5"/>
      <c r="CJ1233" s="5"/>
      <c r="CK1233" s="5"/>
      <c r="CL1233" s="5"/>
      <c r="CM1233" s="5"/>
      <c r="CN1233" s="5"/>
      <c r="CO1233" s="5"/>
      <c r="CP1233" s="5"/>
      <c r="CQ1233" s="5"/>
      <c r="CR1233" s="5"/>
      <c r="CS1233" s="5"/>
      <c r="CT1233" s="5"/>
      <c r="CU1233" s="5"/>
      <c r="CV1233" s="5"/>
      <c r="CW1233" s="5"/>
      <c r="CX1233" s="5"/>
      <c r="CY1233" s="5"/>
      <c r="CZ1233" s="5"/>
      <c r="DA1233" s="5"/>
      <c r="DB1233" s="5"/>
      <c r="DC1233" s="5"/>
      <c r="DD1233" s="5"/>
      <c r="DE1233" s="5"/>
      <c r="DF1233" s="5"/>
      <c r="DG1233" s="5"/>
      <c r="DH1233" s="5"/>
      <c r="DI1233" s="5"/>
      <c r="DJ1233" s="5"/>
      <c r="DK1233" s="5"/>
      <c r="DL1233" s="5"/>
      <c r="DM1233" s="5"/>
      <c r="DN1233" s="5"/>
      <c r="DO1233" s="5"/>
      <c r="DP1233" s="5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  <c r="GV1233" s="1"/>
      <c r="GW1233" s="1"/>
      <c r="GX1233" s="1"/>
      <c r="GY1233" s="1"/>
      <c r="GZ1233" s="1"/>
      <c r="HA1233" s="1"/>
      <c r="HB1233" s="1"/>
      <c r="HC1233" s="1"/>
      <c r="HD1233" s="1"/>
      <c r="HE1233" s="1"/>
      <c r="HF1233" s="1"/>
      <c r="HG1233" s="1"/>
      <c r="HH1233" s="1"/>
      <c r="HI1233" s="1"/>
      <c r="HJ1233" s="1"/>
      <c r="HK1233" s="1"/>
      <c r="HL1233" s="1"/>
      <c r="HM1233" s="1"/>
      <c r="HN1233" s="1"/>
      <c r="HO1233" s="1"/>
      <c r="HP1233" s="1"/>
      <c r="HQ1233" s="1"/>
      <c r="HR1233" s="1"/>
      <c r="HS1233" s="1"/>
      <c r="HT1233" s="1"/>
      <c r="HU1233" s="1"/>
      <c r="HV1233" s="1"/>
      <c r="HW1233" s="1"/>
      <c r="HX1233" s="1"/>
      <c r="HY1233" s="1"/>
      <c r="HZ1233" s="1"/>
      <c r="IA1233" s="1"/>
      <c r="IB1233" s="1"/>
      <c r="IC1233" s="1"/>
      <c r="ID1233" s="1"/>
      <c r="IE1233" s="1"/>
      <c r="IF1233" s="1"/>
      <c r="IG1233" s="1"/>
      <c r="IH1233" s="1"/>
      <c r="II1233" s="1"/>
      <c r="IJ1233" s="1"/>
      <c r="IK1233" s="1"/>
      <c r="IL1233" s="1"/>
      <c r="IM1233" s="1"/>
      <c r="IN1233" s="1"/>
      <c r="IO1233" s="1"/>
      <c r="IP1233" s="1"/>
      <c r="IQ1233" s="1"/>
      <c r="IR1233" s="1"/>
      <c r="IS1233" s="1"/>
      <c r="IT1233" s="1"/>
      <c r="IU1233" s="1"/>
      <c r="IV1233" s="1"/>
      <c r="IW1233" s="1"/>
      <c r="IX1233" s="1"/>
      <c r="IY1233" s="1"/>
      <c r="IZ1233" s="1"/>
      <c r="JA1233" s="1"/>
      <c r="JB1233" s="1"/>
      <c r="JC1233" s="1"/>
      <c r="JD1233" s="1"/>
    </row>
    <row r="1234" s="504" customFormat="true" ht="12.75" hidden="true" customHeight="true" outlineLevel="0" collapsed="false">
      <c r="A1234" s="5"/>
      <c r="B1234" s="813" t="n">
        <f aca="false">B1233+1</f>
        <v>1019</v>
      </c>
      <c r="C1234" s="814" t="n">
        <f aca="false">C1233+D1234</f>
        <v>162326.248265939</v>
      </c>
      <c r="D1234" s="815" t="n">
        <f aca="false">E1234*$E$205*M1234</f>
        <v>239.980580910888</v>
      </c>
      <c r="E1234" s="601" t="n">
        <f aca="false">E1233+$C$204</f>
        <v>15.2194686016545</v>
      </c>
      <c r="F1234" s="816" t="n">
        <f aca="false">F1233+1</f>
        <v>1019</v>
      </c>
      <c r="G1234" s="775" t="n">
        <f aca="false">C1234</f>
        <v>162326.248265939</v>
      </c>
      <c r="H1234" s="817" t="n">
        <f aca="false">1000*(E1234-E1233)</f>
        <v>9.99999999999979</v>
      </c>
      <c r="I1234" s="5"/>
      <c r="J1234" s="818" t="n">
        <f aca="false">1000*(E1234-$E$215)/(B1234-$B$215)</f>
        <v>11.5445238749476</v>
      </c>
      <c r="K1234" s="732" t="n">
        <f aca="false">AVERAGE($E$216:E1234)</f>
        <v>10.122010309211</v>
      </c>
      <c r="L1234" s="819" t="n">
        <f aca="false">L1233+1</f>
        <v>1019</v>
      </c>
      <c r="M1234" s="820" t="n">
        <f aca="false">IF(B1234&lt;$E$104,$E$105,$E$106)</f>
        <v>3</v>
      </c>
      <c r="N1234" s="821" t="n">
        <f aca="false">IF(B1234&lt;$E$104,$E$105,$E$111)</f>
        <v>2.5</v>
      </c>
      <c r="O1234" s="822" t="n">
        <f aca="false">E1234*$E$205*N1234</f>
        <v>199.98381742574</v>
      </c>
      <c r="P1234" s="823" t="n">
        <f aca="false">P1233+O1234</f>
        <v>135323.554155326</v>
      </c>
      <c r="Q1234" s="606" t="n">
        <f aca="false">Q1233+1</f>
        <v>1019</v>
      </c>
      <c r="R1234" s="824" t="n">
        <f aca="false">R1233-1</f>
        <v>-1019</v>
      </c>
      <c r="S1234" s="5"/>
      <c r="T1234" s="5"/>
      <c r="U1234" s="5"/>
      <c r="V1234" s="10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02"/>
      <c r="AU1234" s="502"/>
      <c r="AV1234" s="606"/>
      <c r="AW1234" s="502"/>
      <c r="AX1234" s="502"/>
      <c r="AY1234" s="502"/>
      <c r="AZ1234" s="502"/>
      <c r="BA1234" s="502"/>
      <c r="BB1234" s="502"/>
      <c r="BC1234" s="502"/>
      <c r="BD1234" s="502"/>
      <c r="BE1234" s="502"/>
      <c r="BF1234" s="502"/>
      <c r="BG1234" s="502"/>
      <c r="BH1234" s="502"/>
      <c r="BI1234" s="502"/>
      <c r="BJ1234" s="502"/>
      <c r="BK1234" s="502"/>
      <c r="BL1234" s="502"/>
      <c r="BM1234" s="502"/>
      <c r="BN1234" s="502"/>
      <c r="BO1234" s="502"/>
      <c r="BP1234" s="5"/>
      <c r="BQ1234" s="5"/>
      <c r="BR1234" s="5"/>
      <c r="BS1234" s="5"/>
      <c r="BT1234" s="5"/>
      <c r="BU1234" s="5"/>
      <c r="BV1234" s="5"/>
      <c r="BW1234" s="5"/>
      <c r="BX1234" s="5"/>
      <c r="BY1234" s="5"/>
      <c r="BZ1234" s="5"/>
      <c r="CA1234" s="5"/>
      <c r="CB1234" s="5"/>
      <c r="CC1234" s="5"/>
      <c r="CD1234" s="5"/>
      <c r="CE1234" s="5"/>
      <c r="CF1234" s="5"/>
      <c r="CG1234" s="5"/>
      <c r="CH1234" s="5"/>
      <c r="CI1234" s="5"/>
      <c r="CJ1234" s="5"/>
      <c r="CK1234" s="5"/>
      <c r="CL1234" s="5"/>
      <c r="CM1234" s="5"/>
      <c r="CN1234" s="5"/>
      <c r="CO1234" s="5"/>
      <c r="CP1234" s="5"/>
      <c r="CQ1234" s="5"/>
      <c r="CR1234" s="5"/>
      <c r="CS1234" s="5"/>
      <c r="CT1234" s="5"/>
      <c r="CU1234" s="5"/>
      <c r="CV1234" s="5"/>
      <c r="CW1234" s="5"/>
      <c r="CX1234" s="5"/>
      <c r="CY1234" s="5"/>
      <c r="CZ1234" s="5"/>
      <c r="DA1234" s="5"/>
      <c r="DB1234" s="5"/>
      <c r="DC1234" s="5"/>
      <c r="DD1234" s="5"/>
      <c r="DE1234" s="5"/>
      <c r="DF1234" s="5"/>
      <c r="DG1234" s="5"/>
      <c r="DH1234" s="5"/>
      <c r="DI1234" s="5"/>
      <c r="DJ1234" s="5"/>
      <c r="DK1234" s="5"/>
      <c r="DL1234" s="5"/>
      <c r="DM1234" s="5"/>
      <c r="DN1234" s="5"/>
      <c r="DO1234" s="5"/>
      <c r="DP1234" s="5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  <c r="GV1234" s="1"/>
      <c r="GW1234" s="1"/>
      <c r="GX1234" s="1"/>
      <c r="GY1234" s="1"/>
      <c r="GZ1234" s="1"/>
      <c r="HA1234" s="1"/>
      <c r="HB1234" s="1"/>
      <c r="HC1234" s="1"/>
      <c r="HD1234" s="1"/>
      <c r="HE1234" s="1"/>
      <c r="HF1234" s="1"/>
      <c r="HG1234" s="1"/>
      <c r="HH1234" s="1"/>
      <c r="HI1234" s="1"/>
      <c r="HJ1234" s="1"/>
      <c r="HK1234" s="1"/>
      <c r="HL1234" s="1"/>
      <c r="HM1234" s="1"/>
      <c r="HN1234" s="1"/>
      <c r="HO1234" s="1"/>
      <c r="HP1234" s="1"/>
      <c r="HQ1234" s="1"/>
      <c r="HR1234" s="1"/>
      <c r="HS1234" s="1"/>
      <c r="HT1234" s="1"/>
      <c r="HU1234" s="1"/>
      <c r="HV1234" s="1"/>
      <c r="HW1234" s="1"/>
      <c r="HX1234" s="1"/>
      <c r="HY1234" s="1"/>
      <c r="HZ1234" s="1"/>
      <c r="IA1234" s="1"/>
      <c r="IB1234" s="1"/>
      <c r="IC1234" s="1"/>
      <c r="ID1234" s="1"/>
      <c r="IE1234" s="1"/>
      <c r="IF1234" s="1"/>
      <c r="IG1234" s="1"/>
      <c r="IH1234" s="1"/>
      <c r="II1234" s="1"/>
      <c r="IJ1234" s="1"/>
      <c r="IK1234" s="1"/>
      <c r="IL1234" s="1"/>
      <c r="IM1234" s="1"/>
      <c r="IN1234" s="1"/>
      <c r="IO1234" s="1"/>
      <c r="IP1234" s="1"/>
      <c r="IQ1234" s="1"/>
      <c r="IR1234" s="1"/>
      <c r="IS1234" s="1"/>
      <c r="IT1234" s="1"/>
      <c r="IU1234" s="1"/>
      <c r="IV1234" s="1"/>
      <c r="IW1234" s="1"/>
      <c r="IX1234" s="1"/>
      <c r="IY1234" s="1"/>
      <c r="IZ1234" s="1"/>
      <c r="JA1234" s="1"/>
      <c r="JB1234" s="1"/>
      <c r="JC1234" s="1"/>
      <c r="JD1234" s="1"/>
    </row>
    <row r="1235" s="504" customFormat="true" ht="12.75" hidden="true" customHeight="true" outlineLevel="0" collapsed="false">
      <c r="A1235" s="5"/>
      <c r="B1235" s="813" t="n">
        <f aca="false">B1234+1</f>
        <v>1020</v>
      </c>
      <c r="C1235" s="814" t="n">
        <f aca="false">C1234+D1235</f>
        <v>162566.38652685</v>
      </c>
      <c r="D1235" s="815" t="n">
        <f aca="false">E1235*$E$205*M1235</f>
        <v>240.138260910888</v>
      </c>
      <c r="E1235" s="601" t="n">
        <f aca="false">E1234+$C$204</f>
        <v>15.2294686016545</v>
      </c>
      <c r="F1235" s="816" t="n">
        <f aca="false">F1234+1</f>
        <v>1020</v>
      </c>
      <c r="G1235" s="775" t="n">
        <f aca="false">C1235</f>
        <v>162566.38652685</v>
      </c>
      <c r="H1235" s="817" t="n">
        <f aca="false">1000*(E1235-E1234)</f>
        <v>9.99999999999979</v>
      </c>
      <c r="I1235" s="5"/>
      <c r="J1235" s="818" t="n">
        <f aca="false">1000*(E1235-$E$215)/(B1235-$B$215)</f>
        <v>11.5430096358545</v>
      </c>
      <c r="K1235" s="732" t="n">
        <f aca="false">AVERAGE($E$216:E1235)</f>
        <v>10.1270176212624</v>
      </c>
      <c r="L1235" s="819" t="n">
        <f aca="false">L1234+1</f>
        <v>1020</v>
      </c>
      <c r="M1235" s="820" t="n">
        <f aca="false">IF(B1235&lt;$E$104,$E$105,$E$106)</f>
        <v>3</v>
      </c>
      <c r="N1235" s="821" t="n">
        <f aca="false">IF(B1235&lt;$E$104,$E$105,$E$111)</f>
        <v>2.5</v>
      </c>
      <c r="O1235" s="822" t="n">
        <f aca="false">E1235*$E$205*N1235</f>
        <v>200.11521742574</v>
      </c>
      <c r="P1235" s="823" t="n">
        <f aca="false">P1234+O1235</f>
        <v>135523.669372751</v>
      </c>
      <c r="Q1235" s="606" t="n">
        <f aca="false">Q1234+1</f>
        <v>1020</v>
      </c>
      <c r="R1235" s="824" t="n">
        <f aca="false">R1234-1</f>
        <v>-1020</v>
      </c>
      <c r="S1235" s="5"/>
      <c r="T1235" s="5"/>
      <c r="U1235" s="5"/>
      <c r="V1235" s="10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02"/>
      <c r="AU1235" s="502"/>
      <c r="AV1235" s="606"/>
      <c r="AW1235" s="502"/>
      <c r="AX1235" s="502"/>
      <c r="AY1235" s="502"/>
      <c r="AZ1235" s="502"/>
      <c r="BA1235" s="502"/>
      <c r="BB1235" s="502"/>
      <c r="BC1235" s="502"/>
      <c r="BD1235" s="502"/>
      <c r="BE1235" s="502"/>
      <c r="BF1235" s="502"/>
      <c r="BG1235" s="502"/>
      <c r="BH1235" s="502"/>
      <c r="BI1235" s="502"/>
      <c r="BJ1235" s="502"/>
      <c r="BK1235" s="502"/>
      <c r="BL1235" s="502"/>
      <c r="BM1235" s="502"/>
      <c r="BN1235" s="502"/>
      <c r="BO1235" s="502"/>
      <c r="BP1235" s="5"/>
      <c r="BQ1235" s="5"/>
      <c r="BR1235" s="5"/>
      <c r="BS1235" s="5"/>
      <c r="BT1235" s="5"/>
      <c r="BU1235" s="5"/>
      <c r="BV1235" s="5"/>
      <c r="BW1235" s="5"/>
      <c r="BX1235" s="5"/>
      <c r="BY1235" s="5"/>
      <c r="BZ1235" s="5"/>
      <c r="CA1235" s="5"/>
      <c r="CB1235" s="5"/>
      <c r="CC1235" s="5"/>
      <c r="CD1235" s="5"/>
      <c r="CE1235" s="5"/>
      <c r="CF1235" s="5"/>
      <c r="CG1235" s="5"/>
      <c r="CH1235" s="5"/>
      <c r="CI1235" s="5"/>
      <c r="CJ1235" s="5"/>
      <c r="CK1235" s="5"/>
      <c r="CL1235" s="5"/>
      <c r="CM1235" s="5"/>
      <c r="CN1235" s="5"/>
      <c r="CO1235" s="5"/>
      <c r="CP1235" s="5"/>
      <c r="CQ1235" s="5"/>
      <c r="CR1235" s="5"/>
      <c r="CS1235" s="5"/>
      <c r="CT1235" s="5"/>
      <c r="CU1235" s="5"/>
      <c r="CV1235" s="5"/>
      <c r="CW1235" s="5"/>
      <c r="CX1235" s="5"/>
      <c r="CY1235" s="5"/>
      <c r="CZ1235" s="5"/>
      <c r="DA1235" s="5"/>
      <c r="DB1235" s="5"/>
      <c r="DC1235" s="5"/>
      <c r="DD1235" s="5"/>
      <c r="DE1235" s="5"/>
      <c r="DF1235" s="5"/>
      <c r="DG1235" s="5"/>
      <c r="DH1235" s="5"/>
      <c r="DI1235" s="5"/>
      <c r="DJ1235" s="5"/>
      <c r="DK1235" s="5"/>
      <c r="DL1235" s="5"/>
      <c r="DM1235" s="5"/>
      <c r="DN1235" s="5"/>
      <c r="DO1235" s="5"/>
      <c r="DP1235" s="5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  <c r="GV1235" s="1"/>
      <c r="GW1235" s="1"/>
      <c r="GX1235" s="1"/>
      <c r="GY1235" s="1"/>
      <c r="GZ1235" s="1"/>
      <c r="HA1235" s="1"/>
      <c r="HB1235" s="1"/>
      <c r="HC1235" s="1"/>
      <c r="HD1235" s="1"/>
      <c r="HE1235" s="1"/>
      <c r="HF1235" s="1"/>
      <c r="HG1235" s="1"/>
      <c r="HH1235" s="1"/>
      <c r="HI1235" s="1"/>
      <c r="HJ1235" s="1"/>
      <c r="HK1235" s="1"/>
      <c r="HL1235" s="1"/>
      <c r="HM1235" s="1"/>
      <c r="HN1235" s="1"/>
      <c r="HO1235" s="1"/>
      <c r="HP1235" s="1"/>
      <c r="HQ1235" s="1"/>
      <c r="HR1235" s="1"/>
      <c r="HS1235" s="1"/>
      <c r="HT1235" s="1"/>
      <c r="HU1235" s="1"/>
      <c r="HV1235" s="1"/>
      <c r="HW1235" s="1"/>
      <c r="HX1235" s="1"/>
      <c r="HY1235" s="1"/>
      <c r="HZ1235" s="1"/>
      <c r="IA1235" s="1"/>
      <c r="IB1235" s="1"/>
      <c r="IC1235" s="1"/>
      <c r="ID1235" s="1"/>
      <c r="IE1235" s="1"/>
      <c r="IF1235" s="1"/>
      <c r="IG1235" s="1"/>
      <c r="IH1235" s="1"/>
      <c r="II1235" s="1"/>
      <c r="IJ1235" s="1"/>
      <c r="IK1235" s="1"/>
      <c r="IL1235" s="1"/>
      <c r="IM1235" s="1"/>
      <c r="IN1235" s="1"/>
      <c r="IO1235" s="1"/>
      <c r="IP1235" s="1"/>
      <c r="IQ1235" s="1"/>
      <c r="IR1235" s="1"/>
      <c r="IS1235" s="1"/>
      <c r="IT1235" s="1"/>
      <c r="IU1235" s="1"/>
      <c r="IV1235" s="1"/>
      <c r="IW1235" s="1"/>
      <c r="IX1235" s="1"/>
      <c r="IY1235" s="1"/>
      <c r="IZ1235" s="1"/>
      <c r="JA1235" s="1"/>
      <c r="JB1235" s="1"/>
      <c r="JC1235" s="1"/>
      <c r="JD1235" s="1"/>
    </row>
    <row r="1236" s="504" customFormat="true" ht="12.75" hidden="true" customHeight="true" outlineLevel="0" collapsed="false">
      <c r="A1236" s="5"/>
      <c r="B1236" s="813" t="n">
        <f aca="false">B1235+1</f>
        <v>1021</v>
      </c>
      <c r="C1236" s="814" t="n">
        <f aca="false">C1235+D1236</f>
        <v>162806.682467761</v>
      </c>
      <c r="D1236" s="815" t="n">
        <f aca="false">E1236*$E$205*M1236</f>
        <v>240.295940910888</v>
      </c>
      <c r="E1236" s="601" t="n">
        <f aca="false">E1235+$C$204</f>
        <v>15.2394686016545</v>
      </c>
      <c r="F1236" s="816" t="n">
        <f aca="false">F1235+1</f>
        <v>1021</v>
      </c>
      <c r="G1236" s="775" t="n">
        <f aca="false">C1236</f>
        <v>162806.682467761</v>
      </c>
      <c r="H1236" s="817" t="n">
        <f aca="false">1000*(E1236-E1235)</f>
        <v>9.99999999999979</v>
      </c>
      <c r="I1236" s="5"/>
      <c r="J1236" s="818" t="n">
        <f aca="false">1000*(E1236-$E$215)/(B1236-$B$215)</f>
        <v>11.5414983629497</v>
      </c>
      <c r="K1236" s="732" t="n">
        <f aca="false">AVERAGE($E$216:E1236)</f>
        <v>10.1320249189905</v>
      </c>
      <c r="L1236" s="819" t="n">
        <f aca="false">L1235+1</f>
        <v>1021</v>
      </c>
      <c r="M1236" s="820" t="n">
        <f aca="false">IF(B1236&lt;$E$104,$E$105,$E$106)</f>
        <v>3</v>
      </c>
      <c r="N1236" s="821" t="n">
        <f aca="false">IF(B1236&lt;$E$104,$E$105,$E$111)</f>
        <v>2.5</v>
      </c>
      <c r="O1236" s="822" t="n">
        <f aca="false">E1236*$E$205*N1236</f>
        <v>200.24661742574</v>
      </c>
      <c r="P1236" s="823" t="n">
        <f aca="false">P1235+O1236</f>
        <v>135723.915990177</v>
      </c>
      <c r="Q1236" s="606" t="n">
        <f aca="false">Q1235+1</f>
        <v>1021</v>
      </c>
      <c r="R1236" s="824" t="n">
        <f aca="false">R1235-1</f>
        <v>-1021</v>
      </c>
      <c r="S1236" s="5"/>
      <c r="T1236" s="5"/>
      <c r="U1236" s="5"/>
      <c r="V1236" s="10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02"/>
      <c r="AU1236" s="502"/>
      <c r="AV1236" s="606"/>
      <c r="AW1236" s="502"/>
      <c r="AX1236" s="502"/>
      <c r="AY1236" s="502"/>
      <c r="AZ1236" s="502"/>
      <c r="BA1236" s="502"/>
      <c r="BB1236" s="502"/>
      <c r="BC1236" s="502"/>
      <c r="BD1236" s="502"/>
      <c r="BE1236" s="502"/>
      <c r="BF1236" s="502"/>
      <c r="BG1236" s="502"/>
      <c r="BH1236" s="502"/>
      <c r="BI1236" s="502"/>
      <c r="BJ1236" s="502"/>
      <c r="BK1236" s="502"/>
      <c r="BL1236" s="502"/>
      <c r="BM1236" s="502"/>
      <c r="BN1236" s="502"/>
      <c r="BO1236" s="502"/>
      <c r="BP1236" s="5"/>
      <c r="BQ1236" s="5"/>
      <c r="BR1236" s="5"/>
      <c r="BS1236" s="5"/>
      <c r="BT1236" s="5"/>
      <c r="BU1236" s="5"/>
      <c r="BV1236" s="5"/>
      <c r="BW1236" s="5"/>
      <c r="BX1236" s="5"/>
      <c r="BY1236" s="5"/>
      <c r="BZ1236" s="5"/>
      <c r="CA1236" s="5"/>
      <c r="CB1236" s="5"/>
      <c r="CC1236" s="5"/>
      <c r="CD1236" s="5"/>
      <c r="CE1236" s="5"/>
      <c r="CF1236" s="5"/>
      <c r="CG1236" s="5"/>
      <c r="CH1236" s="5"/>
      <c r="CI1236" s="5"/>
      <c r="CJ1236" s="5"/>
      <c r="CK1236" s="5"/>
      <c r="CL1236" s="5"/>
      <c r="CM1236" s="5"/>
      <c r="CN1236" s="5"/>
      <c r="CO1236" s="5"/>
      <c r="CP1236" s="5"/>
      <c r="CQ1236" s="5"/>
      <c r="CR1236" s="5"/>
      <c r="CS1236" s="5"/>
      <c r="CT1236" s="5"/>
      <c r="CU1236" s="5"/>
      <c r="CV1236" s="5"/>
      <c r="CW1236" s="5"/>
      <c r="CX1236" s="5"/>
      <c r="CY1236" s="5"/>
      <c r="CZ1236" s="5"/>
      <c r="DA1236" s="5"/>
      <c r="DB1236" s="5"/>
      <c r="DC1236" s="5"/>
      <c r="DD1236" s="5"/>
      <c r="DE1236" s="5"/>
      <c r="DF1236" s="5"/>
      <c r="DG1236" s="5"/>
      <c r="DH1236" s="5"/>
      <c r="DI1236" s="5"/>
      <c r="DJ1236" s="5"/>
      <c r="DK1236" s="5"/>
      <c r="DL1236" s="5"/>
      <c r="DM1236" s="5"/>
      <c r="DN1236" s="5"/>
      <c r="DO1236" s="5"/>
      <c r="DP1236" s="5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  <c r="GV1236" s="1"/>
      <c r="GW1236" s="1"/>
      <c r="GX1236" s="1"/>
      <c r="GY1236" s="1"/>
      <c r="GZ1236" s="1"/>
      <c r="HA1236" s="1"/>
      <c r="HB1236" s="1"/>
      <c r="HC1236" s="1"/>
      <c r="HD1236" s="1"/>
      <c r="HE1236" s="1"/>
      <c r="HF1236" s="1"/>
      <c r="HG1236" s="1"/>
      <c r="HH1236" s="1"/>
      <c r="HI1236" s="1"/>
      <c r="HJ1236" s="1"/>
      <c r="HK1236" s="1"/>
      <c r="HL1236" s="1"/>
      <c r="HM1236" s="1"/>
      <c r="HN1236" s="1"/>
      <c r="HO1236" s="1"/>
      <c r="HP1236" s="1"/>
      <c r="HQ1236" s="1"/>
      <c r="HR1236" s="1"/>
      <c r="HS1236" s="1"/>
      <c r="HT1236" s="1"/>
      <c r="HU1236" s="1"/>
      <c r="HV1236" s="1"/>
      <c r="HW1236" s="1"/>
      <c r="HX1236" s="1"/>
      <c r="HY1236" s="1"/>
      <c r="HZ1236" s="1"/>
      <c r="IA1236" s="1"/>
      <c r="IB1236" s="1"/>
      <c r="IC1236" s="1"/>
      <c r="ID1236" s="1"/>
      <c r="IE1236" s="1"/>
      <c r="IF1236" s="1"/>
      <c r="IG1236" s="1"/>
      <c r="IH1236" s="1"/>
      <c r="II1236" s="1"/>
      <c r="IJ1236" s="1"/>
      <c r="IK1236" s="1"/>
      <c r="IL1236" s="1"/>
      <c r="IM1236" s="1"/>
      <c r="IN1236" s="1"/>
      <c r="IO1236" s="1"/>
      <c r="IP1236" s="1"/>
      <c r="IQ1236" s="1"/>
      <c r="IR1236" s="1"/>
      <c r="IS1236" s="1"/>
      <c r="IT1236" s="1"/>
      <c r="IU1236" s="1"/>
      <c r="IV1236" s="1"/>
      <c r="IW1236" s="1"/>
      <c r="IX1236" s="1"/>
      <c r="IY1236" s="1"/>
      <c r="IZ1236" s="1"/>
      <c r="JA1236" s="1"/>
      <c r="JB1236" s="1"/>
      <c r="JC1236" s="1"/>
      <c r="JD1236" s="1"/>
    </row>
    <row r="1237" s="504" customFormat="true" ht="12.75" hidden="true" customHeight="true" outlineLevel="0" collapsed="false">
      <c r="A1237" s="5"/>
      <c r="B1237" s="813" t="n">
        <f aca="false">B1236+1</f>
        <v>1022</v>
      </c>
      <c r="C1237" s="814" t="n">
        <f aca="false">C1236+D1237</f>
        <v>163047.136088672</v>
      </c>
      <c r="D1237" s="815" t="n">
        <f aca="false">E1237*$E$205*M1237</f>
        <v>240.453620910888</v>
      </c>
      <c r="E1237" s="601" t="n">
        <f aca="false">E1236+$C$204</f>
        <v>15.2494686016545</v>
      </c>
      <c r="F1237" s="816" t="n">
        <f aca="false">F1236+1</f>
        <v>1022</v>
      </c>
      <c r="G1237" s="775" t="n">
        <f aca="false">C1237</f>
        <v>163047.136088672</v>
      </c>
      <c r="H1237" s="817" t="n">
        <f aca="false">1000*(E1237-E1236)</f>
        <v>9.99999999999979</v>
      </c>
      <c r="I1237" s="5"/>
      <c r="J1237" s="818" t="n">
        <f aca="false">1000*(E1237-$E$215)/(B1237-$B$215)</f>
        <v>11.5399900475261</v>
      </c>
      <c r="K1237" s="732" t="n">
        <f aca="false">AVERAGE($E$216:E1237)</f>
        <v>10.1370322024374</v>
      </c>
      <c r="L1237" s="819" t="n">
        <f aca="false">L1236+1</f>
        <v>1022</v>
      </c>
      <c r="M1237" s="820" t="n">
        <f aca="false">IF(B1237&lt;$E$104,$E$105,$E$106)</f>
        <v>3</v>
      </c>
      <c r="N1237" s="821" t="n">
        <f aca="false">IF(B1237&lt;$E$104,$E$105,$E$111)</f>
        <v>2.5</v>
      </c>
      <c r="O1237" s="822" t="n">
        <f aca="false">E1237*$E$205*N1237</f>
        <v>200.37801742574</v>
      </c>
      <c r="P1237" s="823" t="n">
        <f aca="false">P1236+O1237</f>
        <v>135924.294007603</v>
      </c>
      <c r="Q1237" s="606" t="n">
        <f aca="false">Q1236+1</f>
        <v>1022</v>
      </c>
      <c r="R1237" s="824" t="n">
        <f aca="false">R1236-1</f>
        <v>-1022</v>
      </c>
      <c r="S1237" s="5"/>
      <c r="T1237" s="5"/>
      <c r="U1237" s="5"/>
      <c r="V1237" s="10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02"/>
      <c r="AU1237" s="502"/>
      <c r="AV1237" s="606"/>
      <c r="AW1237" s="502"/>
      <c r="AX1237" s="502"/>
      <c r="AY1237" s="502"/>
      <c r="AZ1237" s="502"/>
      <c r="BA1237" s="502"/>
      <c r="BB1237" s="502"/>
      <c r="BC1237" s="502"/>
      <c r="BD1237" s="502"/>
      <c r="BE1237" s="502"/>
      <c r="BF1237" s="502"/>
      <c r="BG1237" s="502"/>
      <c r="BH1237" s="502"/>
      <c r="BI1237" s="502"/>
      <c r="BJ1237" s="502"/>
      <c r="BK1237" s="502"/>
      <c r="BL1237" s="502"/>
      <c r="BM1237" s="502"/>
      <c r="BN1237" s="502"/>
      <c r="BO1237" s="502"/>
      <c r="BP1237" s="5"/>
      <c r="BQ1237" s="5"/>
      <c r="BR1237" s="5"/>
      <c r="BS1237" s="5"/>
      <c r="BT1237" s="5"/>
      <c r="BU1237" s="5"/>
      <c r="BV1237" s="5"/>
      <c r="BW1237" s="5"/>
      <c r="BX1237" s="5"/>
      <c r="BY1237" s="5"/>
      <c r="BZ1237" s="5"/>
      <c r="CA1237" s="5"/>
      <c r="CB1237" s="5"/>
      <c r="CC1237" s="5"/>
      <c r="CD1237" s="5"/>
      <c r="CE1237" s="5"/>
      <c r="CF1237" s="5"/>
      <c r="CG1237" s="5"/>
      <c r="CH1237" s="5"/>
      <c r="CI1237" s="5"/>
      <c r="CJ1237" s="5"/>
      <c r="CK1237" s="5"/>
      <c r="CL1237" s="5"/>
      <c r="CM1237" s="5"/>
      <c r="CN1237" s="5"/>
      <c r="CO1237" s="5"/>
      <c r="CP1237" s="5"/>
      <c r="CQ1237" s="5"/>
      <c r="CR1237" s="5"/>
      <c r="CS1237" s="5"/>
      <c r="CT1237" s="5"/>
      <c r="CU1237" s="5"/>
      <c r="CV1237" s="5"/>
      <c r="CW1237" s="5"/>
      <c r="CX1237" s="5"/>
      <c r="CY1237" s="5"/>
      <c r="CZ1237" s="5"/>
      <c r="DA1237" s="5"/>
      <c r="DB1237" s="5"/>
      <c r="DC1237" s="5"/>
      <c r="DD1237" s="5"/>
      <c r="DE1237" s="5"/>
      <c r="DF1237" s="5"/>
      <c r="DG1237" s="5"/>
      <c r="DH1237" s="5"/>
      <c r="DI1237" s="5"/>
      <c r="DJ1237" s="5"/>
      <c r="DK1237" s="5"/>
      <c r="DL1237" s="5"/>
      <c r="DM1237" s="5"/>
      <c r="DN1237" s="5"/>
      <c r="DO1237" s="5"/>
      <c r="DP1237" s="5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  <c r="GV1237" s="1"/>
      <c r="GW1237" s="1"/>
      <c r="GX1237" s="1"/>
      <c r="GY1237" s="1"/>
      <c r="GZ1237" s="1"/>
      <c r="HA1237" s="1"/>
      <c r="HB1237" s="1"/>
      <c r="HC1237" s="1"/>
      <c r="HD1237" s="1"/>
      <c r="HE1237" s="1"/>
      <c r="HF1237" s="1"/>
      <c r="HG1237" s="1"/>
      <c r="HH1237" s="1"/>
      <c r="HI1237" s="1"/>
      <c r="HJ1237" s="1"/>
      <c r="HK1237" s="1"/>
      <c r="HL1237" s="1"/>
      <c r="HM1237" s="1"/>
      <c r="HN1237" s="1"/>
      <c r="HO1237" s="1"/>
      <c r="HP1237" s="1"/>
      <c r="HQ1237" s="1"/>
      <c r="HR1237" s="1"/>
      <c r="HS1237" s="1"/>
      <c r="HT1237" s="1"/>
      <c r="HU1237" s="1"/>
      <c r="HV1237" s="1"/>
      <c r="HW1237" s="1"/>
      <c r="HX1237" s="1"/>
      <c r="HY1237" s="1"/>
      <c r="HZ1237" s="1"/>
      <c r="IA1237" s="1"/>
      <c r="IB1237" s="1"/>
      <c r="IC1237" s="1"/>
      <c r="ID1237" s="1"/>
      <c r="IE1237" s="1"/>
      <c r="IF1237" s="1"/>
      <c r="IG1237" s="1"/>
      <c r="IH1237" s="1"/>
      <c r="II1237" s="1"/>
      <c r="IJ1237" s="1"/>
      <c r="IK1237" s="1"/>
      <c r="IL1237" s="1"/>
      <c r="IM1237" s="1"/>
      <c r="IN1237" s="1"/>
      <c r="IO1237" s="1"/>
      <c r="IP1237" s="1"/>
      <c r="IQ1237" s="1"/>
      <c r="IR1237" s="1"/>
      <c r="IS1237" s="1"/>
      <c r="IT1237" s="1"/>
      <c r="IU1237" s="1"/>
      <c r="IV1237" s="1"/>
      <c r="IW1237" s="1"/>
      <c r="IX1237" s="1"/>
      <c r="IY1237" s="1"/>
      <c r="IZ1237" s="1"/>
      <c r="JA1237" s="1"/>
      <c r="JB1237" s="1"/>
      <c r="JC1237" s="1"/>
      <c r="JD1237" s="1"/>
    </row>
    <row r="1238" s="504" customFormat="true" ht="12.75" hidden="true" customHeight="true" outlineLevel="0" collapsed="false">
      <c r="A1238" s="5"/>
      <c r="B1238" s="813" t="n">
        <f aca="false">B1237+1</f>
        <v>1023</v>
      </c>
      <c r="C1238" s="814" t="n">
        <f aca="false">C1237+D1238</f>
        <v>163287.747389583</v>
      </c>
      <c r="D1238" s="815" t="n">
        <f aca="false">E1238*$E$205*M1238</f>
        <v>240.611300910888</v>
      </c>
      <c r="E1238" s="601" t="n">
        <f aca="false">E1237+$C$204</f>
        <v>15.2594686016545</v>
      </c>
      <c r="F1238" s="816" t="n">
        <f aca="false">F1237+1</f>
        <v>1023</v>
      </c>
      <c r="G1238" s="775" t="n">
        <f aca="false">C1238</f>
        <v>163287.747389583</v>
      </c>
      <c r="H1238" s="817" t="n">
        <f aca="false">1000*(E1238-E1237)</f>
        <v>9.99999999999979</v>
      </c>
      <c r="I1238" s="5"/>
      <c r="J1238" s="818" t="n">
        <f aca="false">1000*(E1238-$E$215)/(B1238-$B$215)</f>
        <v>11.5384846809107</v>
      </c>
      <c r="K1238" s="732" t="n">
        <f aca="false">AVERAGE($E$216:E1238)</f>
        <v>10.1420394716448</v>
      </c>
      <c r="L1238" s="819" t="n">
        <f aca="false">L1237+1</f>
        <v>1023</v>
      </c>
      <c r="M1238" s="820" t="n">
        <f aca="false">IF(B1238&lt;$E$104,$E$105,$E$106)</f>
        <v>3</v>
      </c>
      <c r="N1238" s="821" t="n">
        <f aca="false">IF(B1238&lt;$E$104,$E$105,$E$111)</f>
        <v>2.5</v>
      </c>
      <c r="O1238" s="822" t="n">
        <f aca="false">E1238*$E$205*N1238</f>
        <v>200.50941742574</v>
      </c>
      <c r="P1238" s="823" t="n">
        <f aca="false">P1237+O1238</f>
        <v>136124.803425029</v>
      </c>
      <c r="Q1238" s="606" t="n">
        <f aca="false">Q1237+1</f>
        <v>1023</v>
      </c>
      <c r="R1238" s="824" t="n">
        <f aca="false">R1237-1</f>
        <v>-1023</v>
      </c>
      <c r="S1238" s="5"/>
      <c r="T1238" s="5"/>
      <c r="U1238" s="5"/>
      <c r="V1238" s="10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02"/>
      <c r="AU1238" s="502"/>
      <c r="AV1238" s="606"/>
      <c r="AW1238" s="502"/>
      <c r="AX1238" s="502"/>
      <c r="AY1238" s="502"/>
      <c r="AZ1238" s="502"/>
      <c r="BA1238" s="502"/>
      <c r="BB1238" s="502"/>
      <c r="BC1238" s="502"/>
      <c r="BD1238" s="502"/>
      <c r="BE1238" s="502"/>
      <c r="BF1238" s="502"/>
      <c r="BG1238" s="502"/>
      <c r="BH1238" s="502"/>
      <c r="BI1238" s="502"/>
      <c r="BJ1238" s="502"/>
      <c r="BK1238" s="502"/>
      <c r="BL1238" s="502"/>
      <c r="BM1238" s="502"/>
      <c r="BN1238" s="502"/>
      <c r="BO1238" s="502"/>
      <c r="BP1238" s="5"/>
      <c r="BQ1238" s="5"/>
      <c r="BR1238" s="5"/>
      <c r="BS1238" s="5"/>
      <c r="BT1238" s="5"/>
      <c r="BU1238" s="5"/>
      <c r="BV1238" s="5"/>
      <c r="BW1238" s="5"/>
      <c r="BX1238" s="5"/>
      <c r="BY1238" s="5"/>
      <c r="BZ1238" s="5"/>
      <c r="CA1238" s="5"/>
      <c r="CB1238" s="5"/>
      <c r="CC1238" s="5"/>
      <c r="CD1238" s="5"/>
      <c r="CE1238" s="5"/>
      <c r="CF1238" s="5"/>
      <c r="CG1238" s="5"/>
      <c r="CH1238" s="5"/>
      <c r="CI1238" s="5"/>
      <c r="CJ1238" s="5"/>
      <c r="CK1238" s="5"/>
      <c r="CL1238" s="5"/>
      <c r="CM1238" s="5"/>
      <c r="CN1238" s="5"/>
      <c r="CO1238" s="5"/>
      <c r="CP1238" s="5"/>
      <c r="CQ1238" s="5"/>
      <c r="CR1238" s="5"/>
      <c r="CS1238" s="5"/>
      <c r="CT1238" s="5"/>
      <c r="CU1238" s="5"/>
      <c r="CV1238" s="5"/>
      <c r="CW1238" s="5"/>
      <c r="CX1238" s="5"/>
      <c r="CY1238" s="5"/>
      <c r="CZ1238" s="5"/>
      <c r="DA1238" s="5"/>
      <c r="DB1238" s="5"/>
      <c r="DC1238" s="5"/>
      <c r="DD1238" s="5"/>
      <c r="DE1238" s="5"/>
      <c r="DF1238" s="5"/>
      <c r="DG1238" s="5"/>
      <c r="DH1238" s="5"/>
      <c r="DI1238" s="5"/>
      <c r="DJ1238" s="5"/>
      <c r="DK1238" s="5"/>
      <c r="DL1238" s="5"/>
      <c r="DM1238" s="5"/>
      <c r="DN1238" s="5"/>
      <c r="DO1238" s="5"/>
      <c r="DP1238" s="5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  <c r="GV1238" s="1"/>
      <c r="GW1238" s="1"/>
      <c r="GX1238" s="1"/>
      <c r="GY1238" s="1"/>
      <c r="GZ1238" s="1"/>
      <c r="HA1238" s="1"/>
      <c r="HB1238" s="1"/>
      <c r="HC1238" s="1"/>
      <c r="HD1238" s="1"/>
      <c r="HE1238" s="1"/>
      <c r="HF1238" s="1"/>
      <c r="HG1238" s="1"/>
      <c r="HH1238" s="1"/>
      <c r="HI1238" s="1"/>
      <c r="HJ1238" s="1"/>
      <c r="HK1238" s="1"/>
      <c r="HL1238" s="1"/>
      <c r="HM1238" s="1"/>
      <c r="HN1238" s="1"/>
      <c r="HO1238" s="1"/>
      <c r="HP1238" s="1"/>
      <c r="HQ1238" s="1"/>
      <c r="HR1238" s="1"/>
      <c r="HS1238" s="1"/>
      <c r="HT1238" s="1"/>
      <c r="HU1238" s="1"/>
      <c r="HV1238" s="1"/>
      <c r="HW1238" s="1"/>
      <c r="HX1238" s="1"/>
      <c r="HY1238" s="1"/>
      <c r="HZ1238" s="1"/>
      <c r="IA1238" s="1"/>
      <c r="IB1238" s="1"/>
      <c r="IC1238" s="1"/>
      <c r="ID1238" s="1"/>
      <c r="IE1238" s="1"/>
      <c r="IF1238" s="1"/>
      <c r="IG1238" s="1"/>
      <c r="IH1238" s="1"/>
      <c r="II1238" s="1"/>
      <c r="IJ1238" s="1"/>
      <c r="IK1238" s="1"/>
      <c r="IL1238" s="1"/>
      <c r="IM1238" s="1"/>
      <c r="IN1238" s="1"/>
      <c r="IO1238" s="1"/>
      <c r="IP1238" s="1"/>
      <c r="IQ1238" s="1"/>
      <c r="IR1238" s="1"/>
      <c r="IS1238" s="1"/>
      <c r="IT1238" s="1"/>
      <c r="IU1238" s="1"/>
      <c r="IV1238" s="1"/>
      <c r="IW1238" s="1"/>
      <c r="IX1238" s="1"/>
      <c r="IY1238" s="1"/>
      <c r="IZ1238" s="1"/>
      <c r="JA1238" s="1"/>
      <c r="JB1238" s="1"/>
      <c r="JC1238" s="1"/>
      <c r="JD1238" s="1"/>
    </row>
    <row r="1239" s="504" customFormat="true" ht="12.75" hidden="true" customHeight="true" outlineLevel="0" collapsed="false">
      <c r="A1239" s="5"/>
      <c r="B1239" s="813" t="n">
        <f aca="false">B1238+1</f>
        <v>1024</v>
      </c>
      <c r="C1239" s="814" t="n">
        <f aca="false">C1238+D1239</f>
        <v>163528.516370494</v>
      </c>
      <c r="D1239" s="815" t="n">
        <f aca="false">E1239*$E$205*M1239</f>
        <v>240.768980910888</v>
      </c>
      <c r="E1239" s="601" t="n">
        <f aca="false">E1238+$C$204</f>
        <v>15.2694686016545</v>
      </c>
      <c r="F1239" s="816" t="n">
        <f aca="false">F1238+1</f>
        <v>1024</v>
      </c>
      <c r="G1239" s="775" t="n">
        <f aca="false">C1239</f>
        <v>163528.516370494</v>
      </c>
      <c r="H1239" s="817" t="n">
        <f aca="false">1000*(E1239-E1238)</f>
        <v>9.99999999999979</v>
      </c>
      <c r="I1239" s="5"/>
      <c r="J1239" s="818" t="n">
        <f aca="false">1000*(E1239-$E$215)/(B1239-$B$215)</f>
        <v>11.5369822544645</v>
      </c>
      <c r="K1239" s="732" t="n">
        <f aca="false">AVERAGE($E$216:E1239)</f>
        <v>10.1470467266546</v>
      </c>
      <c r="L1239" s="819" t="n">
        <f aca="false">L1238+1</f>
        <v>1024</v>
      </c>
      <c r="M1239" s="820" t="n">
        <f aca="false">IF(B1239&lt;$E$104,$E$105,$E$106)</f>
        <v>3</v>
      </c>
      <c r="N1239" s="821" t="n">
        <f aca="false">IF(B1239&lt;$E$104,$E$105,$E$111)</f>
        <v>2.5</v>
      </c>
      <c r="O1239" s="822" t="n">
        <f aca="false">E1239*$E$205*N1239</f>
        <v>200.64081742574</v>
      </c>
      <c r="P1239" s="823" t="n">
        <f aca="false">P1238+O1239</f>
        <v>136325.444242454</v>
      </c>
      <c r="Q1239" s="606" t="n">
        <f aca="false">Q1238+1</f>
        <v>1024</v>
      </c>
      <c r="R1239" s="824" t="n">
        <f aca="false">R1238-1</f>
        <v>-1024</v>
      </c>
      <c r="S1239" s="5"/>
      <c r="T1239" s="5"/>
      <c r="U1239" s="5"/>
      <c r="V1239" s="10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02"/>
      <c r="AU1239" s="502"/>
      <c r="AV1239" s="606"/>
      <c r="AW1239" s="502"/>
      <c r="AX1239" s="502"/>
      <c r="AY1239" s="502"/>
      <c r="AZ1239" s="502"/>
      <c r="BA1239" s="502"/>
      <c r="BB1239" s="502"/>
      <c r="BC1239" s="502"/>
      <c r="BD1239" s="502"/>
      <c r="BE1239" s="502"/>
      <c r="BF1239" s="502"/>
      <c r="BG1239" s="502"/>
      <c r="BH1239" s="502"/>
      <c r="BI1239" s="502"/>
      <c r="BJ1239" s="502"/>
      <c r="BK1239" s="502"/>
      <c r="BL1239" s="502"/>
      <c r="BM1239" s="502"/>
      <c r="BN1239" s="502"/>
      <c r="BO1239" s="502"/>
      <c r="BP1239" s="5"/>
      <c r="BQ1239" s="5"/>
      <c r="BR1239" s="5"/>
      <c r="BS1239" s="5"/>
      <c r="BT1239" s="5"/>
      <c r="BU1239" s="5"/>
      <c r="BV1239" s="5"/>
      <c r="BW1239" s="5"/>
      <c r="BX1239" s="5"/>
      <c r="BY1239" s="5"/>
      <c r="BZ1239" s="5"/>
      <c r="CA1239" s="5"/>
      <c r="CB1239" s="5"/>
      <c r="CC1239" s="5"/>
      <c r="CD1239" s="5"/>
      <c r="CE1239" s="5"/>
      <c r="CF1239" s="5"/>
      <c r="CG1239" s="5"/>
      <c r="CH1239" s="5"/>
      <c r="CI1239" s="5"/>
      <c r="CJ1239" s="5"/>
      <c r="CK1239" s="5"/>
      <c r="CL1239" s="5"/>
      <c r="CM1239" s="5"/>
      <c r="CN1239" s="5"/>
      <c r="CO1239" s="5"/>
      <c r="CP1239" s="5"/>
      <c r="CQ1239" s="5"/>
      <c r="CR1239" s="5"/>
      <c r="CS1239" s="5"/>
      <c r="CT1239" s="5"/>
      <c r="CU1239" s="5"/>
      <c r="CV1239" s="5"/>
      <c r="CW1239" s="5"/>
      <c r="CX1239" s="5"/>
      <c r="CY1239" s="5"/>
      <c r="CZ1239" s="5"/>
      <c r="DA1239" s="5"/>
      <c r="DB1239" s="5"/>
      <c r="DC1239" s="5"/>
      <c r="DD1239" s="5"/>
      <c r="DE1239" s="5"/>
      <c r="DF1239" s="5"/>
      <c r="DG1239" s="5"/>
      <c r="DH1239" s="5"/>
      <c r="DI1239" s="5"/>
      <c r="DJ1239" s="5"/>
      <c r="DK1239" s="5"/>
      <c r="DL1239" s="5"/>
      <c r="DM1239" s="5"/>
      <c r="DN1239" s="5"/>
      <c r="DO1239" s="5"/>
      <c r="DP1239" s="5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  <c r="GV1239" s="1"/>
      <c r="GW1239" s="1"/>
      <c r="GX1239" s="1"/>
      <c r="GY1239" s="1"/>
      <c r="GZ1239" s="1"/>
      <c r="HA1239" s="1"/>
      <c r="HB1239" s="1"/>
      <c r="HC1239" s="1"/>
      <c r="HD1239" s="1"/>
      <c r="HE1239" s="1"/>
      <c r="HF1239" s="1"/>
      <c r="HG1239" s="1"/>
      <c r="HH1239" s="1"/>
      <c r="HI1239" s="1"/>
      <c r="HJ1239" s="1"/>
      <c r="HK1239" s="1"/>
      <c r="HL1239" s="1"/>
      <c r="HM1239" s="1"/>
      <c r="HN1239" s="1"/>
      <c r="HO1239" s="1"/>
      <c r="HP1239" s="1"/>
      <c r="HQ1239" s="1"/>
      <c r="HR1239" s="1"/>
      <c r="HS1239" s="1"/>
      <c r="HT1239" s="1"/>
      <c r="HU1239" s="1"/>
      <c r="HV1239" s="1"/>
      <c r="HW1239" s="1"/>
      <c r="HX1239" s="1"/>
      <c r="HY1239" s="1"/>
      <c r="HZ1239" s="1"/>
      <c r="IA1239" s="1"/>
      <c r="IB1239" s="1"/>
      <c r="IC1239" s="1"/>
      <c r="ID1239" s="1"/>
      <c r="IE1239" s="1"/>
      <c r="IF1239" s="1"/>
      <c r="IG1239" s="1"/>
      <c r="IH1239" s="1"/>
      <c r="II1239" s="1"/>
      <c r="IJ1239" s="1"/>
      <c r="IK1239" s="1"/>
      <c r="IL1239" s="1"/>
      <c r="IM1239" s="1"/>
      <c r="IN1239" s="1"/>
      <c r="IO1239" s="1"/>
      <c r="IP1239" s="1"/>
      <c r="IQ1239" s="1"/>
      <c r="IR1239" s="1"/>
      <c r="IS1239" s="1"/>
      <c r="IT1239" s="1"/>
      <c r="IU1239" s="1"/>
      <c r="IV1239" s="1"/>
      <c r="IW1239" s="1"/>
      <c r="IX1239" s="1"/>
      <c r="IY1239" s="1"/>
      <c r="IZ1239" s="1"/>
      <c r="JA1239" s="1"/>
      <c r="JB1239" s="1"/>
      <c r="JC1239" s="1"/>
      <c r="JD1239" s="1"/>
    </row>
    <row r="1240" s="504" customFormat="true" ht="12.75" hidden="true" customHeight="true" outlineLevel="0" collapsed="false">
      <c r="A1240" s="5"/>
      <c r="B1240" s="813" t="n">
        <f aca="false">B1239+1</f>
        <v>1025</v>
      </c>
      <c r="C1240" s="814" t="n">
        <f aca="false">C1239+D1240</f>
        <v>163769.443031404</v>
      </c>
      <c r="D1240" s="815" t="n">
        <f aca="false">E1240*$E$205*M1240</f>
        <v>240.926660910888</v>
      </c>
      <c r="E1240" s="601" t="n">
        <f aca="false">E1239+$C$204</f>
        <v>15.2794686016545</v>
      </c>
      <c r="F1240" s="816" t="n">
        <f aca="false">F1239+1</f>
        <v>1025</v>
      </c>
      <c r="G1240" s="775" t="n">
        <f aca="false">C1240</f>
        <v>163769.443031404</v>
      </c>
      <c r="H1240" s="817" t="n">
        <f aca="false">1000*(E1240-E1239)</f>
        <v>9.99999999999979</v>
      </c>
      <c r="I1240" s="5"/>
      <c r="J1240" s="818" t="n">
        <f aca="false">1000*(E1240-$E$215)/(B1240-$B$215)</f>
        <v>11.5354827595821</v>
      </c>
      <c r="K1240" s="732" t="n">
        <f aca="false">AVERAGE($E$216:E1240)</f>
        <v>10.1520539675082</v>
      </c>
      <c r="L1240" s="819" t="n">
        <f aca="false">L1239+1</f>
        <v>1025</v>
      </c>
      <c r="M1240" s="820" t="n">
        <f aca="false">IF(B1240&lt;$E$104,$E$105,$E$106)</f>
        <v>3</v>
      </c>
      <c r="N1240" s="821" t="n">
        <f aca="false">IF(B1240&lt;$E$104,$E$105,$E$111)</f>
        <v>2.5</v>
      </c>
      <c r="O1240" s="822" t="n">
        <f aca="false">E1240*$E$205*N1240</f>
        <v>200.77221742574</v>
      </c>
      <c r="P1240" s="823" t="n">
        <f aca="false">P1239+O1240</f>
        <v>136526.21645988</v>
      </c>
      <c r="Q1240" s="606" t="n">
        <f aca="false">Q1239+1</f>
        <v>1025</v>
      </c>
      <c r="R1240" s="824" t="n">
        <f aca="false">R1239-1</f>
        <v>-1025</v>
      </c>
      <c r="S1240" s="5"/>
      <c r="T1240" s="5"/>
      <c r="U1240" s="5"/>
      <c r="V1240" s="10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02"/>
      <c r="AU1240" s="502"/>
      <c r="AV1240" s="606"/>
      <c r="AW1240" s="502"/>
      <c r="AX1240" s="502"/>
      <c r="AY1240" s="502"/>
      <c r="AZ1240" s="502"/>
      <c r="BA1240" s="502"/>
      <c r="BB1240" s="502"/>
      <c r="BC1240" s="502"/>
      <c r="BD1240" s="502"/>
      <c r="BE1240" s="502"/>
      <c r="BF1240" s="502"/>
      <c r="BG1240" s="502"/>
      <c r="BH1240" s="502"/>
      <c r="BI1240" s="502"/>
      <c r="BJ1240" s="502"/>
      <c r="BK1240" s="502"/>
      <c r="BL1240" s="502"/>
      <c r="BM1240" s="502"/>
      <c r="BN1240" s="502"/>
      <c r="BO1240" s="502"/>
      <c r="BP1240" s="5"/>
      <c r="BQ1240" s="5"/>
      <c r="BR1240" s="5"/>
      <c r="BS1240" s="5"/>
      <c r="BT1240" s="5"/>
      <c r="BU1240" s="5"/>
      <c r="BV1240" s="5"/>
      <c r="BW1240" s="5"/>
      <c r="BX1240" s="5"/>
      <c r="BY1240" s="5"/>
      <c r="BZ1240" s="5"/>
      <c r="CA1240" s="5"/>
      <c r="CB1240" s="5"/>
      <c r="CC1240" s="5"/>
      <c r="CD1240" s="5"/>
      <c r="CE1240" s="5"/>
      <c r="CF1240" s="5"/>
      <c r="CG1240" s="5"/>
      <c r="CH1240" s="5"/>
      <c r="CI1240" s="5"/>
      <c r="CJ1240" s="5"/>
      <c r="CK1240" s="5"/>
      <c r="CL1240" s="5"/>
      <c r="CM1240" s="5"/>
      <c r="CN1240" s="5"/>
      <c r="CO1240" s="5"/>
      <c r="CP1240" s="5"/>
      <c r="CQ1240" s="5"/>
      <c r="CR1240" s="5"/>
      <c r="CS1240" s="5"/>
      <c r="CT1240" s="5"/>
      <c r="CU1240" s="5"/>
      <c r="CV1240" s="5"/>
      <c r="CW1240" s="5"/>
      <c r="CX1240" s="5"/>
      <c r="CY1240" s="5"/>
      <c r="CZ1240" s="5"/>
      <c r="DA1240" s="5"/>
      <c r="DB1240" s="5"/>
      <c r="DC1240" s="5"/>
      <c r="DD1240" s="5"/>
      <c r="DE1240" s="5"/>
      <c r="DF1240" s="5"/>
      <c r="DG1240" s="5"/>
      <c r="DH1240" s="5"/>
      <c r="DI1240" s="5"/>
      <c r="DJ1240" s="5"/>
      <c r="DK1240" s="5"/>
      <c r="DL1240" s="5"/>
      <c r="DM1240" s="5"/>
      <c r="DN1240" s="5"/>
      <c r="DO1240" s="5"/>
      <c r="DP1240" s="5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  <c r="GV1240" s="1"/>
      <c r="GW1240" s="1"/>
      <c r="GX1240" s="1"/>
      <c r="GY1240" s="1"/>
      <c r="GZ1240" s="1"/>
      <c r="HA1240" s="1"/>
      <c r="HB1240" s="1"/>
      <c r="HC1240" s="1"/>
      <c r="HD1240" s="1"/>
      <c r="HE1240" s="1"/>
      <c r="HF1240" s="1"/>
      <c r="HG1240" s="1"/>
      <c r="HH1240" s="1"/>
      <c r="HI1240" s="1"/>
      <c r="HJ1240" s="1"/>
      <c r="HK1240" s="1"/>
      <c r="HL1240" s="1"/>
      <c r="HM1240" s="1"/>
      <c r="HN1240" s="1"/>
      <c r="HO1240" s="1"/>
      <c r="HP1240" s="1"/>
      <c r="HQ1240" s="1"/>
      <c r="HR1240" s="1"/>
      <c r="HS1240" s="1"/>
      <c r="HT1240" s="1"/>
      <c r="HU1240" s="1"/>
      <c r="HV1240" s="1"/>
      <c r="HW1240" s="1"/>
      <c r="HX1240" s="1"/>
      <c r="HY1240" s="1"/>
      <c r="HZ1240" s="1"/>
      <c r="IA1240" s="1"/>
      <c r="IB1240" s="1"/>
      <c r="IC1240" s="1"/>
      <c r="ID1240" s="1"/>
      <c r="IE1240" s="1"/>
      <c r="IF1240" s="1"/>
      <c r="IG1240" s="1"/>
      <c r="IH1240" s="1"/>
      <c r="II1240" s="1"/>
      <c r="IJ1240" s="1"/>
      <c r="IK1240" s="1"/>
      <c r="IL1240" s="1"/>
      <c r="IM1240" s="1"/>
      <c r="IN1240" s="1"/>
      <c r="IO1240" s="1"/>
      <c r="IP1240" s="1"/>
      <c r="IQ1240" s="1"/>
      <c r="IR1240" s="1"/>
      <c r="IS1240" s="1"/>
      <c r="IT1240" s="1"/>
      <c r="IU1240" s="1"/>
      <c r="IV1240" s="1"/>
      <c r="IW1240" s="1"/>
      <c r="IX1240" s="1"/>
      <c r="IY1240" s="1"/>
      <c r="IZ1240" s="1"/>
      <c r="JA1240" s="1"/>
      <c r="JB1240" s="1"/>
      <c r="JC1240" s="1"/>
      <c r="JD1240" s="1"/>
    </row>
    <row r="1241" s="504" customFormat="true" ht="12.75" hidden="true" customHeight="true" outlineLevel="0" collapsed="false">
      <c r="A1241" s="5"/>
      <c r="B1241" s="813" t="n">
        <f aca="false">B1240+1</f>
        <v>1026</v>
      </c>
      <c r="C1241" s="814" t="n">
        <f aca="false">C1240+D1241</f>
        <v>164010.527372315</v>
      </c>
      <c r="D1241" s="815" t="n">
        <f aca="false">E1241*$E$205*M1241</f>
        <v>241.084340910888</v>
      </c>
      <c r="E1241" s="601" t="n">
        <f aca="false">E1240+$C$204</f>
        <v>15.2894686016545</v>
      </c>
      <c r="F1241" s="816" t="n">
        <f aca="false">F1240+1</f>
        <v>1026</v>
      </c>
      <c r="G1241" s="775" t="n">
        <f aca="false">C1241</f>
        <v>164010.527372315</v>
      </c>
      <c r="H1241" s="817" t="n">
        <f aca="false">1000*(E1241-E1240)</f>
        <v>9.99999999999979</v>
      </c>
      <c r="I1241" s="5"/>
      <c r="J1241" s="818" t="n">
        <f aca="false">1000*(E1241-$E$215)/(B1241-$B$215)</f>
        <v>11.5339861876916</v>
      </c>
      <c r="K1241" s="732" t="n">
        <f aca="false">AVERAGE($E$216:E1241)</f>
        <v>10.1570611942472</v>
      </c>
      <c r="L1241" s="819" t="n">
        <f aca="false">L1240+1</f>
        <v>1026</v>
      </c>
      <c r="M1241" s="820" t="n">
        <f aca="false">IF(B1241&lt;$E$104,$E$105,$E$106)</f>
        <v>3</v>
      </c>
      <c r="N1241" s="821" t="n">
        <f aca="false">IF(B1241&lt;$E$104,$E$105,$E$111)</f>
        <v>2.5</v>
      </c>
      <c r="O1241" s="822" t="n">
        <f aca="false">E1241*$E$205*N1241</f>
        <v>200.90361742574</v>
      </c>
      <c r="P1241" s="823" t="n">
        <f aca="false">P1240+O1241</f>
        <v>136727.120077306</v>
      </c>
      <c r="Q1241" s="606" t="n">
        <f aca="false">Q1240+1</f>
        <v>1026</v>
      </c>
      <c r="R1241" s="824" t="n">
        <f aca="false">R1240-1</f>
        <v>-1026</v>
      </c>
      <c r="S1241" s="5"/>
      <c r="T1241" s="5"/>
      <c r="U1241" s="5"/>
      <c r="V1241" s="10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02"/>
      <c r="AU1241" s="502"/>
      <c r="AV1241" s="606"/>
      <c r="AW1241" s="502"/>
      <c r="AX1241" s="502"/>
      <c r="AY1241" s="502"/>
      <c r="AZ1241" s="502"/>
      <c r="BA1241" s="502"/>
      <c r="BB1241" s="502"/>
      <c r="BC1241" s="502"/>
      <c r="BD1241" s="502"/>
      <c r="BE1241" s="502"/>
      <c r="BF1241" s="502"/>
      <c r="BG1241" s="502"/>
      <c r="BH1241" s="502"/>
      <c r="BI1241" s="502"/>
      <c r="BJ1241" s="502"/>
      <c r="BK1241" s="502"/>
      <c r="BL1241" s="502"/>
      <c r="BM1241" s="502"/>
      <c r="BN1241" s="502"/>
      <c r="BO1241" s="502"/>
      <c r="BP1241" s="5"/>
      <c r="BQ1241" s="5"/>
      <c r="BR1241" s="5"/>
      <c r="BS1241" s="5"/>
      <c r="BT1241" s="5"/>
      <c r="BU1241" s="5"/>
      <c r="BV1241" s="5"/>
      <c r="BW1241" s="5"/>
      <c r="BX1241" s="5"/>
      <c r="BY1241" s="5"/>
      <c r="BZ1241" s="5"/>
      <c r="CA1241" s="5"/>
      <c r="CB1241" s="5"/>
      <c r="CC1241" s="5"/>
      <c r="CD1241" s="5"/>
      <c r="CE1241" s="5"/>
      <c r="CF1241" s="5"/>
      <c r="CG1241" s="5"/>
      <c r="CH1241" s="5"/>
      <c r="CI1241" s="5"/>
      <c r="CJ1241" s="5"/>
      <c r="CK1241" s="5"/>
      <c r="CL1241" s="5"/>
      <c r="CM1241" s="5"/>
      <c r="CN1241" s="5"/>
      <c r="CO1241" s="5"/>
      <c r="CP1241" s="5"/>
      <c r="CQ1241" s="5"/>
      <c r="CR1241" s="5"/>
      <c r="CS1241" s="5"/>
      <c r="CT1241" s="5"/>
      <c r="CU1241" s="5"/>
      <c r="CV1241" s="5"/>
      <c r="CW1241" s="5"/>
      <c r="CX1241" s="5"/>
      <c r="CY1241" s="5"/>
      <c r="CZ1241" s="5"/>
      <c r="DA1241" s="5"/>
      <c r="DB1241" s="5"/>
      <c r="DC1241" s="5"/>
      <c r="DD1241" s="5"/>
      <c r="DE1241" s="5"/>
      <c r="DF1241" s="5"/>
      <c r="DG1241" s="5"/>
      <c r="DH1241" s="5"/>
      <c r="DI1241" s="5"/>
      <c r="DJ1241" s="5"/>
      <c r="DK1241" s="5"/>
      <c r="DL1241" s="5"/>
      <c r="DM1241" s="5"/>
      <c r="DN1241" s="5"/>
      <c r="DO1241" s="5"/>
      <c r="DP1241" s="5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  <c r="GV1241" s="1"/>
      <c r="GW1241" s="1"/>
      <c r="GX1241" s="1"/>
      <c r="GY1241" s="1"/>
      <c r="GZ1241" s="1"/>
      <c r="HA1241" s="1"/>
      <c r="HB1241" s="1"/>
      <c r="HC1241" s="1"/>
      <c r="HD1241" s="1"/>
      <c r="HE1241" s="1"/>
      <c r="HF1241" s="1"/>
      <c r="HG1241" s="1"/>
      <c r="HH1241" s="1"/>
      <c r="HI1241" s="1"/>
      <c r="HJ1241" s="1"/>
      <c r="HK1241" s="1"/>
      <c r="HL1241" s="1"/>
      <c r="HM1241" s="1"/>
      <c r="HN1241" s="1"/>
      <c r="HO1241" s="1"/>
      <c r="HP1241" s="1"/>
      <c r="HQ1241" s="1"/>
      <c r="HR1241" s="1"/>
      <c r="HS1241" s="1"/>
      <c r="HT1241" s="1"/>
      <c r="HU1241" s="1"/>
      <c r="HV1241" s="1"/>
      <c r="HW1241" s="1"/>
      <c r="HX1241" s="1"/>
      <c r="HY1241" s="1"/>
      <c r="HZ1241" s="1"/>
      <c r="IA1241" s="1"/>
      <c r="IB1241" s="1"/>
      <c r="IC1241" s="1"/>
      <c r="ID1241" s="1"/>
      <c r="IE1241" s="1"/>
      <c r="IF1241" s="1"/>
      <c r="IG1241" s="1"/>
      <c r="IH1241" s="1"/>
      <c r="II1241" s="1"/>
      <c r="IJ1241" s="1"/>
      <c r="IK1241" s="1"/>
      <c r="IL1241" s="1"/>
      <c r="IM1241" s="1"/>
      <c r="IN1241" s="1"/>
      <c r="IO1241" s="1"/>
      <c r="IP1241" s="1"/>
      <c r="IQ1241" s="1"/>
      <c r="IR1241" s="1"/>
      <c r="IS1241" s="1"/>
      <c r="IT1241" s="1"/>
      <c r="IU1241" s="1"/>
      <c r="IV1241" s="1"/>
      <c r="IW1241" s="1"/>
      <c r="IX1241" s="1"/>
      <c r="IY1241" s="1"/>
      <c r="IZ1241" s="1"/>
      <c r="JA1241" s="1"/>
      <c r="JB1241" s="1"/>
      <c r="JC1241" s="1"/>
      <c r="JD1241" s="1"/>
    </row>
    <row r="1242" s="504" customFormat="true" ht="12.75" hidden="true" customHeight="true" outlineLevel="0" collapsed="false">
      <c r="A1242" s="5"/>
      <c r="B1242" s="813" t="n">
        <f aca="false">B1241+1</f>
        <v>1027</v>
      </c>
      <c r="C1242" s="814" t="n">
        <f aca="false">C1241+D1242</f>
        <v>164251.769393226</v>
      </c>
      <c r="D1242" s="815" t="n">
        <f aca="false">E1242*$E$205*M1242</f>
        <v>241.242020910888</v>
      </c>
      <c r="E1242" s="601" t="n">
        <f aca="false">E1241+$C$204</f>
        <v>15.2994686016545</v>
      </c>
      <c r="F1242" s="816" t="n">
        <f aca="false">F1241+1</f>
        <v>1027</v>
      </c>
      <c r="G1242" s="775" t="n">
        <f aca="false">C1242</f>
        <v>164251.769393226</v>
      </c>
      <c r="H1242" s="817" t="n">
        <f aca="false">1000*(E1242-E1241)</f>
        <v>9.99999999999979</v>
      </c>
      <c r="I1242" s="5"/>
      <c r="J1242" s="818" t="n">
        <f aca="false">1000*(E1242-$E$215)/(B1242-$B$215)</f>
        <v>11.5324925302547</v>
      </c>
      <c r="K1242" s="732" t="n">
        <f aca="false">AVERAGE($E$216:E1242)</f>
        <v>10.1620684069126</v>
      </c>
      <c r="L1242" s="819" t="n">
        <f aca="false">L1241+1</f>
        <v>1027</v>
      </c>
      <c r="M1242" s="820" t="n">
        <f aca="false">IF(B1242&lt;$E$104,$E$105,$E$106)</f>
        <v>3</v>
      </c>
      <c r="N1242" s="821" t="n">
        <f aca="false">IF(B1242&lt;$E$104,$E$105,$E$111)</f>
        <v>2.5</v>
      </c>
      <c r="O1242" s="822" t="n">
        <f aca="false">E1242*$E$205*N1242</f>
        <v>201.03501742574</v>
      </c>
      <c r="P1242" s="823" t="n">
        <f aca="false">P1241+O1242</f>
        <v>136928.155094731</v>
      </c>
      <c r="Q1242" s="606" t="n">
        <f aca="false">Q1241+1</f>
        <v>1027</v>
      </c>
      <c r="R1242" s="824" t="n">
        <f aca="false">R1241-1</f>
        <v>-1027</v>
      </c>
      <c r="S1242" s="5"/>
      <c r="T1242" s="5"/>
      <c r="U1242" s="5"/>
      <c r="V1242" s="10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02"/>
      <c r="AU1242" s="502"/>
      <c r="AV1242" s="606"/>
      <c r="AW1242" s="502"/>
      <c r="AX1242" s="502"/>
      <c r="AY1242" s="502"/>
      <c r="AZ1242" s="502"/>
      <c r="BA1242" s="502"/>
      <c r="BB1242" s="502"/>
      <c r="BC1242" s="502"/>
      <c r="BD1242" s="502"/>
      <c r="BE1242" s="502"/>
      <c r="BF1242" s="502"/>
      <c r="BG1242" s="502"/>
      <c r="BH1242" s="502"/>
      <c r="BI1242" s="502"/>
      <c r="BJ1242" s="502"/>
      <c r="BK1242" s="502"/>
      <c r="BL1242" s="502"/>
      <c r="BM1242" s="502"/>
      <c r="BN1242" s="502"/>
      <c r="BO1242" s="502"/>
      <c r="BP1242" s="5"/>
      <c r="BQ1242" s="5"/>
      <c r="BR1242" s="5"/>
      <c r="BS1242" s="5"/>
      <c r="BT1242" s="5"/>
      <c r="BU1242" s="5"/>
      <c r="BV1242" s="5"/>
      <c r="BW1242" s="5"/>
      <c r="BX1242" s="5"/>
      <c r="BY1242" s="5"/>
      <c r="BZ1242" s="5"/>
      <c r="CA1242" s="5"/>
      <c r="CB1242" s="5"/>
      <c r="CC1242" s="5"/>
      <c r="CD1242" s="5"/>
      <c r="CE1242" s="5"/>
      <c r="CF1242" s="5"/>
      <c r="CG1242" s="5"/>
      <c r="CH1242" s="5"/>
      <c r="CI1242" s="5"/>
      <c r="CJ1242" s="5"/>
      <c r="CK1242" s="5"/>
      <c r="CL1242" s="5"/>
      <c r="CM1242" s="5"/>
      <c r="CN1242" s="5"/>
      <c r="CO1242" s="5"/>
      <c r="CP1242" s="5"/>
      <c r="CQ1242" s="5"/>
      <c r="CR1242" s="5"/>
      <c r="CS1242" s="5"/>
      <c r="CT1242" s="5"/>
      <c r="CU1242" s="5"/>
      <c r="CV1242" s="5"/>
      <c r="CW1242" s="5"/>
      <c r="CX1242" s="5"/>
      <c r="CY1242" s="5"/>
      <c r="CZ1242" s="5"/>
      <c r="DA1242" s="5"/>
      <c r="DB1242" s="5"/>
      <c r="DC1242" s="5"/>
      <c r="DD1242" s="5"/>
      <c r="DE1242" s="5"/>
      <c r="DF1242" s="5"/>
      <c r="DG1242" s="5"/>
      <c r="DH1242" s="5"/>
      <c r="DI1242" s="5"/>
      <c r="DJ1242" s="5"/>
      <c r="DK1242" s="5"/>
      <c r="DL1242" s="5"/>
      <c r="DM1242" s="5"/>
      <c r="DN1242" s="5"/>
      <c r="DO1242" s="5"/>
      <c r="DP1242" s="5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  <c r="GV1242" s="1"/>
      <c r="GW1242" s="1"/>
      <c r="GX1242" s="1"/>
      <c r="GY1242" s="1"/>
      <c r="GZ1242" s="1"/>
      <c r="HA1242" s="1"/>
      <c r="HB1242" s="1"/>
      <c r="HC1242" s="1"/>
      <c r="HD1242" s="1"/>
      <c r="HE1242" s="1"/>
      <c r="HF1242" s="1"/>
      <c r="HG1242" s="1"/>
      <c r="HH1242" s="1"/>
      <c r="HI1242" s="1"/>
      <c r="HJ1242" s="1"/>
      <c r="HK1242" s="1"/>
      <c r="HL1242" s="1"/>
      <c r="HM1242" s="1"/>
      <c r="HN1242" s="1"/>
      <c r="HO1242" s="1"/>
      <c r="HP1242" s="1"/>
      <c r="HQ1242" s="1"/>
      <c r="HR1242" s="1"/>
      <c r="HS1242" s="1"/>
      <c r="HT1242" s="1"/>
      <c r="HU1242" s="1"/>
      <c r="HV1242" s="1"/>
      <c r="HW1242" s="1"/>
      <c r="HX1242" s="1"/>
      <c r="HY1242" s="1"/>
      <c r="HZ1242" s="1"/>
      <c r="IA1242" s="1"/>
      <c r="IB1242" s="1"/>
      <c r="IC1242" s="1"/>
      <c r="ID1242" s="1"/>
      <c r="IE1242" s="1"/>
      <c r="IF1242" s="1"/>
      <c r="IG1242" s="1"/>
      <c r="IH1242" s="1"/>
      <c r="II1242" s="1"/>
      <c r="IJ1242" s="1"/>
      <c r="IK1242" s="1"/>
      <c r="IL1242" s="1"/>
      <c r="IM1242" s="1"/>
      <c r="IN1242" s="1"/>
      <c r="IO1242" s="1"/>
      <c r="IP1242" s="1"/>
      <c r="IQ1242" s="1"/>
      <c r="IR1242" s="1"/>
      <c r="IS1242" s="1"/>
      <c r="IT1242" s="1"/>
      <c r="IU1242" s="1"/>
      <c r="IV1242" s="1"/>
      <c r="IW1242" s="1"/>
      <c r="IX1242" s="1"/>
      <c r="IY1242" s="1"/>
      <c r="IZ1242" s="1"/>
      <c r="JA1242" s="1"/>
      <c r="JB1242" s="1"/>
      <c r="JC1242" s="1"/>
      <c r="JD1242" s="1"/>
    </row>
    <row r="1243" s="504" customFormat="true" ht="12.75" hidden="true" customHeight="true" outlineLevel="0" collapsed="false">
      <c r="A1243" s="5"/>
      <c r="B1243" s="813" t="n">
        <f aca="false">B1242+1</f>
        <v>1028</v>
      </c>
      <c r="C1243" s="814" t="n">
        <f aca="false">C1242+D1243</f>
        <v>164493.169094137</v>
      </c>
      <c r="D1243" s="815" t="n">
        <f aca="false">E1243*$E$205*M1243</f>
        <v>241.399700910888</v>
      </c>
      <c r="E1243" s="601" t="n">
        <f aca="false">E1242+$C$204</f>
        <v>15.3094686016545</v>
      </c>
      <c r="F1243" s="816" t="n">
        <f aca="false">F1242+1</f>
        <v>1028</v>
      </c>
      <c r="G1243" s="775" t="n">
        <f aca="false">C1243</f>
        <v>164493.169094137</v>
      </c>
      <c r="H1243" s="817" t="n">
        <f aca="false">1000*(E1243-E1242)</f>
        <v>9.99999999999979</v>
      </c>
      <c r="I1243" s="5"/>
      <c r="J1243" s="818" t="n">
        <f aca="false">1000*(E1243-$E$215)/(B1243-$B$215)</f>
        <v>11.5310017787662</v>
      </c>
      <c r="K1243" s="732" t="n">
        <f aca="false">AVERAGE($E$216:E1243)</f>
        <v>10.1670756055456</v>
      </c>
      <c r="L1243" s="819" t="n">
        <f aca="false">L1242+1</f>
        <v>1028</v>
      </c>
      <c r="M1243" s="820" t="n">
        <f aca="false">IF(B1243&lt;$E$104,$E$105,$E$106)</f>
        <v>3</v>
      </c>
      <c r="N1243" s="821" t="n">
        <f aca="false">IF(B1243&lt;$E$104,$E$105,$E$111)</f>
        <v>2.5</v>
      </c>
      <c r="O1243" s="822" t="n">
        <f aca="false">E1243*$E$205*N1243</f>
        <v>201.16641742574</v>
      </c>
      <c r="P1243" s="823" t="n">
        <f aca="false">P1242+O1243</f>
        <v>137129.321512157</v>
      </c>
      <c r="Q1243" s="606" t="n">
        <f aca="false">Q1242+1</f>
        <v>1028</v>
      </c>
      <c r="R1243" s="824" t="n">
        <f aca="false">R1242-1</f>
        <v>-1028</v>
      </c>
      <c r="S1243" s="5"/>
      <c r="T1243" s="5"/>
      <c r="U1243" s="5"/>
      <c r="V1243" s="10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02"/>
      <c r="AU1243" s="502"/>
      <c r="AV1243" s="606"/>
      <c r="AW1243" s="502"/>
      <c r="AX1243" s="502"/>
      <c r="AY1243" s="502"/>
      <c r="AZ1243" s="502"/>
      <c r="BA1243" s="502"/>
      <c r="BB1243" s="502"/>
      <c r="BC1243" s="502"/>
      <c r="BD1243" s="502"/>
      <c r="BE1243" s="502"/>
      <c r="BF1243" s="502"/>
      <c r="BG1243" s="502"/>
      <c r="BH1243" s="502"/>
      <c r="BI1243" s="502"/>
      <c r="BJ1243" s="502"/>
      <c r="BK1243" s="502"/>
      <c r="BL1243" s="502"/>
      <c r="BM1243" s="502"/>
      <c r="BN1243" s="502"/>
      <c r="BO1243" s="502"/>
      <c r="BP1243" s="5"/>
      <c r="BQ1243" s="5"/>
      <c r="BR1243" s="5"/>
      <c r="BS1243" s="5"/>
      <c r="BT1243" s="5"/>
      <c r="BU1243" s="5"/>
      <c r="BV1243" s="5"/>
      <c r="BW1243" s="5"/>
      <c r="BX1243" s="5"/>
      <c r="BY1243" s="5"/>
      <c r="BZ1243" s="5"/>
      <c r="CA1243" s="5"/>
      <c r="CB1243" s="5"/>
      <c r="CC1243" s="5"/>
      <c r="CD1243" s="5"/>
      <c r="CE1243" s="5"/>
      <c r="CF1243" s="5"/>
      <c r="CG1243" s="5"/>
      <c r="CH1243" s="5"/>
      <c r="CI1243" s="5"/>
      <c r="CJ1243" s="5"/>
      <c r="CK1243" s="5"/>
      <c r="CL1243" s="5"/>
      <c r="CM1243" s="5"/>
      <c r="CN1243" s="5"/>
      <c r="CO1243" s="5"/>
      <c r="CP1243" s="5"/>
      <c r="CQ1243" s="5"/>
      <c r="CR1243" s="5"/>
      <c r="CS1243" s="5"/>
      <c r="CT1243" s="5"/>
      <c r="CU1243" s="5"/>
      <c r="CV1243" s="5"/>
      <c r="CW1243" s="5"/>
      <c r="CX1243" s="5"/>
      <c r="CY1243" s="5"/>
      <c r="CZ1243" s="5"/>
      <c r="DA1243" s="5"/>
      <c r="DB1243" s="5"/>
      <c r="DC1243" s="5"/>
      <c r="DD1243" s="5"/>
      <c r="DE1243" s="5"/>
      <c r="DF1243" s="5"/>
      <c r="DG1243" s="5"/>
      <c r="DH1243" s="5"/>
      <c r="DI1243" s="5"/>
      <c r="DJ1243" s="5"/>
      <c r="DK1243" s="5"/>
      <c r="DL1243" s="5"/>
      <c r="DM1243" s="5"/>
      <c r="DN1243" s="5"/>
      <c r="DO1243" s="5"/>
      <c r="DP1243" s="5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  <c r="GV1243" s="1"/>
      <c r="GW1243" s="1"/>
      <c r="GX1243" s="1"/>
      <c r="GY1243" s="1"/>
      <c r="GZ1243" s="1"/>
      <c r="HA1243" s="1"/>
      <c r="HB1243" s="1"/>
      <c r="HC1243" s="1"/>
      <c r="HD1243" s="1"/>
      <c r="HE1243" s="1"/>
      <c r="HF1243" s="1"/>
      <c r="HG1243" s="1"/>
      <c r="HH1243" s="1"/>
      <c r="HI1243" s="1"/>
      <c r="HJ1243" s="1"/>
      <c r="HK1243" s="1"/>
      <c r="HL1243" s="1"/>
      <c r="HM1243" s="1"/>
      <c r="HN1243" s="1"/>
      <c r="HO1243" s="1"/>
      <c r="HP1243" s="1"/>
      <c r="HQ1243" s="1"/>
      <c r="HR1243" s="1"/>
      <c r="HS1243" s="1"/>
      <c r="HT1243" s="1"/>
      <c r="HU1243" s="1"/>
      <c r="HV1243" s="1"/>
      <c r="HW1243" s="1"/>
      <c r="HX1243" s="1"/>
      <c r="HY1243" s="1"/>
      <c r="HZ1243" s="1"/>
      <c r="IA1243" s="1"/>
      <c r="IB1243" s="1"/>
      <c r="IC1243" s="1"/>
      <c r="ID1243" s="1"/>
      <c r="IE1243" s="1"/>
      <c r="IF1243" s="1"/>
      <c r="IG1243" s="1"/>
      <c r="IH1243" s="1"/>
      <c r="II1243" s="1"/>
      <c r="IJ1243" s="1"/>
      <c r="IK1243" s="1"/>
      <c r="IL1243" s="1"/>
      <c r="IM1243" s="1"/>
      <c r="IN1243" s="1"/>
      <c r="IO1243" s="1"/>
      <c r="IP1243" s="1"/>
      <c r="IQ1243" s="1"/>
      <c r="IR1243" s="1"/>
      <c r="IS1243" s="1"/>
      <c r="IT1243" s="1"/>
      <c r="IU1243" s="1"/>
      <c r="IV1243" s="1"/>
      <c r="IW1243" s="1"/>
      <c r="IX1243" s="1"/>
      <c r="IY1243" s="1"/>
      <c r="IZ1243" s="1"/>
      <c r="JA1243" s="1"/>
      <c r="JB1243" s="1"/>
      <c r="JC1243" s="1"/>
      <c r="JD1243" s="1"/>
    </row>
    <row r="1244" s="504" customFormat="true" ht="12.75" hidden="true" customHeight="true" outlineLevel="0" collapsed="false">
      <c r="A1244" s="5"/>
      <c r="B1244" s="813" t="n">
        <f aca="false">B1243+1</f>
        <v>1029</v>
      </c>
      <c r="C1244" s="814" t="n">
        <f aca="false">C1243+D1244</f>
        <v>164734.726475048</v>
      </c>
      <c r="D1244" s="815" t="n">
        <f aca="false">E1244*$E$205*M1244</f>
        <v>241.557380910888</v>
      </c>
      <c r="E1244" s="601" t="n">
        <f aca="false">E1243+$C$204</f>
        <v>15.3194686016545</v>
      </c>
      <c r="F1244" s="816" t="n">
        <f aca="false">F1243+1</f>
        <v>1029</v>
      </c>
      <c r="G1244" s="775" t="n">
        <f aca="false">C1244</f>
        <v>164734.726475048</v>
      </c>
      <c r="H1244" s="817" t="n">
        <f aca="false">1000*(E1244-E1243)</f>
        <v>9.99999999999979</v>
      </c>
      <c r="I1244" s="5"/>
      <c r="J1244" s="818" t="n">
        <f aca="false">1000*(E1244-$E$215)/(B1244-$B$215)</f>
        <v>11.5295139247538</v>
      </c>
      <c r="K1244" s="732" t="n">
        <f aca="false">AVERAGE($E$216:E1244)</f>
        <v>10.1720827901871</v>
      </c>
      <c r="L1244" s="819" t="n">
        <f aca="false">L1243+1</f>
        <v>1029</v>
      </c>
      <c r="M1244" s="820" t="n">
        <f aca="false">IF(B1244&lt;$E$104,$E$105,$E$106)</f>
        <v>3</v>
      </c>
      <c r="N1244" s="821" t="n">
        <f aca="false">IF(B1244&lt;$E$104,$E$105,$E$111)</f>
        <v>2.5</v>
      </c>
      <c r="O1244" s="822" t="n">
        <f aca="false">E1244*$E$205*N1244</f>
        <v>201.29781742574</v>
      </c>
      <c r="P1244" s="823" t="n">
        <f aca="false">P1243+O1244</f>
        <v>137330.619329583</v>
      </c>
      <c r="Q1244" s="606" t="n">
        <f aca="false">Q1243+1</f>
        <v>1029</v>
      </c>
      <c r="R1244" s="824" t="n">
        <f aca="false">R1243-1</f>
        <v>-1029</v>
      </c>
      <c r="S1244" s="5"/>
      <c r="T1244" s="5"/>
      <c r="U1244" s="5"/>
      <c r="V1244" s="10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02"/>
      <c r="AU1244" s="502"/>
      <c r="AV1244" s="606"/>
      <c r="AW1244" s="502"/>
      <c r="AX1244" s="502"/>
      <c r="AY1244" s="502"/>
      <c r="AZ1244" s="502"/>
      <c r="BA1244" s="502"/>
      <c r="BB1244" s="502"/>
      <c r="BC1244" s="502"/>
      <c r="BD1244" s="502"/>
      <c r="BE1244" s="502"/>
      <c r="BF1244" s="502"/>
      <c r="BG1244" s="502"/>
      <c r="BH1244" s="502"/>
      <c r="BI1244" s="502"/>
      <c r="BJ1244" s="502"/>
      <c r="BK1244" s="502"/>
      <c r="BL1244" s="502"/>
      <c r="BM1244" s="502"/>
      <c r="BN1244" s="502"/>
      <c r="BO1244" s="502"/>
      <c r="BP1244" s="5"/>
      <c r="BQ1244" s="5"/>
      <c r="BR1244" s="5"/>
      <c r="BS1244" s="5"/>
      <c r="BT1244" s="5"/>
      <c r="BU1244" s="5"/>
      <c r="BV1244" s="5"/>
      <c r="BW1244" s="5"/>
      <c r="BX1244" s="5"/>
      <c r="BY1244" s="5"/>
      <c r="BZ1244" s="5"/>
      <c r="CA1244" s="5"/>
      <c r="CB1244" s="5"/>
      <c r="CC1244" s="5"/>
      <c r="CD1244" s="5"/>
      <c r="CE1244" s="5"/>
      <c r="CF1244" s="5"/>
      <c r="CG1244" s="5"/>
      <c r="CH1244" s="5"/>
      <c r="CI1244" s="5"/>
      <c r="CJ1244" s="5"/>
      <c r="CK1244" s="5"/>
      <c r="CL1244" s="5"/>
      <c r="CM1244" s="5"/>
      <c r="CN1244" s="5"/>
      <c r="CO1244" s="5"/>
      <c r="CP1244" s="5"/>
      <c r="CQ1244" s="5"/>
      <c r="CR1244" s="5"/>
      <c r="CS1244" s="5"/>
      <c r="CT1244" s="5"/>
      <c r="CU1244" s="5"/>
      <c r="CV1244" s="5"/>
      <c r="CW1244" s="5"/>
      <c r="CX1244" s="5"/>
      <c r="CY1244" s="5"/>
      <c r="CZ1244" s="5"/>
      <c r="DA1244" s="5"/>
      <c r="DB1244" s="5"/>
      <c r="DC1244" s="5"/>
      <c r="DD1244" s="5"/>
      <c r="DE1244" s="5"/>
      <c r="DF1244" s="5"/>
      <c r="DG1244" s="5"/>
      <c r="DH1244" s="5"/>
      <c r="DI1244" s="5"/>
      <c r="DJ1244" s="5"/>
      <c r="DK1244" s="5"/>
      <c r="DL1244" s="5"/>
      <c r="DM1244" s="5"/>
      <c r="DN1244" s="5"/>
      <c r="DO1244" s="5"/>
      <c r="DP1244" s="5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  <c r="GV1244" s="1"/>
      <c r="GW1244" s="1"/>
      <c r="GX1244" s="1"/>
      <c r="GY1244" s="1"/>
      <c r="GZ1244" s="1"/>
      <c r="HA1244" s="1"/>
      <c r="HB1244" s="1"/>
      <c r="HC1244" s="1"/>
      <c r="HD1244" s="1"/>
      <c r="HE1244" s="1"/>
      <c r="HF1244" s="1"/>
      <c r="HG1244" s="1"/>
      <c r="HH1244" s="1"/>
      <c r="HI1244" s="1"/>
      <c r="HJ1244" s="1"/>
      <c r="HK1244" s="1"/>
      <c r="HL1244" s="1"/>
      <c r="HM1244" s="1"/>
      <c r="HN1244" s="1"/>
      <c r="HO1244" s="1"/>
      <c r="HP1244" s="1"/>
      <c r="HQ1244" s="1"/>
      <c r="HR1244" s="1"/>
      <c r="HS1244" s="1"/>
      <c r="HT1244" s="1"/>
      <c r="HU1244" s="1"/>
      <c r="HV1244" s="1"/>
      <c r="HW1244" s="1"/>
      <c r="HX1244" s="1"/>
      <c r="HY1244" s="1"/>
      <c r="HZ1244" s="1"/>
      <c r="IA1244" s="1"/>
      <c r="IB1244" s="1"/>
      <c r="IC1244" s="1"/>
      <c r="ID1244" s="1"/>
      <c r="IE1244" s="1"/>
      <c r="IF1244" s="1"/>
      <c r="IG1244" s="1"/>
      <c r="IH1244" s="1"/>
      <c r="II1244" s="1"/>
      <c r="IJ1244" s="1"/>
      <c r="IK1244" s="1"/>
      <c r="IL1244" s="1"/>
      <c r="IM1244" s="1"/>
      <c r="IN1244" s="1"/>
      <c r="IO1244" s="1"/>
      <c r="IP1244" s="1"/>
      <c r="IQ1244" s="1"/>
      <c r="IR1244" s="1"/>
      <c r="IS1244" s="1"/>
      <c r="IT1244" s="1"/>
      <c r="IU1244" s="1"/>
      <c r="IV1244" s="1"/>
      <c r="IW1244" s="1"/>
      <c r="IX1244" s="1"/>
      <c r="IY1244" s="1"/>
      <c r="IZ1244" s="1"/>
      <c r="JA1244" s="1"/>
      <c r="JB1244" s="1"/>
      <c r="JC1244" s="1"/>
      <c r="JD1244" s="1"/>
    </row>
    <row r="1245" s="504" customFormat="true" ht="12.75" hidden="true" customHeight="true" outlineLevel="0" collapsed="false">
      <c r="A1245" s="5"/>
      <c r="B1245" s="813" t="n">
        <f aca="false">B1244+1</f>
        <v>1030</v>
      </c>
      <c r="C1245" s="814" t="n">
        <f aca="false">C1244+D1245</f>
        <v>164976.441535959</v>
      </c>
      <c r="D1245" s="815" t="n">
        <f aca="false">E1245*$E$205*M1245</f>
        <v>241.715060910888</v>
      </c>
      <c r="E1245" s="601" t="n">
        <f aca="false">E1244+$C$204</f>
        <v>15.3294686016545</v>
      </c>
      <c r="F1245" s="816" t="n">
        <f aca="false">F1244+1</f>
        <v>1030</v>
      </c>
      <c r="G1245" s="775" t="n">
        <f aca="false">C1245</f>
        <v>164976.441535959</v>
      </c>
      <c r="H1245" s="817" t="n">
        <f aca="false">1000*(E1245-E1244)</f>
        <v>9.99999999999979</v>
      </c>
      <c r="I1245" s="5"/>
      <c r="J1245" s="818" t="n">
        <f aca="false">1000*(E1245-$E$215)/(B1245-$B$215)</f>
        <v>11.5280289597783</v>
      </c>
      <c r="K1245" s="732" t="n">
        <f aca="false">AVERAGE($E$216:E1245)</f>
        <v>10.1770899608779</v>
      </c>
      <c r="L1245" s="819" t="n">
        <f aca="false">L1244+1</f>
        <v>1030</v>
      </c>
      <c r="M1245" s="820" t="n">
        <f aca="false">IF(B1245&lt;$E$104,$E$105,$E$106)</f>
        <v>3</v>
      </c>
      <c r="N1245" s="821" t="n">
        <f aca="false">IF(B1245&lt;$E$104,$E$105,$E$111)</f>
        <v>2.5</v>
      </c>
      <c r="O1245" s="822" t="n">
        <f aca="false">E1245*$E$205*N1245</f>
        <v>201.42921742574</v>
      </c>
      <c r="P1245" s="823" t="n">
        <f aca="false">P1244+O1245</f>
        <v>137532.048547009</v>
      </c>
      <c r="Q1245" s="606" t="n">
        <f aca="false">Q1244+1</f>
        <v>1030</v>
      </c>
      <c r="R1245" s="824" t="n">
        <f aca="false">R1244-1</f>
        <v>-1030</v>
      </c>
      <c r="S1245" s="5"/>
      <c r="T1245" s="5"/>
      <c r="U1245" s="5"/>
      <c r="V1245" s="10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02"/>
      <c r="AU1245" s="502"/>
      <c r="AV1245" s="606"/>
      <c r="AW1245" s="502"/>
      <c r="AX1245" s="502"/>
      <c r="AY1245" s="502"/>
      <c r="AZ1245" s="502"/>
      <c r="BA1245" s="502"/>
      <c r="BB1245" s="502"/>
      <c r="BC1245" s="502"/>
      <c r="BD1245" s="502"/>
      <c r="BE1245" s="502"/>
      <c r="BF1245" s="502"/>
      <c r="BG1245" s="502"/>
      <c r="BH1245" s="502"/>
      <c r="BI1245" s="502"/>
      <c r="BJ1245" s="502"/>
      <c r="BK1245" s="502"/>
      <c r="BL1245" s="502"/>
      <c r="BM1245" s="502"/>
      <c r="BN1245" s="502"/>
      <c r="BO1245" s="502"/>
      <c r="BP1245" s="5"/>
      <c r="BQ1245" s="5"/>
      <c r="BR1245" s="5"/>
      <c r="BS1245" s="5"/>
      <c r="BT1245" s="5"/>
      <c r="BU1245" s="5"/>
      <c r="BV1245" s="5"/>
      <c r="BW1245" s="5"/>
      <c r="BX1245" s="5"/>
      <c r="BY1245" s="5"/>
      <c r="BZ1245" s="5"/>
      <c r="CA1245" s="5"/>
      <c r="CB1245" s="5"/>
      <c r="CC1245" s="5"/>
      <c r="CD1245" s="5"/>
      <c r="CE1245" s="5"/>
      <c r="CF1245" s="5"/>
      <c r="CG1245" s="5"/>
      <c r="CH1245" s="5"/>
      <c r="CI1245" s="5"/>
      <c r="CJ1245" s="5"/>
      <c r="CK1245" s="5"/>
      <c r="CL1245" s="5"/>
      <c r="CM1245" s="5"/>
      <c r="CN1245" s="5"/>
      <c r="CO1245" s="5"/>
      <c r="CP1245" s="5"/>
      <c r="CQ1245" s="5"/>
      <c r="CR1245" s="5"/>
      <c r="CS1245" s="5"/>
      <c r="CT1245" s="5"/>
      <c r="CU1245" s="5"/>
      <c r="CV1245" s="5"/>
      <c r="CW1245" s="5"/>
      <c r="CX1245" s="5"/>
      <c r="CY1245" s="5"/>
      <c r="CZ1245" s="5"/>
      <c r="DA1245" s="5"/>
      <c r="DB1245" s="5"/>
      <c r="DC1245" s="5"/>
      <c r="DD1245" s="5"/>
      <c r="DE1245" s="5"/>
      <c r="DF1245" s="5"/>
      <c r="DG1245" s="5"/>
      <c r="DH1245" s="5"/>
      <c r="DI1245" s="5"/>
      <c r="DJ1245" s="5"/>
      <c r="DK1245" s="5"/>
      <c r="DL1245" s="5"/>
      <c r="DM1245" s="5"/>
      <c r="DN1245" s="5"/>
      <c r="DO1245" s="5"/>
      <c r="DP1245" s="5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  <c r="GV1245" s="1"/>
      <c r="GW1245" s="1"/>
      <c r="GX1245" s="1"/>
      <c r="GY1245" s="1"/>
      <c r="GZ1245" s="1"/>
      <c r="HA1245" s="1"/>
      <c r="HB1245" s="1"/>
      <c r="HC1245" s="1"/>
      <c r="HD1245" s="1"/>
      <c r="HE1245" s="1"/>
      <c r="HF1245" s="1"/>
      <c r="HG1245" s="1"/>
      <c r="HH1245" s="1"/>
      <c r="HI1245" s="1"/>
      <c r="HJ1245" s="1"/>
      <c r="HK1245" s="1"/>
      <c r="HL1245" s="1"/>
      <c r="HM1245" s="1"/>
      <c r="HN1245" s="1"/>
      <c r="HO1245" s="1"/>
      <c r="HP1245" s="1"/>
      <c r="HQ1245" s="1"/>
      <c r="HR1245" s="1"/>
      <c r="HS1245" s="1"/>
      <c r="HT1245" s="1"/>
      <c r="HU1245" s="1"/>
      <c r="HV1245" s="1"/>
      <c r="HW1245" s="1"/>
      <c r="HX1245" s="1"/>
      <c r="HY1245" s="1"/>
      <c r="HZ1245" s="1"/>
      <c r="IA1245" s="1"/>
      <c r="IB1245" s="1"/>
      <c r="IC1245" s="1"/>
      <c r="ID1245" s="1"/>
      <c r="IE1245" s="1"/>
      <c r="IF1245" s="1"/>
      <c r="IG1245" s="1"/>
      <c r="IH1245" s="1"/>
      <c r="II1245" s="1"/>
      <c r="IJ1245" s="1"/>
      <c r="IK1245" s="1"/>
      <c r="IL1245" s="1"/>
      <c r="IM1245" s="1"/>
      <c r="IN1245" s="1"/>
      <c r="IO1245" s="1"/>
      <c r="IP1245" s="1"/>
      <c r="IQ1245" s="1"/>
      <c r="IR1245" s="1"/>
      <c r="IS1245" s="1"/>
      <c r="IT1245" s="1"/>
      <c r="IU1245" s="1"/>
      <c r="IV1245" s="1"/>
      <c r="IW1245" s="1"/>
      <c r="IX1245" s="1"/>
      <c r="IY1245" s="1"/>
      <c r="IZ1245" s="1"/>
      <c r="JA1245" s="1"/>
      <c r="JB1245" s="1"/>
      <c r="JC1245" s="1"/>
      <c r="JD1245" s="1"/>
    </row>
    <row r="1246" s="504" customFormat="true" ht="12.75" hidden="true" customHeight="true" outlineLevel="0" collapsed="false">
      <c r="A1246" s="5"/>
      <c r="B1246" s="813" t="n">
        <f aca="false">B1245+1</f>
        <v>1031</v>
      </c>
      <c r="C1246" s="814" t="n">
        <f aca="false">C1245+D1246</f>
        <v>165218.31427687</v>
      </c>
      <c r="D1246" s="815" t="n">
        <f aca="false">E1246*$E$205*M1246</f>
        <v>241.872740910888</v>
      </c>
      <c r="E1246" s="601" t="n">
        <f aca="false">E1245+$C$204</f>
        <v>15.3394686016545</v>
      </c>
      <c r="F1246" s="816" t="n">
        <f aca="false">F1245+1</f>
        <v>1031</v>
      </c>
      <c r="G1246" s="775" t="n">
        <f aca="false">C1246</f>
        <v>165218.31427687</v>
      </c>
      <c r="H1246" s="817" t="n">
        <f aca="false">1000*(E1246-E1245)</f>
        <v>9.99999999999979</v>
      </c>
      <c r="I1246" s="5"/>
      <c r="J1246" s="818" t="n">
        <f aca="false">1000*(E1246-$E$215)/(B1246-$B$215)</f>
        <v>11.5265468754332</v>
      </c>
      <c r="K1246" s="732" t="n">
        <f aca="false">AVERAGE($E$216:E1246)</f>
        <v>10.1820971176585</v>
      </c>
      <c r="L1246" s="819" t="n">
        <f aca="false">L1245+1</f>
        <v>1031</v>
      </c>
      <c r="M1246" s="820" t="n">
        <f aca="false">IF(B1246&lt;$E$104,$E$105,$E$106)</f>
        <v>3</v>
      </c>
      <c r="N1246" s="821" t="n">
        <f aca="false">IF(B1246&lt;$E$104,$E$105,$E$111)</f>
        <v>2.5</v>
      </c>
      <c r="O1246" s="822" t="n">
        <f aca="false">E1246*$E$205*N1246</f>
        <v>201.56061742574</v>
      </c>
      <c r="P1246" s="823" t="n">
        <f aca="false">P1245+O1246</f>
        <v>137733.609164434</v>
      </c>
      <c r="Q1246" s="606" t="n">
        <f aca="false">Q1245+1</f>
        <v>1031</v>
      </c>
      <c r="R1246" s="824" t="n">
        <f aca="false">R1245-1</f>
        <v>-1031</v>
      </c>
      <c r="S1246" s="5"/>
      <c r="T1246" s="5"/>
      <c r="U1246" s="5"/>
      <c r="V1246" s="10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02"/>
      <c r="AU1246" s="502"/>
      <c r="AV1246" s="606"/>
      <c r="AW1246" s="502"/>
      <c r="AX1246" s="502"/>
      <c r="AY1246" s="502"/>
      <c r="AZ1246" s="502"/>
      <c r="BA1246" s="502"/>
      <c r="BB1246" s="502"/>
      <c r="BC1246" s="502"/>
      <c r="BD1246" s="502"/>
      <c r="BE1246" s="502"/>
      <c r="BF1246" s="502"/>
      <c r="BG1246" s="502"/>
      <c r="BH1246" s="502"/>
      <c r="BI1246" s="502"/>
      <c r="BJ1246" s="502"/>
      <c r="BK1246" s="502"/>
      <c r="BL1246" s="502"/>
      <c r="BM1246" s="502"/>
      <c r="BN1246" s="502"/>
      <c r="BO1246" s="502"/>
      <c r="BP1246" s="5"/>
      <c r="BQ1246" s="5"/>
      <c r="BR1246" s="5"/>
      <c r="BS1246" s="5"/>
      <c r="BT1246" s="5"/>
      <c r="BU1246" s="5"/>
      <c r="BV1246" s="5"/>
      <c r="BW1246" s="5"/>
      <c r="BX1246" s="5"/>
      <c r="BY1246" s="5"/>
      <c r="BZ1246" s="5"/>
      <c r="CA1246" s="5"/>
      <c r="CB1246" s="5"/>
      <c r="CC1246" s="5"/>
      <c r="CD1246" s="5"/>
      <c r="CE1246" s="5"/>
      <c r="CF1246" s="5"/>
      <c r="CG1246" s="5"/>
      <c r="CH1246" s="5"/>
      <c r="CI1246" s="5"/>
      <c r="CJ1246" s="5"/>
      <c r="CK1246" s="5"/>
      <c r="CL1246" s="5"/>
      <c r="CM1246" s="5"/>
      <c r="CN1246" s="5"/>
      <c r="CO1246" s="5"/>
      <c r="CP1246" s="5"/>
      <c r="CQ1246" s="5"/>
      <c r="CR1246" s="5"/>
      <c r="CS1246" s="5"/>
      <c r="CT1246" s="5"/>
      <c r="CU1246" s="5"/>
      <c r="CV1246" s="5"/>
      <c r="CW1246" s="5"/>
      <c r="CX1246" s="5"/>
      <c r="CY1246" s="5"/>
      <c r="CZ1246" s="5"/>
      <c r="DA1246" s="5"/>
      <c r="DB1246" s="5"/>
      <c r="DC1246" s="5"/>
      <c r="DD1246" s="5"/>
      <c r="DE1246" s="5"/>
      <c r="DF1246" s="5"/>
      <c r="DG1246" s="5"/>
      <c r="DH1246" s="5"/>
      <c r="DI1246" s="5"/>
      <c r="DJ1246" s="5"/>
      <c r="DK1246" s="5"/>
      <c r="DL1246" s="5"/>
      <c r="DM1246" s="5"/>
      <c r="DN1246" s="5"/>
      <c r="DO1246" s="5"/>
      <c r="DP1246" s="5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  <c r="GV1246" s="1"/>
      <c r="GW1246" s="1"/>
      <c r="GX1246" s="1"/>
      <c r="GY1246" s="1"/>
      <c r="GZ1246" s="1"/>
      <c r="HA1246" s="1"/>
      <c r="HB1246" s="1"/>
      <c r="HC1246" s="1"/>
      <c r="HD1246" s="1"/>
      <c r="HE1246" s="1"/>
      <c r="HF1246" s="1"/>
      <c r="HG1246" s="1"/>
      <c r="HH1246" s="1"/>
      <c r="HI1246" s="1"/>
      <c r="HJ1246" s="1"/>
      <c r="HK1246" s="1"/>
      <c r="HL1246" s="1"/>
      <c r="HM1246" s="1"/>
      <c r="HN1246" s="1"/>
      <c r="HO1246" s="1"/>
      <c r="HP1246" s="1"/>
      <c r="HQ1246" s="1"/>
      <c r="HR1246" s="1"/>
      <c r="HS1246" s="1"/>
      <c r="HT1246" s="1"/>
      <c r="HU1246" s="1"/>
      <c r="HV1246" s="1"/>
      <c r="HW1246" s="1"/>
      <c r="HX1246" s="1"/>
      <c r="HY1246" s="1"/>
      <c r="HZ1246" s="1"/>
      <c r="IA1246" s="1"/>
      <c r="IB1246" s="1"/>
      <c r="IC1246" s="1"/>
      <c r="ID1246" s="1"/>
      <c r="IE1246" s="1"/>
      <c r="IF1246" s="1"/>
      <c r="IG1246" s="1"/>
      <c r="IH1246" s="1"/>
      <c r="II1246" s="1"/>
      <c r="IJ1246" s="1"/>
      <c r="IK1246" s="1"/>
      <c r="IL1246" s="1"/>
      <c r="IM1246" s="1"/>
      <c r="IN1246" s="1"/>
      <c r="IO1246" s="1"/>
      <c r="IP1246" s="1"/>
      <c r="IQ1246" s="1"/>
      <c r="IR1246" s="1"/>
      <c r="IS1246" s="1"/>
      <c r="IT1246" s="1"/>
      <c r="IU1246" s="1"/>
      <c r="IV1246" s="1"/>
      <c r="IW1246" s="1"/>
      <c r="IX1246" s="1"/>
      <c r="IY1246" s="1"/>
      <c r="IZ1246" s="1"/>
      <c r="JA1246" s="1"/>
      <c r="JB1246" s="1"/>
      <c r="JC1246" s="1"/>
      <c r="JD1246" s="1"/>
    </row>
    <row r="1247" s="504" customFormat="true" ht="12.75" hidden="true" customHeight="true" outlineLevel="0" collapsed="false">
      <c r="A1247" s="5"/>
      <c r="B1247" s="813" t="n">
        <f aca="false">B1246+1</f>
        <v>1032</v>
      </c>
      <c r="C1247" s="814" t="n">
        <f aca="false">C1246+D1247</f>
        <v>165460.344697781</v>
      </c>
      <c r="D1247" s="815" t="n">
        <f aca="false">E1247*$E$205*M1247</f>
        <v>242.030420910888</v>
      </c>
      <c r="E1247" s="601" t="n">
        <f aca="false">E1246+$C$204</f>
        <v>15.3494686016545</v>
      </c>
      <c r="F1247" s="816" t="n">
        <f aca="false">F1246+1</f>
        <v>1032</v>
      </c>
      <c r="G1247" s="775" t="n">
        <f aca="false">C1247</f>
        <v>165460.344697781</v>
      </c>
      <c r="H1247" s="817" t="n">
        <f aca="false">1000*(E1247-E1246)</f>
        <v>9.99999999999979</v>
      </c>
      <c r="I1247" s="5"/>
      <c r="J1247" s="818" t="n">
        <f aca="false">1000*(E1247-$E$215)/(B1247-$B$215)</f>
        <v>11.5250676633446</v>
      </c>
      <c r="K1247" s="732" t="n">
        <f aca="false">AVERAGE($E$216:E1247)</f>
        <v>10.1871042605693</v>
      </c>
      <c r="L1247" s="819" t="n">
        <f aca="false">L1246+1</f>
        <v>1032</v>
      </c>
      <c r="M1247" s="820" t="n">
        <f aca="false">IF(B1247&lt;$E$104,$E$105,$E$106)</f>
        <v>3</v>
      </c>
      <c r="N1247" s="821" t="n">
        <f aca="false">IF(B1247&lt;$E$104,$E$105,$E$111)</f>
        <v>2.5</v>
      </c>
      <c r="O1247" s="822" t="n">
        <f aca="false">E1247*$E$205*N1247</f>
        <v>201.69201742574</v>
      </c>
      <c r="P1247" s="823" t="n">
        <f aca="false">P1246+O1247</f>
        <v>137935.30118186</v>
      </c>
      <c r="Q1247" s="606" t="n">
        <f aca="false">Q1246+1</f>
        <v>1032</v>
      </c>
      <c r="R1247" s="824" t="n">
        <f aca="false">R1246-1</f>
        <v>-1032</v>
      </c>
      <c r="S1247" s="5"/>
      <c r="T1247" s="5"/>
      <c r="U1247" s="5"/>
      <c r="V1247" s="10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02"/>
      <c r="AU1247" s="502"/>
      <c r="AV1247" s="606"/>
      <c r="AW1247" s="502"/>
      <c r="AX1247" s="502"/>
      <c r="AY1247" s="502"/>
      <c r="AZ1247" s="502"/>
      <c r="BA1247" s="502"/>
      <c r="BB1247" s="502"/>
      <c r="BC1247" s="502"/>
      <c r="BD1247" s="502"/>
      <c r="BE1247" s="502"/>
      <c r="BF1247" s="502"/>
      <c r="BG1247" s="502"/>
      <c r="BH1247" s="502"/>
      <c r="BI1247" s="502"/>
      <c r="BJ1247" s="502"/>
      <c r="BK1247" s="502"/>
      <c r="BL1247" s="502"/>
      <c r="BM1247" s="502"/>
      <c r="BN1247" s="502"/>
      <c r="BO1247" s="502"/>
      <c r="BP1247" s="5"/>
      <c r="BQ1247" s="5"/>
      <c r="BR1247" s="5"/>
      <c r="BS1247" s="5"/>
      <c r="BT1247" s="5"/>
      <c r="BU1247" s="5"/>
      <c r="BV1247" s="5"/>
      <c r="BW1247" s="5"/>
      <c r="BX1247" s="5"/>
      <c r="BY1247" s="5"/>
      <c r="BZ1247" s="5"/>
      <c r="CA1247" s="5"/>
      <c r="CB1247" s="5"/>
      <c r="CC1247" s="5"/>
      <c r="CD1247" s="5"/>
      <c r="CE1247" s="5"/>
      <c r="CF1247" s="5"/>
      <c r="CG1247" s="5"/>
      <c r="CH1247" s="5"/>
      <c r="CI1247" s="5"/>
      <c r="CJ1247" s="5"/>
      <c r="CK1247" s="5"/>
      <c r="CL1247" s="5"/>
      <c r="CM1247" s="5"/>
      <c r="CN1247" s="5"/>
      <c r="CO1247" s="5"/>
      <c r="CP1247" s="5"/>
      <c r="CQ1247" s="5"/>
      <c r="CR1247" s="5"/>
      <c r="CS1247" s="5"/>
      <c r="CT1247" s="5"/>
      <c r="CU1247" s="5"/>
      <c r="CV1247" s="5"/>
      <c r="CW1247" s="5"/>
      <c r="CX1247" s="5"/>
      <c r="CY1247" s="5"/>
      <c r="CZ1247" s="5"/>
      <c r="DA1247" s="5"/>
      <c r="DB1247" s="5"/>
      <c r="DC1247" s="5"/>
      <c r="DD1247" s="5"/>
      <c r="DE1247" s="5"/>
      <c r="DF1247" s="5"/>
      <c r="DG1247" s="5"/>
      <c r="DH1247" s="5"/>
      <c r="DI1247" s="5"/>
      <c r="DJ1247" s="5"/>
      <c r="DK1247" s="5"/>
      <c r="DL1247" s="5"/>
      <c r="DM1247" s="5"/>
      <c r="DN1247" s="5"/>
      <c r="DO1247" s="5"/>
      <c r="DP1247" s="5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  <c r="GV1247" s="1"/>
      <c r="GW1247" s="1"/>
      <c r="GX1247" s="1"/>
      <c r="GY1247" s="1"/>
      <c r="GZ1247" s="1"/>
      <c r="HA1247" s="1"/>
      <c r="HB1247" s="1"/>
      <c r="HC1247" s="1"/>
      <c r="HD1247" s="1"/>
      <c r="HE1247" s="1"/>
      <c r="HF1247" s="1"/>
      <c r="HG1247" s="1"/>
      <c r="HH1247" s="1"/>
      <c r="HI1247" s="1"/>
      <c r="HJ1247" s="1"/>
      <c r="HK1247" s="1"/>
      <c r="HL1247" s="1"/>
      <c r="HM1247" s="1"/>
      <c r="HN1247" s="1"/>
      <c r="HO1247" s="1"/>
      <c r="HP1247" s="1"/>
      <c r="HQ1247" s="1"/>
      <c r="HR1247" s="1"/>
      <c r="HS1247" s="1"/>
      <c r="HT1247" s="1"/>
      <c r="HU1247" s="1"/>
      <c r="HV1247" s="1"/>
      <c r="HW1247" s="1"/>
      <c r="HX1247" s="1"/>
      <c r="HY1247" s="1"/>
      <c r="HZ1247" s="1"/>
      <c r="IA1247" s="1"/>
      <c r="IB1247" s="1"/>
      <c r="IC1247" s="1"/>
      <c r="ID1247" s="1"/>
      <c r="IE1247" s="1"/>
      <c r="IF1247" s="1"/>
      <c r="IG1247" s="1"/>
      <c r="IH1247" s="1"/>
      <c r="II1247" s="1"/>
      <c r="IJ1247" s="1"/>
      <c r="IK1247" s="1"/>
      <c r="IL1247" s="1"/>
      <c r="IM1247" s="1"/>
      <c r="IN1247" s="1"/>
      <c r="IO1247" s="1"/>
      <c r="IP1247" s="1"/>
      <c r="IQ1247" s="1"/>
      <c r="IR1247" s="1"/>
      <c r="IS1247" s="1"/>
      <c r="IT1247" s="1"/>
      <c r="IU1247" s="1"/>
      <c r="IV1247" s="1"/>
      <c r="IW1247" s="1"/>
      <c r="IX1247" s="1"/>
      <c r="IY1247" s="1"/>
      <c r="IZ1247" s="1"/>
      <c r="JA1247" s="1"/>
      <c r="JB1247" s="1"/>
      <c r="JC1247" s="1"/>
      <c r="JD1247" s="1"/>
    </row>
    <row r="1248" s="504" customFormat="true" ht="12.75" hidden="true" customHeight="true" outlineLevel="0" collapsed="false">
      <c r="A1248" s="5"/>
      <c r="B1248" s="813" t="n">
        <f aca="false">B1247+1</f>
        <v>1033</v>
      </c>
      <c r="C1248" s="814" t="n">
        <f aca="false">C1247+D1248</f>
        <v>165702.532798692</v>
      </c>
      <c r="D1248" s="815" t="n">
        <f aca="false">E1248*$E$205*M1248</f>
        <v>242.188100910888</v>
      </c>
      <c r="E1248" s="601" t="n">
        <f aca="false">E1247+$C$204</f>
        <v>15.3594686016545</v>
      </c>
      <c r="F1248" s="816" t="n">
        <f aca="false">F1247+1</f>
        <v>1033</v>
      </c>
      <c r="G1248" s="775" t="n">
        <f aca="false">C1248</f>
        <v>165702.532798692</v>
      </c>
      <c r="H1248" s="817" t="n">
        <f aca="false">1000*(E1248-E1247)</f>
        <v>9.99999999999979</v>
      </c>
      <c r="I1248" s="5"/>
      <c r="J1248" s="818" t="n">
        <f aca="false">1000*(E1248-$E$215)/(B1248-$B$215)</f>
        <v>11.523591315171</v>
      </c>
      <c r="K1248" s="732" t="n">
        <f aca="false">AVERAGE($E$216:E1248)</f>
        <v>10.1921113896507</v>
      </c>
      <c r="L1248" s="819" t="n">
        <f aca="false">L1247+1</f>
        <v>1033</v>
      </c>
      <c r="M1248" s="820" t="n">
        <f aca="false">IF(B1248&lt;$E$104,$E$105,$E$106)</f>
        <v>3</v>
      </c>
      <c r="N1248" s="821" t="n">
        <f aca="false">IF(B1248&lt;$E$104,$E$105,$E$111)</f>
        <v>2.5</v>
      </c>
      <c r="O1248" s="822" t="n">
        <f aca="false">E1248*$E$205*N1248</f>
        <v>201.82341742574</v>
      </c>
      <c r="P1248" s="823" t="n">
        <f aca="false">P1247+O1248</f>
        <v>138137.124599286</v>
      </c>
      <c r="Q1248" s="606" t="n">
        <f aca="false">Q1247+1</f>
        <v>1033</v>
      </c>
      <c r="R1248" s="824" t="n">
        <f aca="false">R1247-1</f>
        <v>-1033</v>
      </c>
      <c r="S1248" s="5"/>
      <c r="T1248" s="5"/>
      <c r="U1248" s="5"/>
      <c r="V1248" s="10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02"/>
      <c r="AU1248" s="502"/>
      <c r="AV1248" s="606"/>
      <c r="AW1248" s="502"/>
      <c r="AX1248" s="502"/>
      <c r="AY1248" s="502"/>
      <c r="AZ1248" s="502"/>
      <c r="BA1248" s="502"/>
      <c r="BB1248" s="502"/>
      <c r="BC1248" s="502"/>
      <c r="BD1248" s="502"/>
      <c r="BE1248" s="502"/>
      <c r="BF1248" s="502"/>
      <c r="BG1248" s="502"/>
      <c r="BH1248" s="502"/>
      <c r="BI1248" s="502"/>
      <c r="BJ1248" s="502"/>
      <c r="BK1248" s="502"/>
      <c r="BL1248" s="502"/>
      <c r="BM1248" s="502"/>
      <c r="BN1248" s="502"/>
      <c r="BO1248" s="502"/>
      <c r="BP1248" s="5"/>
      <c r="BQ1248" s="5"/>
      <c r="BR1248" s="5"/>
      <c r="BS1248" s="5"/>
      <c r="BT1248" s="5"/>
      <c r="BU1248" s="5"/>
      <c r="BV1248" s="5"/>
      <c r="BW1248" s="5"/>
      <c r="BX1248" s="5"/>
      <c r="BY1248" s="5"/>
      <c r="BZ1248" s="5"/>
      <c r="CA1248" s="5"/>
      <c r="CB1248" s="5"/>
      <c r="CC1248" s="5"/>
      <c r="CD1248" s="5"/>
      <c r="CE1248" s="5"/>
      <c r="CF1248" s="5"/>
      <c r="CG1248" s="5"/>
      <c r="CH1248" s="5"/>
      <c r="CI1248" s="5"/>
      <c r="CJ1248" s="5"/>
      <c r="CK1248" s="5"/>
      <c r="CL1248" s="5"/>
      <c r="CM1248" s="5"/>
      <c r="CN1248" s="5"/>
      <c r="CO1248" s="5"/>
      <c r="CP1248" s="5"/>
      <c r="CQ1248" s="5"/>
      <c r="CR1248" s="5"/>
      <c r="CS1248" s="5"/>
      <c r="CT1248" s="5"/>
      <c r="CU1248" s="5"/>
      <c r="CV1248" s="5"/>
      <c r="CW1248" s="5"/>
      <c r="CX1248" s="5"/>
      <c r="CY1248" s="5"/>
      <c r="CZ1248" s="5"/>
      <c r="DA1248" s="5"/>
      <c r="DB1248" s="5"/>
      <c r="DC1248" s="5"/>
      <c r="DD1248" s="5"/>
      <c r="DE1248" s="5"/>
      <c r="DF1248" s="5"/>
      <c r="DG1248" s="5"/>
      <c r="DH1248" s="5"/>
      <c r="DI1248" s="5"/>
      <c r="DJ1248" s="5"/>
      <c r="DK1248" s="5"/>
      <c r="DL1248" s="5"/>
      <c r="DM1248" s="5"/>
      <c r="DN1248" s="5"/>
      <c r="DO1248" s="5"/>
      <c r="DP1248" s="5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  <c r="GV1248" s="1"/>
      <c r="GW1248" s="1"/>
      <c r="GX1248" s="1"/>
      <c r="GY1248" s="1"/>
      <c r="GZ1248" s="1"/>
      <c r="HA1248" s="1"/>
      <c r="HB1248" s="1"/>
      <c r="HC1248" s="1"/>
      <c r="HD1248" s="1"/>
      <c r="HE1248" s="1"/>
      <c r="HF1248" s="1"/>
      <c r="HG1248" s="1"/>
      <c r="HH1248" s="1"/>
      <c r="HI1248" s="1"/>
      <c r="HJ1248" s="1"/>
      <c r="HK1248" s="1"/>
      <c r="HL1248" s="1"/>
      <c r="HM1248" s="1"/>
      <c r="HN1248" s="1"/>
      <c r="HO1248" s="1"/>
      <c r="HP1248" s="1"/>
      <c r="HQ1248" s="1"/>
      <c r="HR1248" s="1"/>
      <c r="HS1248" s="1"/>
      <c r="HT1248" s="1"/>
      <c r="HU1248" s="1"/>
      <c r="HV1248" s="1"/>
      <c r="HW1248" s="1"/>
      <c r="HX1248" s="1"/>
      <c r="HY1248" s="1"/>
      <c r="HZ1248" s="1"/>
      <c r="IA1248" s="1"/>
      <c r="IB1248" s="1"/>
      <c r="IC1248" s="1"/>
      <c r="ID1248" s="1"/>
      <c r="IE1248" s="1"/>
      <c r="IF1248" s="1"/>
      <c r="IG1248" s="1"/>
      <c r="IH1248" s="1"/>
      <c r="II1248" s="1"/>
      <c r="IJ1248" s="1"/>
      <c r="IK1248" s="1"/>
      <c r="IL1248" s="1"/>
      <c r="IM1248" s="1"/>
      <c r="IN1248" s="1"/>
      <c r="IO1248" s="1"/>
      <c r="IP1248" s="1"/>
      <c r="IQ1248" s="1"/>
      <c r="IR1248" s="1"/>
      <c r="IS1248" s="1"/>
      <c r="IT1248" s="1"/>
      <c r="IU1248" s="1"/>
      <c r="IV1248" s="1"/>
      <c r="IW1248" s="1"/>
      <c r="IX1248" s="1"/>
      <c r="IY1248" s="1"/>
      <c r="IZ1248" s="1"/>
      <c r="JA1248" s="1"/>
      <c r="JB1248" s="1"/>
      <c r="JC1248" s="1"/>
      <c r="JD1248" s="1"/>
    </row>
    <row r="1249" s="504" customFormat="true" ht="12.75" hidden="true" customHeight="true" outlineLevel="0" collapsed="false">
      <c r="A1249" s="5"/>
      <c r="B1249" s="813" t="n">
        <f aca="false">B1248+1</f>
        <v>1034</v>
      </c>
      <c r="C1249" s="814" t="n">
        <f aca="false">C1248+D1249</f>
        <v>165944.878579603</v>
      </c>
      <c r="D1249" s="815" t="n">
        <f aca="false">E1249*$E$205*M1249</f>
        <v>242.345780910888</v>
      </c>
      <c r="E1249" s="601" t="n">
        <f aca="false">E1248+$C$204</f>
        <v>15.3694686016545</v>
      </c>
      <c r="F1249" s="816" t="n">
        <f aca="false">F1248+1</f>
        <v>1034</v>
      </c>
      <c r="G1249" s="775" t="n">
        <f aca="false">C1249</f>
        <v>165944.878579603</v>
      </c>
      <c r="H1249" s="817" t="n">
        <f aca="false">1000*(E1249-E1248)</f>
        <v>9.99999999999979</v>
      </c>
      <c r="I1249" s="5"/>
      <c r="J1249" s="818" t="n">
        <f aca="false">1000*(E1249-$E$215)/(B1249-$B$215)</f>
        <v>11.5221178226031</v>
      </c>
      <c r="K1249" s="732" t="n">
        <f aca="false">AVERAGE($E$216:E1249)</f>
        <v>10.1971185049428</v>
      </c>
      <c r="L1249" s="819" t="n">
        <f aca="false">L1248+1</f>
        <v>1034</v>
      </c>
      <c r="M1249" s="820" t="n">
        <f aca="false">IF(B1249&lt;$E$104,$E$105,$E$106)</f>
        <v>3</v>
      </c>
      <c r="N1249" s="821" t="n">
        <f aca="false">IF(B1249&lt;$E$104,$E$105,$E$111)</f>
        <v>2.5</v>
      </c>
      <c r="O1249" s="822" t="n">
        <f aca="false">E1249*$E$205*N1249</f>
        <v>201.95481742574</v>
      </c>
      <c r="P1249" s="823" t="n">
        <f aca="false">P1248+O1249</f>
        <v>138339.079416712</v>
      </c>
      <c r="Q1249" s="606" t="n">
        <f aca="false">Q1248+1</f>
        <v>1034</v>
      </c>
      <c r="R1249" s="824" t="n">
        <f aca="false">R1248-1</f>
        <v>-1034</v>
      </c>
      <c r="S1249" s="5"/>
      <c r="T1249" s="5"/>
      <c r="U1249" s="5"/>
      <c r="V1249" s="10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02"/>
      <c r="AU1249" s="502"/>
      <c r="AV1249" s="606"/>
      <c r="AW1249" s="502"/>
      <c r="AX1249" s="502"/>
      <c r="AY1249" s="502"/>
      <c r="AZ1249" s="502"/>
      <c r="BA1249" s="502"/>
      <c r="BB1249" s="502"/>
      <c r="BC1249" s="502"/>
      <c r="BD1249" s="502"/>
      <c r="BE1249" s="502"/>
      <c r="BF1249" s="502"/>
      <c r="BG1249" s="502"/>
      <c r="BH1249" s="502"/>
      <c r="BI1249" s="502"/>
      <c r="BJ1249" s="502"/>
      <c r="BK1249" s="502"/>
      <c r="BL1249" s="502"/>
      <c r="BM1249" s="502"/>
      <c r="BN1249" s="502"/>
      <c r="BO1249" s="502"/>
      <c r="BP1249" s="5"/>
      <c r="BQ1249" s="5"/>
      <c r="BR1249" s="5"/>
      <c r="BS1249" s="5"/>
      <c r="BT1249" s="5"/>
      <c r="BU1249" s="5"/>
      <c r="BV1249" s="5"/>
      <c r="BW1249" s="5"/>
      <c r="BX1249" s="5"/>
      <c r="BY1249" s="5"/>
      <c r="BZ1249" s="5"/>
      <c r="CA1249" s="5"/>
      <c r="CB1249" s="5"/>
      <c r="CC1249" s="5"/>
      <c r="CD1249" s="5"/>
      <c r="CE1249" s="5"/>
      <c r="CF1249" s="5"/>
      <c r="CG1249" s="5"/>
      <c r="CH1249" s="5"/>
      <c r="CI1249" s="5"/>
      <c r="CJ1249" s="5"/>
      <c r="CK1249" s="5"/>
      <c r="CL1249" s="5"/>
      <c r="CM1249" s="5"/>
      <c r="CN1249" s="5"/>
      <c r="CO1249" s="5"/>
      <c r="CP1249" s="5"/>
      <c r="CQ1249" s="5"/>
      <c r="CR1249" s="5"/>
      <c r="CS1249" s="5"/>
      <c r="CT1249" s="5"/>
      <c r="CU1249" s="5"/>
      <c r="CV1249" s="5"/>
      <c r="CW1249" s="5"/>
      <c r="CX1249" s="5"/>
      <c r="CY1249" s="5"/>
      <c r="CZ1249" s="5"/>
      <c r="DA1249" s="5"/>
      <c r="DB1249" s="5"/>
      <c r="DC1249" s="5"/>
      <c r="DD1249" s="5"/>
      <c r="DE1249" s="5"/>
      <c r="DF1249" s="5"/>
      <c r="DG1249" s="5"/>
      <c r="DH1249" s="5"/>
      <c r="DI1249" s="5"/>
      <c r="DJ1249" s="5"/>
      <c r="DK1249" s="5"/>
      <c r="DL1249" s="5"/>
      <c r="DM1249" s="5"/>
      <c r="DN1249" s="5"/>
      <c r="DO1249" s="5"/>
      <c r="DP1249" s="5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  <c r="GV1249" s="1"/>
      <c r="GW1249" s="1"/>
      <c r="GX1249" s="1"/>
      <c r="GY1249" s="1"/>
      <c r="GZ1249" s="1"/>
      <c r="HA1249" s="1"/>
      <c r="HB1249" s="1"/>
      <c r="HC1249" s="1"/>
      <c r="HD1249" s="1"/>
      <c r="HE1249" s="1"/>
      <c r="HF1249" s="1"/>
      <c r="HG1249" s="1"/>
      <c r="HH1249" s="1"/>
      <c r="HI1249" s="1"/>
      <c r="HJ1249" s="1"/>
      <c r="HK1249" s="1"/>
      <c r="HL1249" s="1"/>
      <c r="HM1249" s="1"/>
      <c r="HN1249" s="1"/>
      <c r="HO1249" s="1"/>
      <c r="HP1249" s="1"/>
      <c r="HQ1249" s="1"/>
      <c r="HR1249" s="1"/>
      <c r="HS1249" s="1"/>
      <c r="HT1249" s="1"/>
      <c r="HU1249" s="1"/>
      <c r="HV1249" s="1"/>
      <c r="HW1249" s="1"/>
      <c r="HX1249" s="1"/>
      <c r="HY1249" s="1"/>
      <c r="HZ1249" s="1"/>
      <c r="IA1249" s="1"/>
      <c r="IB1249" s="1"/>
      <c r="IC1249" s="1"/>
      <c r="ID1249" s="1"/>
      <c r="IE1249" s="1"/>
      <c r="IF1249" s="1"/>
      <c r="IG1249" s="1"/>
      <c r="IH1249" s="1"/>
      <c r="II1249" s="1"/>
      <c r="IJ1249" s="1"/>
      <c r="IK1249" s="1"/>
      <c r="IL1249" s="1"/>
      <c r="IM1249" s="1"/>
      <c r="IN1249" s="1"/>
      <c r="IO1249" s="1"/>
      <c r="IP1249" s="1"/>
      <c r="IQ1249" s="1"/>
      <c r="IR1249" s="1"/>
      <c r="IS1249" s="1"/>
      <c r="IT1249" s="1"/>
      <c r="IU1249" s="1"/>
      <c r="IV1249" s="1"/>
      <c r="IW1249" s="1"/>
      <c r="IX1249" s="1"/>
      <c r="IY1249" s="1"/>
      <c r="IZ1249" s="1"/>
      <c r="JA1249" s="1"/>
      <c r="JB1249" s="1"/>
      <c r="JC1249" s="1"/>
      <c r="JD1249" s="1"/>
    </row>
    <row r="1250" s="504" customFormat="true" ht="12.75" hidden="true" customHeight="true" outlineLevel="0" collapsed="false">
      <c r="A1250" s="5"/>
      <c r="B1250" s="813" t="n">
        <f aca="false">B1249+1</f>
        <v>1035</v>
      </c>
      <c r="C1250" s="814" t="n">
        <f aca="false">C1249+D1250</f>
        <v>166187.382040513</v>
      </c>
      <c r="D1250" s="815" t="n">
        <f aca="false">E1250*$E$205*M1250</f>
        <v>242.503460910888</v>
      </c>
      <c r="E1250" s="601" t="n">
        <f aca="false">E1249+$C$204</f>
        <v>15.3794686016545</v>
      </c>
      <c r="F1250" s="816" t="n">
        <f aca="false">F1249+1</f>
        <v>1035</v>
      </c>
      <c r="G1250" s="775" t="n">
        <f aca="false">C1250</f>
        <v>166187.382040513</v>
      </c>
      <c r="H1250" s="817" t="n">
        <f aca="false">1000*(E1250-E1249)</f>
        <v>9.99999999999979</v>
      </c>
      <c r="I1250" s="5"/>
      <c r="J1250" s="818" t="n">
        <f aca="false">1000*(E1250-$E$215)/(B1250-$B$215)</f>
        <v>11.5206471773639</v>
      </c>
      <c r="K1250" s="732" t="n">
        <f aca="false">AVERAGE($E$216:E1250)</f>
        <v>10.2021256064855</v>
      </c>
      <c r="L1250" s="819" t="n">
        <f aca="false">L1249+1</f>
        <v>1035</v>
      </c>
      <c r="M1250" s="820" t="n">
        <f aca="false">IF(B1250&lt;$E$104,$E$105,$E$106)</f>
        <v>3</v>
      </c>
      <c r="N1250" s="821" t="n">
        <f aca="false">IF(B1250&lt;$E$104,$E$105,$E$111)</f>
        <v>2.5</v>
      </c>
      <c r="O1250" s="822" t="n">
        <f aca="false">E1250*$E$205*N1250</f>
        <v>202.08621742574</v>
      </c>
      <c r="P1250" s="823" t="n">
        <f aca="false">P1249+O1250</f>
        <v>138541.165634137</v>
      </c>
      <c r="Q1250" s="606" t="n">
        <f aca="false">Q1249+1</f>
        <v>1035</v>
      </c>
      <c r="R1250" s="824" t="n">
        <f aca="false">R1249-1</f>
        <v>-1035</v>
      </c>
      <c r="S1250" s="5"/>
      <c r="T1250" s="5"/>
      <c r="U1250" s="5"/>
      <c r="V1250" s="10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02"/>
      <c r="AU1250" s="502"/>
      <c r="AV1250" s="606"/>
      <c r="AW1250" s="502"/>
      <c r="AX1250" s="502"/>
      <c r="AY1250" s="502"/>
      <c r="AZ1250" s="502"/>
      <c r="BA1250" s="502"/>
      <c r="BB1250" s="502"/>
      <c r="BC1250" s="502"/>
      <c r="BD1250" s="502"/>
      <c r="BE1250" s="502"/>
      <c r="BF1250" s="502"/>
      <c r="BG1250" s="502"/>
      <c r="BH1250" s="502"/>
      <c r="BI1250" s="502"/>
      <c r="BJ1250" s="502"/>
      <c r="BK1250" s="502"/>
      <c r="BL1250" s="502"/>
      <c r="BM1250" s="502"/>
      <c r="BN1250" s="502"/>
      <c r="BO1250" s="502"/>
      <c r="BP1250" s="5"/>
      <c r="BQ1250" s="5"/>
      <c r="BR1250" s="5"/>
      <c r="BS1250" s="5"/>
      <c r="BT1250" s="5"/>
      <c r="BU1250" s="5"/>
      <c r="BV1250" s="5"/>
      <c r="BW1250" s="5"/>
      <c r="BX1250" s="5"/>
      <c r="BY1250" s="5"/>
      <c r="BZ1250" s="5"/>
      <c r="CA1250" s="5"/>
      <c r="CB1250" s="5"/>
      <c r="CC1250" s="5"/>
      <c r="CD1250" s="5"/>
      <c r="CE1250" s="5"/>
      <c r="CF1250" s="5"/>
      <c r="CG1250" s="5"/>
      <c r="CH1250" s="5"/>
      <c r="CI1250" s="5"/>
      <c r="CJ1250" s="5"/>
      <c r="CK1250" s="5"/>
      <c r="CL1250" s="5"/>
      <c r="CM1250" s="5"/>
      <c r="CN1250" s="5"/>
      <c r="CO1250" s="5"/>
      <c r="CP1250" s="5"/>
      <c r="CQ1250" s="5"/>
      <c r="CR1250" s="5"/>
      <c r="CS1250" s="5"/>
      <c r="CT1250" s="5"/>
      <c r="CU1250" s="5"/>
      <c r="CV1250" s="5"/>
      <c r="CW1250" s="5"/>
      <c r="CX1250" s="5"/>
      <c r="CY1250" s="5"/>
      <c r="CZ1250" s="5"/>
      <c r="DA1250" s="5"/>
      <c r="DB1250" s="5"/>
      <c r="DC1250" s="5"/>
      <c r="DD1250" s="5"/>
      <c r="DE1250" s="5"/>
      <c r="DF1250" s="5"/>
      <c r="DG1250" s="5"/>
      <c r="DH1250" s="5"/>
      <c r="DI1250" s="5"/>
      <c r="DJ1250" s="5"/>
      <c r="DK1250" s="5"/>
      <c r="DL1250" s="5"/>
      <c r="DM1250" s="5"/>
      <c r="DN1250" s="5"/>
      <c r="DO1250" s="5"/>
      <c r="DP1250" s="5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  <c r="GV1250" s="1"/>
      <c r="GW1250" s="1"/>
      <c r="GX1250" s="1"/>
      <c r="GY1250" s="1"/>
      <c r="GZ1250" s="1"/>
      <c r="HA1250" s="1"/>
      <c r="HB1250" s="1"/>
      <c r="HC1250" s="1"/>
      <c r="HD1250" s="1"/>
      <c r="HE1250" s="1"/>
      <c r="HF1250" s="1"/>
      <c r="HG1250" s="1"/>
      <c r="HH1250" s="1"/>
      <c r="HI1250" s="1"/>
      <c r="HJ1250" s="1"/>
      <c r="HK1250" s="1"/>
      <c r="HL1250" s="1"/>
      <c r="HM1250" s="1"/>
      <c r="HN1250" s="1"/>
      <c r="HO1250" s="1"/>
      <c r="HP1250" s="1"/>
      <c r="HQ1250" s="1"/>
      <c r="HR1250" s="1"/>
      <c r="HS1250" s="1"/>
      <c r="HT1250" s="1"/>
      <c r="HU1250" s="1"/>
      <c r="HV1250" s="1"/>
      <c r="HW1250" s="1"/>
      <c r="HX1250" s="1"/>
      <c r="HY1250" s="1"/>
      <c r="HZ1250" s="1"/>
      <c r="IA1250" s="1"/>
      <c r="IB1250" s="1"/>
      <c r="IC1250" s="1"/>
      <c r="ID1250" s="1"/>
      <c r="IE1250" s="1"/>
      <c r="IF1250" s="1"/>
      <c r="IG1250" s="1"/>
      <c r="IH1250" s="1"/>
      <c r="II1250" s="1"/>
      <c r="IJ1250" s="1"/>
      <c r="IK1250" s="1"/>
      <c r="IL1250" s="1"/>
      <c r="IM1250" s="1"/>
      <c r="IN1250" s="1"/>
      <c r="IO1250" s="1"/>
      <c r="IP1250" s="1"/>
      <c r="IQ1250" s="1"/>
      <c r="IR1250" s="1"/>
      <c r="IS1250" s="1"/>
      <c r="IT1250" s="1"/>
      <c r="IU1250" s="1"/>
      <c r="IV1250" s="1"/>
      <c r="IW1250" s="1"/>
      <c r="IX1250" s="1"/>
      <c r="IY1250" s="1"/>
      <c r="IZ1250" s="1"/>
      <c r="JA1250" s="1"/>
      <c r="JB1250" s="1"/>
      <c r="JC1250" s="1"/>
      <c r="JD1250" s="1"/>
    </row>
    <row r="1251" s="504" customFormat="true" ht="12.75" hidden="true" customHeight="true" outlineLevel="0" collapsed="false">
      <c r="A1251" s="5"/>
      <c r="B1251" s="813" t="n">
        <f aca="false">B1250+1</f>
        <v>1036</v>
      </c>
      <c r="C1251" s="814" t="n">
        <f aca="false">C1250+D1251</f>
        <v>166430.043181424</v>
      </c>
      <c r="D1251" s="815" t="n">
        <f aca="false">E1251*$E$205*M1251</f>
        <v>242.661140910888</v>
      </c>
      <c r="E1251" s="601" t="n">
        <f aca="false">E1250+$C$204</f>
        <v>15.3894686016545</v>
      </c>
      <c r="F1251" s="816" t="n">
        <f aca="false">F1250+1</f>
        <v>1036</v>
      </c>
      <c r="G1251" s="775" t="n">
        <f aca="false">C1251</f>
        <v>166430.043181424</v>
      </c>
      <c r="H1251" s="817" t="n">
        <f aca="false">1000*(E1251-E1250)</f>
        <v>9.99999999999979</v>
      </c>
      <c r="I1251" s="5"/>
      <c r="J1251" s="818" t="n">
        <f aca="false">1000*(E1251-$E$215)/(B1251-$B$215)</f>
        <v>11.5191793712081</v>
      </c>
      <c r="K1251" s="732" t="n">
        <f aca="false">AVERAGE($E$216:E1251)</f>
        <v>10.2071326943187</v>
      </c>
      <c r="L1251" s="819" t="n">
        <f aca="false">L1250+1</f>
        <v>1036</v>
      </c>
      <c r="M1251" s="820" t="n">
        <f aca="false">IF(B1251&lt;$E$104,$E$105,$E$106)</f>
        <v>3</v>
      </c>
      <c r="N1251" s="821" t="n">
        <f aca="false">IF(B1251&lt;$E$104,$E$105,$E$111)</f>
        <v>2.5</v>
      </c>
      <c r="O1251" s="822" t="n">
        <f aca="false">E1251*$E$205*N1251</f>
        <v>202.21761742574</v>
      </c>
      <c r="P1251" s="823" t="n">
        <f aca="false">P1250+O1251</f>
        <v>138743.383251563</v>
      </c>
      <c r="Q1251" s="606" t="n">
        <f aca="false">Q1250+1</f>
        <v>1036</v>
      </c>
      <c r="R1251" s="824" t="n">
        <f aca="false">R1250-1</f>
        <v>-1036</v>
      </c>
      <c r="S1251" s="5"/>
      <c r="T1251" s="5"/>
      <c r="U1251" s="5"/>
      <c r="V1251" s="10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02"/>
      <c r="AU1251" s="502"/>
      <c r="AV1251" s="606"/>
      <c r="AW1251" s="502"/>
      <c r="AX1251" s="502"/>
      <c r="AY1251" s="502"/>
      <c r="AZ1251" s="502"/>
      <c r="BA1251" s="502"/>
      <c r="BB1251" s="502"/>
      <c r="BC1251" s="502"/>
      <c r="BD1251" s="502"/>
      <c r="BE1251" s="502"/>
      <c r="BF1251" s="502"/>
      <c r="BG1251" s="502"/>
      <c r="BH1251" s="502"/>
      <c r="BI1251" s="502"/>
      <c r="BJ1251" s="502"/>
      <c r="BK1251" s="502"/>
      <c r="BL1251" s="502"/>
      <c r="BM1251" s="502"/>
      <c r="BN1251" s="502"/>
      <c r="BO1251" s="502"/>
      <c r="BP1251" s="5"/>
      <c r="BQ1251" s="5"/>
      <c r="BR1251" s="5"/>
      <c r="BS1251" s="5"/>
      <c r="BT1251" s="5"/>
      <c r="BU1251" s="5"/>
      <c r="BV1251" s="5"/>
      <c r="BW1251" s="5"/>
      <c r="BX1251" s="5"/>
      <c r="BY1251" s="5"/>
      <c r="BZ1251" s="5"/>
      <c r="CA1251" s="5"/>
      <c r="CB1251" s="5"/>
      <c r="CC1251" s="5"/>
      <c r="CD1251" s="5"/>
      <c r="CE1251" s="5"/>
      <c r="CF1251" s="5"/>
      <c r="CG1251" s="5"/>
      <c r="CH1251" s="5"/>
      <c r="CI1251" s="5"/>
      <c r="CJ1251" s="5"/>
      <c r="CK1251" s="5"/>
      <c r="CL1251" s="5"/>
      <c r="CM1251" s="5"/>
      <c r="CN1251" s="5"/>
      <c r="CO1251" s="5"/>
      <c r="CP1251" s="5"/>
      <c r="CQ1251" s="5"/>
      <c r="CR1251" s="5"/>
      <c r="CS1251" s="5"/>
      <c r="CT1251" s="5"/>
      <c r="CU1251" s="5"/>
      <c r="CV1251" s="5"/>
      <c r="CW1251" s="5"/>
      <c r="CX1251" s="5"/>
      <c r="CY1251" s="5"/>
      <c r="CZ1251" s="5"/>
      <c r="DA1251" s="5"/>
      <c r="DB1251" s="5"/>
      <c r="DC1251" s="5"/>
      <c r="DD1251" s="5"/>
      <c r="DE1251" s="5"/>
      <c r="DF1251" s="5"/>
      <c r="DG1251" s="5"/>
      <c r="DH1251" s="5"/>
      <c r="DI1251" s="5"/>
      <c r="DJ1251" s="5"/>
      <c r="DK1251" s="5"/>
      <c r="DL1251" s="5"/>
      <c r="DM1251" s="5"/>
      <c r="DN1251" s="5"/>
      <c r="DO1251" s="5"/>
      <c r="DP1251" s="5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  <c r="GV1251" s="1"/>
      <c r="GW1251" s="1"/>
      <c r="GX1251" s="1"/>
      <c r="GY1251" s="1"/>
      <c r="GZ1251" s="1"/>
      <c r="HA1251" s="1"/>
      <c r="HB1251" s="1"/>
      <c r="HC1251" s="1"/>
      <c r="HD1251" s="1"/>
      <c r="HE1251" s="1"/>
      <c r="HF1251" s="1"/>
      <c r="HG1251" s="1"/>
      <c r="HH1251" s="1"/>
      <c r="HI1251" s="1"/>
      <c r="HJ1251" s="1"/>
      <c r="HK1251" s="1"/>
      <c r="HL1251" s="1"/>
      <c r="HM1251" s="1"/>
      <c r="HN1251" s="1"/>
      <c r="HO1251" s="1"/>
      <c r="HP1251" s="1"/>
      <c r="HQ1251" s="1"/>
      <c r="HR1251" s="1"/>
      <c r="HS1251" s="1"/>
      <c r="HT1251" s="1"/>
      <c r="HU1251" s="1"/>
      <c r="HV1251" s="1"/>
      <c r="HW1251" s="1"/>
      <c r="HX1251" s="1"/>
      <c r="HY1251" s="1"/>
      <c r="HZ1251" s="1"/>
      <c r="IA1251" s="1"/>
      <c r="IB1251" s="1"/>
      <c r="IC1251" s="1"/>
      <c r="ID1251" s="1"/>
      <c r="IE1251" s="1"/>
      <c r="IF1251" s="1"/>
      <c r="IG1251" s="1"/>
      <c r="IH1251" s="1"/>
      <c r="II1251" s="1"/>
      <c r="IJ1251" s="1"/>
      <c r="IK1251" s="1"/>
      <c r="IL1251" s="1"/>
      <c r="IM1251" s="1"/>
      <c r="IN1251" s="1"/>
      <c r="IO1251" s="1"/>
      <c r="IP1251" s="1"/>
      <c r="IQ1251" s="1"/>
      <c r="IR1251" s="1"/>
      <c r="IS1251" s="1"/>
      <c r="IT1251" s="1"/>
      <c r="IU1251" s="1"/>
      <c r="IV1251" s="1"/>
      <c r="IW1251" s="1"/>
      <c r="IX1251" s="1"/>
      <c r="IY1251" s="1"/>
      <c r="IZ1251" s="1"/>
      <c r="JA1251" s="1"/>
      <c r="JB1251" s="1"/>
      <c r="JC1251" s="1"/>
      <c r="JD1251" s="1"/>
    </row>
    <row r="1252" s="504" customFormat="true" ht="12.75" hidden="true" customHeight="true" outlineLevel="0" collapsed="false">
      <c r="A1252" s="5"/>
      <c r="B1252" s="813" t="n">
        <f aca="false">B1251+1</f>
        <v>1037</v>
      </c>
      <c r="C1252" s="814" t="n">
        <f aca="false">C1251+D1252</f>
        <v>166672.862002335</v>
      </c>
      <c r="D1252" s="815" t="n">
        <f aca="false">E1252*$E$205*M1252</f>
        <v>242.818820910888</v>
      </c>
      <c r="E1252" s="601" t="n">
        <f aca="false">E1251+$C$204</f>
        <v>15.3994686016545</v>
      </c>
      <c r="F1252" s="816" t="n">
        <f aca="false">F1251+1</f>
        <v>1037</v>
      </c>
      <c r="G1252" s="775" t="n">
        <f aca="false">C1252</f>
        <v>166672.862002335</v>
      </c>
      <c r="H1252" s="817" t="n">
        <f aca="false">1000*(E1252-E1251)</f>
        <v>9.99999999999979</v>
      </c>
      <c r="I1252" s="5"/>
      <c r="J1252" s="818" t="n">
        <f aca="false">1000*(E1252-$E$215)/(B1252-$B$215)</f>
        <v>11.5177143959225</v>
      </c>
      <c r="K1252" s="732" t="n">
        <f aca="false">AVERAGE($E$216:E1252)</f>
        <v>10.212139768482</v>
      </c>
      <c r="L1252" s="819" t="n">
        <f aca="false">L1251+1</f>
        <v>1037</v>
      </c>
      <c r="M1252" s="820" t="n">
        <f aca="false">IF(B1252&lt;$E$104,$E$105,$E$106)</f>
        <v>3</v>
      </c>
      <c r="N1252" s="821" t="n">
        <f aca="false">IF(B1252&lt;$E$104,$E$105,$E$111)</f>
        <v>2.5</v>
      </c>
      <c r="O1252" s="822" t="n">
        <f aca="false">E1252*$E$205*N1252</f>
        <v>202.34901742574</v>
      </c>
      <c r="P1252" s="823" t="n">
        <f aca="false">P1251+O1252</f>
        <v>138945.732268989</v>
      </c>
      <c r="Q1252" s="606" t="n">
        <f aca="false">Q1251+1</f>
        <v>1037</v>
      </c>
      <c r="R1252" s="824" t="n">
        <f aca="false">R1251-1</f>
        <v>-1037</v>
      </c>
      <c r="S1252" s="5"/>
      <c r="T1252" s="5"/>
      <c r="U1252" s="5"/>
      <c r="V1252" s="10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02"/>
      <c r="AU1252" s="502"/>
      <c r="AV1252" s="606"/>
      <c r="AW1252" s="502"/>
      <c r="AX1252" s="502"/>
      <c r="AY1252" s="502"/>
      <c r="AZ1252" s="502"/>
      <c r="BA1252" s="502"/>
      <c r="BB1252" s="502"/>
      <c r="BC1252" s="502"/>
      <c r="BD1252" s="502"/>
      <c r="BE1252" s="502"/>
      <c r="BF1252" s="502"/>
      <c r="BG1252" s="502"/>
      <c r="BH1252" s="502"/>
      <c r="BI1252" s="502"/>
      <c r="BJ1252" s="502"/>
      <c r="BK1252" s="502"/>
      <c r="BL1252" s="502"/>
      <c r="BM1252" s="502"/>
      <c r="BN1252" s="502"/>
      <c r="BO1252" s="502"/>
      <c r="BP1252" s="5"/>
      <c r="BQ1252" s="5"/>
      <c r="BR1252" s="5"/>
      <c r="BS1252" s="5"/>
      <c r="BT1252" s="5"/>
      <c r="BU1252" s="5"/>
      <c r="BV1252" s="5"/>
      <c r="BW1252" s="5"/>
      <c r="BX1252" s="5"/>
      <c r="BY1252" s="5"/>
      <c r="BZ1252" s="5"/>
      <c r="CA1252" s="5"/>
      <c r="CB1252" s="5"/>
      <c r="CC1252" s="5"/>
      <c r="CD1252" s="5"/>
      <c r="CE1252" s="5"/>
      <c r="CF1252" s="5"/>
      <c r="CG1252" s="5"/>
      <c r="CH1252" s="5"/>
      <c r="CI1252" s="5"/>
      <c r="CJ1252" s="5"/>
      <c r="CK1252" s="5"/>
      <c r="CL1252" s="5"/>
      <c r="CM1252" s="5"/>
      <c r="CN1252" s="5"/>
      <c r="CO1252" s="5"/>
      <c r="CP1252" s="5"/>
      <c r="CQ1252" s="5"/>
      <c r="CR1252" s="5"/>
      <c r="CS1252" s="5"/>
      <c r="CT1252" s="5"/>
      <c r="CU1252" s="5"/>
      <c r="CV1252" s="5"/>
      <c r="CW1252" s="5"/>
      <c r="CX1252" s="5"/>
      <c r="CY1252" s="5"/>
      <c r="CZ1252" s="5"/>
      <c r="DA1252" s="5"/>
      <c r="DB1252" s="5"/>
      <c r="DC1252" s="5"/>
      <c r="DD1252" s="5"/>
      <c r="DE1252" s="5"/>
      <c r="DF1252" s="5"/>
      <c r="DG1252" s="5"/>
      <c r="DH1252" s="5"/>
      <c r="DI1252" s="5"/>
      <c r="DJ1252" s="5"/>
      <c r="DK1252" s="5"/>
      <c r="DL1252" s="5"/>
      <c r="DM1252" s="5"/>
      <c r="DN1252" s="5"/>
      <c r="DO1252" s="5"/>
      <c r="DP1252" s="5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  <c r="GV1252" s="1"/>
      <c r="GW1252" s="1"/>
      <c r="GX1252" s="1"/>
      <c r="GY1252" s="1"/>
      <c r="GZ1252" s="1"/>
      <c r="HA1252" s="1"/>
      <c r="HB1252" s="1"/>
      <c r="HC1252" s="1"/>
      <c r="HD1252" s="1"/>
      <c r="HE1252" s="1"/>
      <c r="HF1252" s="1"/>
      <c r="HG1252" s="1"/>
      <c r="HH1252" s="1"/>
      <c r="HI1252" s="1"/>
      <c r="HJ1252" s="1"/>
      <c r="HK1252" s="1"/>
      <c r="HL1252" s="1"/>
      <c r="HM1252" s="1"/>
      <c r="HN1252" s="1"/>
      <c r="HO1252" s="1"/>
      <c r="HP1252" s="1"/>
      <c r="HQ1252" s="1"/>
      <c r="HR1252" s="1"/>
      <c r="HS1252" s="1"/>
      <c r="HT1252" s="1"/>
      <c r="HU1252" s="1"/>
      <c r="HV1252" s="1"/>
      <c r="HW1252" s="1"/>
      <c r="HX1252" s="1"/>
      <c r="HY1252" s="1"/>
      <c r="HZ1252" s="1"/>
      <c r="IA1252" s="1"/>
      <c r="IB1252" s="1"/>
      <c r="IC1252" s="1"/>
      <c r="ID1252" s="1"/>
      <c r="IE1252" s="1"/>
      <c r="IF1252" s="1"/>
      <c r="IG1252" s="1"/>
      <c r="IH1252" s="1"/>
      <c r="II1252" s="1"/>
      <c r="IJ1252" s="1"/>
      <c r="IK1252" s="1"/>
      <c r="IL1252" s="1"/>
      <c r="IM1252" s="1"/>
      <c r="IN1252" s="1"/>
      <c r="IO1252" s="1"/>
      <c r="IP1252" s="1"/>
      <c r="IQ1252" s="1"/>
      <c r="IR1252" s="1"/>
      <c r="IS1252" s="1"/>
      <c r="IT1252" s="1"/>
      <c r="IU1252" s="1"/>
      <c r="IV1252" s="1"/>
      <c r="IW1252" s="1"/>
      <c r="IX1252" s="1"/>
      <c r="IY1252" s="1"/>
      <c r="IZ1252" s="1"/>
      <c r="JA1252" s="1"/>
      <c r="JB1252" s="1"/>
      <c r="JC1252" s="1"/>
      <c r="JD1252" s="1"/>
    </row>
    <row r="1253" s="504" customFormat="true" ht="12.75" hidden="true" customHeight="true" outlineLevel="0" collapsed="false">
      <c r="A1253" s="5"/>
      <c r="B1253" s="813" t="n">
        <f aca="false">B1252+1</f>
        <v>1038</v>
      </c>
      <c r="C1253" s="814" t="n">
        <f aca="false">C1252+D1253</f>
        <v>166915.838503246</v>
      </c>
      <c r="D1253" s="815" t="n">
        <f aca="false">E1253*$E$205*M1253</f>
        <v>242.976500910888</v>
      </c>
      <c r="E1253" s="601" t="n">
        <f aca="false">E1252+$C$204</f>
        <v>15.4094686016545</v>
      </c>
      <c r="F1253" s="816" t="n">
        <f aca="false">F1252+1</f>
        <v>1038</v>
      </c>
      <c r="G1253" s="775" t="n">
        <f aca="false">C1253</f>
        <v>166915.838503246</v>
      </c>
      <c r="H1253" s="817" t="n">
        <f aca="false">1000*(E1253-E1252)</f>
        <v>9.99999999999979</v>
      </c>
      <c r="I1253" s="5"/>
      <c r="J1253" s="818" t="n">
        <f aca="false">1000*(E1253-$E$215)/(B1253-$B$215)</f>
        <v>11.5162522433253</v>
      </c>
      <c r="K1253" s="732" t="n">
        <f aca="false">AVERAGE($E$216:E1253)</f>
        <v>10.2171468290149</v>
      </c>
      <c r="L1253" s="819" t="n">
        <f aca="false">L1252+1</f>
        <v>1038</v>
      </c>
      <c r="M1253" s="820" t="n">
        <f aca="false">IF(B1253&lt;$E$104,$E$105,$E$106)</f>
        <v>3</v>
      </c>
      <c r="N1253" s="821" t="n">
        <f aca="false">IF(B1253&lt;$E$104,$E$105,$E$111)</f>
        <v>2.5</v>
      </c>
      <c r="O1253" s="822" t="n">
        <f aca="false">E1253*$E$205*N1253</f>
        <v>202.48041742574</v>
      </c>
      <c r="P1253" s="823" t="n">
        <f aca="false">P1252+O1253</f>
        <v>139148.212686415</v>
      </c>
      <c r="Q1253" s="606" t="n">
        <f aca="false">Q1252+1</f>
        <v>1038</v>
      </c>
      <c r="R1253" s="824" t="n">
        <f aca="false">R1252-1</f>
        <v>-1038</v>
      </c>
      <c r="S1253" s="5"/>
      <c r="T1253" s="5"/>
      <c r="U1253" s="5"/>
      <c r="V1253" s="10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02"/>
      <c r="AU1253" s="502"/>
      <c r="AV1253" s="606"/>
      <c r="AW1253" s="502"/>
      <c r="AX1253" s="502"/>
      <c r="AY1253" s="502"/>
      <c r="AZ1253" s="502"/>
      <c r="BA1253" s="502"/>
      <c r="BB1253" s="502"/>
      <c r="BC1253" s="502"/>
      <c r="BD1253" s="502"/>
      <c r="BE1253" s="502"/>
      <c r="BF1253" s="502"/>
      <c r="BG1253" s="502"/>
      <c r="BH1253" s="502"/>
      <c r="BI1253" s="502"/>
      <c r="BJ1253" s="502"/>
      <c r="BK1253" s="502"/>
      <c r="BL1253" s="502"/>
      <c r="BM1253" s="502"/>
      <c r="BN1253" s="502"/>
      <c r="BO1253" s="502"/>
      <c r="BP1253" s="5"/>
      <c r="BQ1253" s="5"/>
      <c r="BR1253" s="5"/>
      <c r="BS1253" s="5"/>
      <c r="BT1253" s="5"/>
      <c r="BU1253" s="5"/>
      <c r="BV1253" s="5"/>
      <c r="BW1253" s="5"/>
      <c r="BX1253" s="5"/>
      <c r="BY1253" s="5"/>
      <c r="BZ1253" s="5"/>
      <c r="CA1253" s="5"/>
      <c r="CB1253" s="5"/>
      <c r="CC1253" s="5"/>
      <c r="CD1253" s="5"/>
      <c r="CE1253" s="5"/>
      <c r="CF1253" s="5"/>
      <c r="CG1253" s="5"/>
      <c r="CH1253" s="5"/>
      <c r="CI1253" s="5"/>
      <c r="CJ1253" s="5"/>
      <c r="CK1253" s="5"/>
      <c r="CL1253" s="5"/>
      <c r="CM1253" s="5"/>
      <c r="CN1253" s="5"/>
      <c r="CO1253" s="5"/>
      <c r="CP1253" s="5"/>
      <c r="CQ1253" s="5"/>
      <c r="CR1253" s="5"/>
      <c r="CS1253" s="5"/>
      <c r="CT1253" s="5"/>
      <c r="CU1253" s="5"/>
      <c r="CV1253" s="5"/>
      <c r="CW1253" s="5"/>
      <c r="CX1253" s="5"/>
      <c r="CY1253" s="5"/>
      <c r="CZ1253" s="5"/>
      <c r="DA1253" s="5"/>
      <c r="DB1253" s="5"/>
      <c r="DC1253" s="5"/>
      <c r="DD1253" s="5"/>
      <c r="DE1253" s="5"/>
      <c r="DF1253" s="5"/>
      <c r="DG1253" s="5"/>
      <c r="DH1253" s="5"/>
      <c r="DI1253" s="5"/>
      <c r="DJ1253" s="5"/>
      <c r="DK1253" s="5"/>
      <c r="DL1253" s="5"/>
      <c r="DM1253" s="5"/>
      <c r="DN1253" s="5"/>
      <c r="DO1253" s="5"/>
      <c r="DP1253" s="5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  <c r="GV1253" s="1"/>
      <c r="GW1253" s="1"/>
      <c r="GX1253" s="1"/>
      <c r="GY1253" s="1"/>
      <c r="GZ1253" s="1"/>
      <c r="HA1253" s="1"/>
      <c r="HB1253" s="1"/>
      <c r="HC1253" s="1"/>
      <c r="HD1253" s="1"/>
      <c r="HE1253" s="1"/>
      <c r="HF1253" s="1"/>
      <c r="HG1253" s="1"/>
      <c r="HH1253" s="1"/>
      <c r="HI1253" s="1"/>
      <c r="HJ1253" s="1"/>
      <c r="HK1253" s="1"/>
      <c r="HL1253" s="1"/>
      <c r="HM1253" s="1"/>
      <c r="HN1253" s="1"/>
      <c r="HO1253" s="1"/>
      <c r="HP1253" s="1"/>
      <c r="HQ1253" s="1"/>
      <c r="HR1253" s="1"/>
      <c r="HS1253" s="1"/>
      <c r="HT1253" s="1"/>
      <c r="HU1253" s="1"/>
      <c r="HV1253" s="1"/>
      <c r="HW1253" s="1"/>
      <c r="HX1253" s="1"/>
      <c r="HY1253" s="1"/>
      <c r="HZ1253" s="1"/>
      <c r="IA1253" s="1"/>
      <c r="IB1253" s="1"/>
      <c r="IC1253" s="1"/>
      <c r="ID1253" s="1"/>
      <c r="IE1253" s="1"/>
      <c r="IF1253" s="1"/>
      <c r="IG1253" s="1"/>
      <c r="IH1253" s="1"/>
      <c r="II1253" s="1"/>
      <c r="IJ1253" s="1"/>
      <c r="IK1253" s="1"/>
      <c r="IL1253" s="1"/>
      <c r="IM1253" s="1"/>
      <c r="IN1253" s="1"/>
      <c r="IO1253" s="1"/>
      <c r="IP1253" s="1"/>
      <c r="IQ1253" s="1"/>
      <c r="IR1253" s="1"/>
      <c r="IS1253" s="1"/>
      <c r="IT1253" s="1"/>
      <c r="IU1253" s="1"/>
      <c r="IV1253" s="1"/>
      <c r="IW1253" s="1"/>
      <c r="IX1253" s="1"/>
      <c r="IY1253" s="1"/>
      <c r="IZ1253" s="1"/>
      <c r="JA1253" s="1"/>
      <c r="JB1253" s="1"/>
      <c r="JC1253" s="1"/>
      <c r="JD1253" s="1"/>
    </row>
    <row r="1254" s="504" customFormat="true" ht="12.75" hidden="true" customHeight="true" outlineLevel="0" collapsed="false">
      <c r="A1254" s="5"/>
      <c r="B1254" s="813" t="n">
        <f aca="false">B1253+1</f>
        <v>1039</v>
      </c>
      <c r="C1254" s="814" t="n">
        <f aca="false">C1253+D1254</f>
        <v>167158.972684157</v>
      </c>
      <c r="D1254" s="815" t="n">
        <f aca="false">E1254*$E$205*M1254</f>
        <v>243.134180910888</v>
      </c>
      <c r="E1254" s="601" t="n">
        <f aca="false">E1253+$C$204</f>
        <v>15.4194686016545</v>
      </c>
      <c r="F1254" s="816" t="n">
        <f aca="false">F1253+1</f>
        <v>1039</v>
      </c>
      <c r="G1254" s="775" t="n">
        <f aca="false">C1254</f>
        <v>167158.972684157</v>
      </c>
      <c r="H1254" s="817" t="n">
        <f aca="false">1000*(E1254-E1253)</f>
        <v>9.99999999999979</v>
      </c>
      <c r="I1254" s="5"/>
      <c r="J1254" s="818" t="n">
        <f aca="false">1000*(E1254-$E$215)/(B1254-$B$215)</f>
        <v>11.5147929052662</v>
      </c>
      <c r="K1254" s="732" t="n">
        <f aca="false">AVERAGE($E$216:E1254)</f>
        <v>10.2221538759568</v>
      </c>
      <c r="L1254" s="819" t="n">
        <f aca="false">L1253+1</f>
        <v>1039</v>
      </c>
      <c r="M1254" s="820" t="n">
        <f aca="false">IF(B1254&lt;$E$104,$E$105,$E$106)</f>
        <v>3</v>
      </c>
      <c r="N1254" s="821" t="n">
        <f aca="false">IF(B1254&lt;$E$104,$E$105,$E$111)</f>
        <v>2.5</v>
      </c>
      <c r="O1254" s="822" t="n">
        <f aca="false">E1254*$E$205*N1254</f>
        <v>202.61181742574</v>
      </c>
      <c r="P1254" s="823" t="n">
        <f aca="false">P1253+O1254</f>
        <v>139350.82450384</v>
      </c>
      <c r="Q1254" s="606" t="n">
        <f aca="false">Q1253+1</f>
        <v>1039</v>
      </c>
      <c r="R1254" s="824" t="n">
        <f aca="false">R1253-1</f>
        <v>-1039</v>
      </c>
      <c r="S1254" s="5"/>
      <c r="T1254" s="5"/>
      <c r="U1254" s="5"/>
      <c r="V1254" s="10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02"/>
      <c r="AU1254" s="502"/>
      <c r="AV1254" s="606"/>
      <c r="AW1254" s="502"/>
      <c r="AX1254" s="502"/>
      <c r="AY1254" s="502"/>
      <c r="AZ1254" s="502"/>
      <c r="BA1254" s="502"/>
      <c r="BB1254" s="502"/>
      <c r="BC1254" s="502"/>
      <c r="BD1254" s="502"/>
      <c r="BE1254" s="502"/>
      <c r="BF1254" s="502"/>
      <c r="BG1254" s="502"/>
      <c r="BH1254" s="502"/>
      <c r="BI1254" s="502"/>
      <c r="BJ1254" s="502"/>
      <c r="BK1254" s="502"/>
      <c r="BL1254" s="502"/>
      <c r="BM1254" s="502"/>
      <c r="BN1254" s="502"/>
      <c r="BO1254" s="502"/>
      <c r="BP1254" s="5"/>
      <c r="BQ1254" s="5"/>
      <c r="BR1254" s="5"/>
      <c r="BS1254" s="5"/>
      <c r="BT1254" s="5"/>
      <c r="BU1254" s="5"/>
      <c r="BV1254" s="5"/>
      <c r="BW1254" s="5"/>
      <c r="BX1254" s="5"/>
      <c r="BY1254" s="5"/>
      <c r="BZ1254" s="5"/>
      <c r="CA1254" s="5"/>
      <c r="CB1254" s="5"/>
      <c r="CC1254" s="5"/>
      <c r="CD1254" s="5"/>
      <c r="CE1254" s="5"/>
      <c r="CF1254" s="5"/>
      <c r="CG1254" s="5"/>
      <c r="CH1254" s="5"/>
      <c r="CI1254" s="5"/>
      <c r="CJ1254" s="5"/>
      <c r="CK1254" s="5"/>
      <c r="CL1254" s="5"/>
      <c r="CM1254" s="5"/>
      <c r="CN1254" s="5"/>
      <c r="CO1254" s="5"/>
      <c r="CP1254" s="5"/>
      <c r="CQ1254" s="5"/>
      <c r="CR1254" s="5"/>
      <c r="CS1254" s="5"/>
      <c r="CT1254" s="5"/>
      <c r="CU1254" s="5"/>
      <c r="CV1254" s="5"/>
      <c r="CW1254" s="5"/>
      <c r="CX1254" s="5"/>
      <c r="CY1254" s="5"/>
      <c r="CZ1254" s="5"/>
      <c r="DA1254" s="5"/>
      <c r="DB1254" s="5"/>
      <c r="DC1254" s="5"/>
      <c r="DD1254" s="5"/>
      <c r="DE1254" s="5"/>
      <c r="DF1254" s="5"/>
      <c r="DG1254" s="5"/>
      <c r="DH1254" s="5"/>
      <c r="DI1254" s="5"/>
      <c r="DJ1254" s="5"/>
      <c r="DK1254" s="5"/>
      <c r="DL1254" s="5"/>
      <c r="DM1254" s="5"/>
      <c r="DN1254" s="5"/>
      <c r="DO1254" s="5"/>
      <c r="DP1254" s="5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  <c r="GV1254" s="1"/>
      <c r="GW1254" s="1"/>
      <c r="GX1254" s="1"/>
      <c r="GY1254" s="1"/>
      <c r="GZ1254" s="1"/>
      <c r="HA1254" s="1"/>
      <c r="HB1254" s="1"/>
      <c r="HC1254" s="1"/>
      <c r="HD1254" s="1"/>
      <c r="HE1254" s="1"/>
      <c r="HF1254" s="1"/>
      <c r="HG1254" s="1"/>
      <c r="HH1254" s="1"/>
      <c r="HI1254" s="1"/>
      <c r="HJ1254" s="1"/>
      <c r="HK1254" s="1"/>
      <c r="HL1254" s="1"/>
      <c r="HM1254" s="1"/>
      <c r="HN1254" s="1"/>
      <c r="HO1254" s="1"/>
      <c r="HP1254" s="1"/>
      <c r="HQ1254" s="1"/>
      <c r="HR1254" s="1"/>
      <c r="HS1254" s="1"/>
      <c r="HT1254" s="1"/>
      <c r="HU1254" s="1"/>
      <c r="HV1254" s="1"/>
      <c r="HW1254" s="1"/>
      <c r="HX1254" s="1"/>
      <c r="HY1254" s="1"/>
      <c r="HZ1254" s="1"/>
      <c r="IA1254" s="1"/>
      <c r="IB1254" s="1"/>
      <c r="IC1254" s="1"/>
      <c r="ID1254" s="1"/>
      <c r="IE1254" s="1"/>
      <c r="IF1254" s="1"/>
      <c r="IG1254" s="1"/>
      <c r="IH1254" s="1"/>
      <c r="II1254" s="1"/>
      <c r="IJ1254" s="1"/>
      <c r="IK1254" s="1"/>
      <c r="IL1254" s="1"/>
      <c r="IM1254" s="1"/>
      <c r="IN1254" s="1"/>
      <c r="IO1254" s="1"/>
      <c r="IP1254" s="1"/>
      <c r="IQ1254" s="1"/>
      <c r="IR1254" s="1"/>
      <c r="IS1254" s="1"/>
      <c r="IT1254" s="1"/>
      <c r="IU1254" s="1"/>
      <c r="IV1254" s="1"/>
      <c r="IW1254" s="1"/>
      <c r="IX1254" s="1"/>
      <c r="IY1254" s="1"/>
      <c r="IZ1254" s="1"/>
      <c r="JA1254" s="1"/>
      <c r="JB1254" s="1"/>
      <c r="JC1254" s="1"/>
      <c r="JD1254" s="1"/>
    </row>
    <row r="1255" s="504" customFormat="true" ht="12.75" hidden="true" customHeight="true" outlineLevel="0" collapsed="false">
      <c r="A1255" s="5"/>
      <c r="B1255" s="813" t="n">
        <f aca="false">B1254+1</f>
        <v>1040</v>
      </c>
      <c r="C1255" s="814" t="n">
        <f aca="false">C1254+D1255</f>
        <v>167402.264545068</v>
      </c>
      <c r="D1255" s="815" t="n">
        <f aca="false">E1255*$E$205*M1255</f>
        <v>243.291860910888</v>
      </c>
      <c r="E1255" s="601" t="n">
        <f aca="false">E1254+$C$204</f>
        <v>15.4294686016545</v>
      </c>
      <c r="F1255" s="816" t="n">
        <f aca="false">F1254+1</f>
        <v>1040</v>
      </c>
      <c r="G1255" s="775" t="n">
        <f aca="false">C1255</f>
        <v>167402.264545068</v>
      </c>
      <c r="H1255" s="817" t="n">
        <f aca="false">1000*(E1255-E1254)</f>
        <v>9.99999999999979</v>
      </c>
      <c r="I1255" s="5"/>
      <c r="J1255" s="818" t="n">
        <f aca="false">1000*(E1255-$E$215)/(B1255-$B$215)</f>
        <v>11.5133363736266</v>
      </c>
      <c r="K1255" s="732" t="n">
        <f aca="false">AVERAGE($E$216:E1255)</f>
        <v>10.2271609093469</v>
      </c>
      <c r="L1255" s="819" t="n">
        <f aca="false">L1254+1</f>
        <v>1040</v>
      </c>
      <c r="M1255" s="820" t="n">
        <f aca="false">IF(B1255&lt;$E$104,$E$105,$E$106)</f>
        <v>3</v>
      </c>
      <c r="N1255" s="821" t="n">
        <f aca="false">IF(B1255&lt;$E$104,$E$105,$E$111)</f>
        <v>2.5</v>
      </c>
      <c r="O1255" s="822" t="n">
        <f aca="false">E1255*$E$205*N1255</f>
        <v>202.74321742574</v>
      </c>
      <c r="P1255" s="823" t="n">
        <f aca="false">P1254+O1255</f>
        <v>139553.567721266</v>
      </c>
      <c r="Q1255" s="606" t="n">
        <f aca="false">Q1254+1</f>
        <v>1040</v>
      </c>
      <c r="R1255" s="824" t="n">
        <f aca="false">R1254-1</f>
        <v>-1040</v>
      </c>
      <c r="S1255" s="5"/>
      <c r="T1255" s="5"/>
      <c r="U1255" s="5"/>
      <c r="V1255" s="10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02"/>
      <c r="AU1255" s="502"/>
      <c r="AV1255" s="606"/>
      <c r="AW1255" s="502"/>
      <c r="AX1255" s="502"/>
      <c r="AY1255" s="502"/>
      <c r="AZ1255" s="502"/>
      <c r="BA1255" s="502"/>
      <c r="BB1255" s="502"/>
      <c r="BC1255" s="502"/>
      <c r="BD1255" s="502"/>
      <c r="BE1255" s="502"/>
      <c r="BF1255" s="502"/>
      <c r="BG1255" s="502"/>
      <c r="BH1255" s="502"/>
      <c r="BI1255" s="502"/>
      <c r="BJ1255" s="502"/>
      <c r="BK1255" s="502"/>
      <c r="BL1255" s="502"/>
      <c r="BM1255" s="502"/>
      <c r="BN1255" s="502"/>
      <c r="BO1255" s="502"/>
      <c r="BP1255" s="5"/>
      <c r="BQ1255" s="5"/>
      <c r="BR1255" s="5"/>
      <c r="BS1255" s="5"/>
      <c r="BT1255" s="5"/>
      <c r="BU1255" s="5"/>
      <c r="BV1255" s="5"/>
      <c r="BW1255" s="5"/>
      <c r="BX1255" s="5"/>
      <c r="BY1255" s="5"/>
      <c r="BZ1255" s="5"/>
      <c r="CA1255" s="5"/>
      <c r="CB1255" s="5"/>
      <c r="CC1255" s="5"/>
      <c r="CD1255" s="5"/>
      <c r="CE1255" s="5"/>
      <c r="CF1255" s="5"/>
      <c r="CG1255" s="5"/>
      <c r="CH1255" s="5"/>
      <c r="CI1255" s="5"/>
      <c r="CJ1255" s="5"/>
      <c r="CK1255" s="5"/>
      <c r="CL1255" s="5"/>
      <c r="CM1255" s="5"/>
      <c r="CN1255" s="5"/>
      <c r="CO1255" s="5"/>
      <c r="CP1255" s="5"/>
      <c r="CQ1255" s="5"/>
      <c r="CR1255" s="5"/>
      <c r="CS1255" s="5"/>
      <c r="CT1255" s="5"/>
      <c r="CU1255" s="5"/>
      <c r="CV1255" s="5"/>
      <c r="CW1255" s="5"/>
      <c r="CX1255" s="5"/>
      <c r="CY1255" s="5"/>
      <c r="CZ1255" s="5"/>
      <c r="DA1255" s="5"/>
      <c r="DB1255" s="5"/>
      <c r="DC1255" s="5"/>
      <c r="DD1255" s="5"/>
      <c r="DE1255" s="5"/>
      <c r="DF1255" s="5"/>
      <c r="DG1255" s="5"/>
      <c r="DH1255" s="5"/>
      <c r="DI1255" s="5"/>
      <c r="DJ1255" s="5"/>
      <c r="DK1255" s="5"/>
      <c r="DL1255" s="5"/>
      <c r="DM1255" s="5"/>
      <c r="DN1255" s="5"/>
      <c r="DO1255" s="5"/>
      <c r="DP1255" s="5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  <c r="GV1255" s="1"/>
      <c r="GW1255" s="1"/>
      <c r="GX1255" s="1"/>
      <c r="GY1255" s="1"/>
      <c r="GZ1255" s="1"/>
      <c r="HA1255" s="1"/>
      <c r="HB1255" s="1"/>
      <c r="HC1255" s="1"/>
      <c r="HD1255" s="1"/>
      <c r="HE1255" s="1"/>
      <c r="HF1255" s="1"/>
      <c r="HG1255" s="1"/>
      <c r="HH1255" s="1"/>
      <c r="HI1255" s="1"/>
      <c r="HJ1255" s="1"/>
      <c r="HK1255" s="1"/>
      <c r="HL1255" s="1"/>
      <c r="HM1255" s="1"/>
      <c r="HN1255" s="1"/>
      <c r="HO1255" s="1"/>
      <c r="HP1255" s="1"/>
      <c r="HQ1255" s="1"/>
      <c r="HR1255" s="1"/>
      <c r="HS1255" s="1"/>
      <c r="HT1255" s="1"/>
      <c r="HU1255" s="1"/>
      <c r="HV1255" s="1"/>
      <c r="HW1255" s="1"/>
      <c r="HX1255" s="1"/>
      <c r="HY1255" s="1"/>
      <c r="HZ1255" s="1"/>
      <c r="IA1255" s="1"/>
      <c r="IB1255" s="1"/>
      <c r="IC1255" s="1"/>
      <c r="ID1255" s="1"/>
      <c r="IE1255" s="1"/>
      <c r="IF1255" s="1"/>
      <c r="IG1255" s="1"/>
      <c r="IH1255" s="1"/>
      <c r="II1255" s="1"/>
      <c r="IJ1255" s="1"/>
      <c r="IK1255" s="1"/>
      <c r="IL1255" s="1"/>
      <c r="IM1255" s="1"/>
      <c r="IN1255" s="1"/>
      <c r="IO1255" s="1"/>
      <c r="IP1255" s="1"/>
      <c r="IQ1255" s="1"/>
      <c r="IR1255" s="1"/>
      <c r="IS1255" s="1"/>
      <c r="IT1255" s="1"/>
      <c r="IU1255" s="1"/>
      <c r="IV1255" s="1"/>
      <c r="IW1255" s="1"/>
      <c r="IX1255" s="1"/>
      <c r="IY1255" s="1"/>
      <c r="IZ1255" s="1"/>
      <c r="JA1255" s="1"/>
      <c r="JB1255" s="1"/>
      <c r="JC1255" s="1"/>
      <c r="JD1255" s="1"/>
    </row>
    <row r="1256" s="504" customFormat="true" ht="12.75" hidden="true" customHeight="true" outlineLevel="0" collapsed="false">
      <c r="A1256" s="5"/>
      <c r="B1256" s="813" t="n">
        <f aca="false">B1255+1</f>
        <v>1041</v>
      </c>
      <c r="C1256" s="814" t="n">
        <f aca="false">C1255+D1256</f>
        <v>167645.714085979</v>
      </c>
      <c r="D1256" s="815" t="n">
        <f aca="false">E1256*$E$205*M1256</f>
        <v>243.449540910888</v>
      </c>
      <c r="E1256" s="601" t="n">
        <f aca="false">E1255+$C$204</f>
        <v>15.4394686016545</v>
      </c>
      <c r="F1256" s="816" t="n">
        <f aca="false">F1255+1</f>
        <v>1041</v>
      </c>
      <c r="G1256" s="775" t="n">
        <f aca="false">C1256</f>
        <v>167645.714085979</v>
      </c>
      <c r="H1256" s="817" t="n">
        <f aca="false">1000*(E1256-E1255)</f>
        <v>9.99999999999979</v>
      </c>
      <c r="I1256" s="5"/>
      <c r="J1256" s="818" t="n">
        <f aca="false">1000*(E1256-$E$215)/(B1256-$B$215)</f>
        <v>11.5118826403186</v>
      </c>
      <c r="K1256" s="732" t="n">
        <f aca="false">AVERAGE($E$216:E1256)</f>
        <v>10.2321679292242</v>
      </c>
      <c r="L1256" s="819" t="n">
        <f aca="false">L1255+1</f>
        <v>1041</v>
      </c>
      <c r="M1256" s="820" t="n">
        <f aca="false">IF(B1256&lt;$E$104,$E$105,$E$106)</f>
        <v>3</v>
      </c>
      <c r="N1256" s="821" t="n">
        <f aca="false">IF(B1256&lt;$E$104,$E$105,$E$111)</f>
        <v>2.5</v>
      </c>
      <c r="O1256" s="822" t="n">
        <f aca="false">E1256*$E$205*N1256</f>
        <v>202.87461742574</v>
      </c>
      <c r="P1256" s="823" t="n">
        <f aca="false">P1255+O1256</f>
        <v>139756.442338692</v>
      </c>
      <c r="Q1256" s="606" t="n">
        <f aca="false">Q1255+1</f>
        <v>1041</v>
      </c>
      <c r="R1256" s="824" t="n">
        <f aca="false">R1255-1</f>
        <v>-1041</v>
      </c>
      <c r="S1256" s="5"/>
      <c r="T1256" s="5"/>
      <c r="U1256" s="5"/>
      <c r="V1256" s="10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02"/>
      <c r="AU1256" s="502"/>
      <c r="AV1256" s="606"/>
      <c r="AW1256" s="502"/>
      <c r="AX1256" s="502"/>
      <c r="AY1256" s="502"/>
      <c r="AZ1256" s="502"/>
      <c r="BA1256" s="502"/>
      <c r="BB1256" s="502"/>
      <c r="BC1256" s="502"/>
      <c r="BD1256" s="502"/>
      <c r="BE1256" s="502"/>
      <c r="BF1256" s="502"/>
      <c r="BG1256" s="502"/>
      <c r="BH1256" s="502"/>
      <c r="BI1256" s="502"/>
      <c r="BJ1256" s="502"/>
      <c r="BK1256" s="502"/>
      <c r="BL1256" s="502"/>
      <c r="BM1256" s="502"/>
      <c r="BN1256" s="502"/>
      <c r="BO1256" s="502"/>
      <c r="BP1256" s="5"/>
      <c r="BQ1256" s="5"/>
      <c r="BR1256" s="5"/>
      <c r="BS1256" s="5"/>
      <c r="BT1256" s="5"/>
      <c r="BU1256" s="5"/>
      <c r="BV1256" s="5"/>
      <c r="BW1256" s="5"/>
      <c r="BX1256" s="5"/>
      <c r="BY1256" s="5"/>
      <c r="BZ1256" s="5"/>
      <c r="CA1256" s="5"/>
      <c r="CB1256" s="5"/>
      <c r="CC1256" s="5"/>
      <c r="CD1256" s="5"/>
      <c r="CE1256" s="5"/>
      <c r="CF1256" s="5"/>
      <c r="CG1256" s="5"/>
      <c r="CH1256" s="5"/>
      <c r="CI1256" s="5"/>
      <c r="CJ1256" s="5"/>
      <c r="CK1256" s="5"/>
      <c r="CL1256" s="5"/>
      <c r="CM1256" s="5"/>
      <c r="CN1256" s="5"/>
      <c r="CO1256" s="5"/>
      <c r="CP1256" s="5"/>
      <c r="CQ1256" s="5"/>
      <c r="CR1256" s="5"/>
      <c r="CS1256" s="5"/>
      <c r="CT1256" s="5"/>
      <c r="CU1256" s="5"/>
      <c r="CV1256" s="5"/>
      <c r="CW1256" s="5"/>
      <c r="CX1256" s="5"/>
      <c r="CY1256" s="5"/>
      <c r="CZ1256" s="5"/>
      <c r="DA1256" s="5"/>
      <c r="DB1256" s="5"/>
      <c r="DC1256" s="5"/>
      <c r="DD1256" s="5"/>
      <c r="DE1256" s="5"/>
      <c r="DF1256" s="5"/>
      <c r="DG1256" s="5"/>
      <c r="DH1256" s="5"/>
      <c r="DI1256" s="5"/>
      <c r="DJ1256" s="5"/>
      <c r="DK1256" s="5"/>
      <c r="DL1256" s="5"/>
      <c r="DM1256" s="5"/>
      <c r="DN1256" s="5"/>
      <c r="DO1256" s="5"/>
      <c r="DP1256" s="5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  <c r="GV1256" s="1"/>
      <c r="GW1256" s="1"/>
      <c r="GX1256" s="1"/>
      <c r="GY1256" s="1"/>
      <c r="GZ1256" s="1"/>
      <c r="HA1256" s="1"/>
      <c r="HB1256" s="1"/>
      <c r="HC1256" s="1"/>
      <c r="HD1256" s="1"/>
      <c r="HE1256" s="1"/>
      <c r="HF1256" s="1"/>
      <c r="HG1256" s="1"/>
      <c r="HH1256" s="1"/>
      <c r="HI1256" s="1"/>
      <c r="HJ1256" s="1"/>
      <c r="HK1256" s="1"/>
      <c r="HL1256" s="1"/>
      <c r="HM1256" s="1"/>
      <c r="HN1256" s="1"/>
      <c r="HO1256" s="1"/>
      <c r="HP1256" s="1"/>
      <c r="HQ1256" s="1"/>
      <c r="HR1256" s="1"/>
      <c r="HS1256" s="1"/>
      <c r="HT1256" s="1"/>
      <c r="HU1256" s="1"/>
      <c r="HV1256" s="1"/>
      <c r="HW1256" s="1"/>
      <c r="HX1256" s="1"/>
      <c r="HY1256" s="1"/>
      <c r="HZ1256" s="1"/>
      <c r="IA1256" s="1"/>
      <c r="IB1256" s="1"/>
      <c r="IC1256" s="1"/>
      <c r="ID1256" s="1"/>
      <c r="IE1256" s="1"/>
      <c r="IF1256" s="1"/>
      <c r="IG1256" s="1"/>
      <c r="IH1256" s="1"/>
      <c r="II1256" s="1"/>
      <c r="IJ1256" s="1"/>
      <c r="IK1256" s="1"/>
      <c r="IL1256" s="1"/>
      <c r="IM1256" s="1"/>
      <c r="IN1256" s="1"/>
      <c r="IO1256" s="1"/>
      <c r="IP1256" s="1"/>
      <c r="IQ1256" s="1"/>
      <c r="IR1256" s="1"/>
      <c r="IS1256" s="1"/>
      <c r="IT1256" s="1"/>
      <c r="IU1256" s="1"/>
      <c r="IV1256" s="1"/>
      <c r="IW1256" s="1"/>
      <c r="IX1256" s="1"/>
      <c r="IY1256" s="1"/>
      <c r="IZ1256" s="1"/>
      <c r="JA1256" s="1"/>
      <c r="JB1256" s="1"/>
      <c r="JC1256" s="1"/>
      <c r="JD1256" s="1"/>
    </row>
    <row r="1257" s="504" customFormat="true" ht="12.75" hidden="true" customHeight="true" outlineLevel="0" collapsed="false">
      <c r="A1257" s="5"/>
      <c r="B1257" s="813" t="n">
        <f aca="false">B1256+1</f>
        <v>1042</v>
      </c>
      <c r="C1257" s="814" t="n">
        <f aca="false">C1256+D1257</f>
        <v>167889.32130689</v>
      </c>
      <c r="D1257" s="815" t="n">
        <f aca="false">E1257*$E$205*M1257</f>
        <v>243.607220910888</v>
      </c>
      <c r="E1257" s="601" t="n">
        <f aca="false">E1256+$C$204</f>
        <v>15.4494686016545</v>
      </c>
      <c r="F1257" s="816" t="n">
        <f aca="false">F1256+1</f>
        <v>1042</v>
      </c>
      <c r="G1257" s="775" t="n">
        <f aca="false">C1257</f>
        <v>167889.32130689</v>
      </c>
      <c r="H1257" s="817" t="n">
        <f aca="false">1000*(E1257-E1256)</f>
        <v>9.99999999999979</v>
      </c>
      <c r="I1257" s="5"/>
      <c r="J1257" s="818" t="n">
        <f aca="false">1000*(E1257-$E$215)/(B1257-$B$215)</f>
        <v>11.5104316972856</v>
      </c>
      <c r="K1257" s="732" t="n">
        <f aca="false">AVERAGE($E$216:E1257)</f>
        <v>10.2371749356277</v>
      </c>
      <c r="L1257" s="819" t="n">
        <f aca="false">L1256+1</f>
        <v>1042</v>
      </c>
      <c r="M1257" s="820" t="n">
        <f aca="false">IF(B1257&lt;$E$104,$E$105,$E$106)</f>
        <v>3</v>
      </c>
      <c r="N1257" s="821" t="n">
        <f aca="false">IF(B1257&lt;$E$104,$E$105,$E$111)</f>
        <v>2.5</v>
      </c>
      <c r="O1257" s="822" t="n">
        <f aca="false">E1257*$E$205*N1257</f>
        <v>203.00601742574</v>
      </c>
      <c r="P1257" s="823" t="n">
        <f aca="false">P1256+O1257</f>
        <v>139959.448356118</v>
      </c>
      <c r="Q1257" s="606" t="n">
        <f aca="false">Q1256+1</f>
        <v>1042</v>
      </c>
      <c r="R1257" s="824" t="n">
        <f aca="false">R1256-1</f>
        <v>-1042</v>
      </c>
      <c r="S1257" s="5"/>
      <c r="T1257" s="5"/>
      <c r="U1257" s="5"/>
      <c r="V1257" s="10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02"/>
      <c r="AU1257" s="502"/>
      <c r="AV1257" s="606"/>
      <c r="AW1257" s="502"/>
      <c r="AX1257" s="502"/>
      <c r="AY1257" s="502"/>
      <c r="AZ1257" s="502"/>
      <c r="BA1257" s="502"/>
      <c r="BB1257" s="502"/>
      <c r="BC1257" s="502"/>
      <c r="BD1257" s="502"/>
      <c r="BE1257" s="502"/>
      <c r="BF1257" s="502"/>
      <c r="BG1257" s="502"/>
      <c r="BH1257" s="502"/>
      <c r="BI1257" s="502"/>
      <c r="BJ1257" s="502"/>
      <c r="BK1257" s="502"/>
      <c r="BL1257" s="502"/>
      <c r="BM1257" s="502"/>
      <c r="BN1257" s="502"/>
      <c r="BO1257" s="502"/>
      <c r="BP1257" s="5"/>
      <c r="BQ1257" s="5"/>
      <c r="BR1257" s="5"/>
      <c r="BS1257" s="5"/>
      <c r="BT1257" s="5"/>
      <c r="BU1257" s="5"/>
      <c r="BV1257" s="5"/>
      <c r="BW1257" s="5"/>
      <c r="BX1257" s="5"/>
      <c r="BY1257" s="5"/>
      <c r="BZ1257" s="5"/>
      <c r="CA1257" s="5"/>
      <c r="CB1257" s="5"/>
      <c r="CC1257" s="5"/>
      <c r="CD1257" s="5"/>
      <c r="CE1257" s="5"/>
      <c r="CF1257" s="5"/>
      <c r="CG1257" s="5"/>
      <c r="CH1257" s="5"/>
      <c r="CI1257" s="5"/>
      <c r="CJ1257" s="5"/>
      <c r="CK1257" s="5"/>
      <c r="CL1257" s="5"/>
      <c r="CM1257" s="5"/>
      <c r="CN1257" s="5"/>
      <c r="CO1257" s="5"/>
      <c r="CP1257" s="5"/>
      <c r="CQ1257" s="5"/>
      <c r="CR1257" s="5"/>
      <c r="CS1257" s="5"/>
      <c r="CT1257" s="5"/>
      <c r="CU1257" s="5"/>
      <c r="CV1257" s="5"/>
      <c r="CW1257" s="5"/>
      <c r="CX1257" s="5"/>
      <c r="CY1257" s="5"/>
      <c r="CZ1257" s="5"/>
      <c r="DA1257" s="5"/>
      <c r="DB1257" s="5"/>
      <c r="DC1257" s="5"/>
      <c r="DD1257" s="5"/>
      <c r="DE1257" s="5"/>
      <c r="DF1257" s="5"/>
      <c r="DG1257" s="5"/>
      <c r="DH1257" s="5"/>
      <c r="DI1257" s="5"/>
      <c r="DJ1257" s="5"/>
      <c r="DK1257" s="5"/>
      <c r="DL1257" s="5"/>
      <c r="DM1257" s="5"/>
      <c r="DN1257" s="5"/>
      <c r="DO1257" s="5"/>
      <c r="DP1257" s="5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  <c r="GV1257" s="1"/>
      <c r="GW1257" s="1"/>
      <c r="GX1257" s="1"/>
      <c r="GY1257" s="1"/>
      <c r="GZ1257" s="1"/>
      <c r="HA1257" s="1"/>
      <c r="HB1257" s="1"/>
      <c r="HC1257" s="1"/>
      <c r="HD1257" s="1"/>
      <c r="HE1257" s="1"/>
      <c r="HF1257" s="1"/>
      <c r="HG1257" s="1"/>
      <c r="HH1257" s="1"/>
      <c r="HI1257" s="1"/>
      <c r="HJ1257" s="1"/>
      <c r="HK1257" s="1"/>
      <c r="HL1257" s="1"/>
      <c r="HM1257" s="1"/>
      <c r="HN1257" s="1"/>
      <c r="HO1257" s="1"/>
      <c r="HP1257" s="1"/>
      <c r="HQ1257" s="1"/>
      <c r="HR1257" s="1"/>
      <c r="HS1257" s="1"/>
      <c r="HT1257" s="1"/>
      <c r="HU1257" s="1"/>
      <c r="HV1257" s="1"/>
      <c r="HW1257" s="1"/>
      <c r="HX1257" s="1"/>
      <c r="HY1257" s="1"/>
      <c r="HZ1257" s="1"/>
      <c r="IA1257" s="1"/>
      <c r="IB1257" s="1"/>
      <c r="IC1257" s="1"/>
      <c r="ID1257" s="1"/>
      <c r="IE1257" s="1"/>
      <c r="IF1257" s="1"/>
      <c r="IG1257" s="1"/>
      <c r="IH1257" s="1"/>
      <c r="II1257" s="1"/>
      <c r="IJ1257" s="1"/>
      <c r="IK1257" s="1"/>
      <c r="IL1257" s="1"/>
      <c r="IM1257" s="1"/>
      <c r="IN1257" s="1"/>
      <c r="IO1257" s="1"/>
      <c r="IP1257" s="1"/>
      <c r="IQ1257" s="1"/>
      <c r="IR1257" s="1"/>
      <c r="IS1257" s="1"/>
      <c r="IT1257" s="1"/>
      <c r="IU1257" s="1"/>
      <c r="IV1257" s="1"/>
      <c r="IW1257" s="1"/>
      <c r="IX1257" s="1"/>
      <c r="IY1257" s="1"/>
      <c r="IZ1257" s="1"/>
      <c r="JA1257" s="1"/>
      <c r="JB1257" s="1"/>
      <c r="JC1257" s="1"/>
      <c r="JD1257" s="1"/>
    </row>
    <row r="1258" s="504" customFormat="true" ht="12.75" hidden="true" customHeight="true" outlineLevel="0" collapsed="false">
      <c r="A1258" s="5"/>
      <c r="B1258" s="813" t="n">
        <f aca="false">B1257+1</f>
        <v>1043</v>
      </c>
      <c r="C1258" s="814" t="n">
        <f aca="false">C1257+D1258</f>
        <v>168133.086207801</v>
      </c>
      <c r="D1258" s="815" t="n">
        <f aca="false">E1258*$E$205*M1258</f>
        <v>243.764900910888</v>
      </c>
      <c r="E1258" s="601" t="n">
        <f aca="false">E1257+$C$204</f>
        <v>15.4594686016545</v>
      </c>
      <c r="F1258" s="816" t="n">
        <f aca="false">F1257+1</f>
        <v>1043</v>
      </c>
      <c r="G1258" s="775" t="n">
        <f aca="false">C1258</f>
        <v>168133.086207801</v>
      </c>
      <c r="H1258" s="817" t="n">
        <f aca="false">1000*(E1258-E1257)</f>
        <v>9.99999999999979</v>
      </c>
      <c r="I1258" s="5"/>
      <c r="J1258" s="818" t="n">
        <f aca="false">1000*(E1258-$E$215)/(B1258-$B$215)</f>
        <v>11.508983536502</v>
      </c>
      <c r="K1258" s="732" t="n">
        <f aca="false">AVERAGE($E$216:E1258)</f>
        <v>10.2421819285961</v>
      </c>
      <c r="L1258" s="819" t="n">
        <f aca="false">L1257+1</f>
        <v>1043</v>
      </c>
      <c r="M1258" s="820" t="n">
        <f aca="false">IF(B1258&lt;$E$104,$E$105,$E$106)</f>
        <v>3</v>
      </c>
      <c r="N1258" s="821" t="n">
        <f aca="false">IF(B1258&lt;$E$104,$E$105,$E$111)</f>
        <v>2.5</v>
      </c>
      <c r="O1258" s="822" t="n">
        <f aca="false">E1258*$E$205*N1258</f>
        <v>203.13741742574</v>
      </c>
      <c r="P1258" s="823" t="n">
        <f aca="false">P1257+O1258</f>
        <v>140162.585773543</v>
      </c>
      <c r="Q1258" s="606" t="n">
        <f aca="false">Q1257+1</f>
        <v>1043</v>
      </c>
      <c r="R1258" s="824" t="n">
        <f aca="false">R1257-1</f>
        <v>-1043</v>
      </c>
      <c r="S1258" s="5"/>
      <c r="T1258" s="5"/>
      <c r="U1258" s="5"/>
      <c r="V1258" s="10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02"/>
      <c r="AU1258" s="502"/>
      <c r="AV1258" s="606"/>
      <c r="AW1258" s="502"/>
      <c r="AX1258" s="502"/>
      <c r="AY1258" s="502"/>
      <c r="AZ1258" s="502"/>
      <c r="BA1258" s="502"/>
      <c r="BB1258" s="502"/>
      <c r="BC1258" s="502"/>
      <c r="BD1258" s="502"/>
      <c r="BE1258" s="502"/>
      <c r="BF1258" s="502"/>
      <c r="BG1258" s="502"/>
      <c r="BH1258" s="502"/>
      <c r="BI1258" s="502"/>
      <c r="BJ1258" s="502"/>
      <c r="BK1258" s="502"/>
      <c r="BL1258" s="502"/>
      <c r="BM1258" s="502"/>
      <c r="BN1258" s="502"/>
      <c r="BO1258" s="502"/>
      <c r="BP1258" s="5"/>
      <c r="BQ1258" s="5"/>
      <c r="BR1258" s="5"/>
      <c r="BS1258" s="5"/>
      <c r="BT1258" s="5"/>
      <c r="BU1258" s="5"/>
      <c r="BV1258" s="5"/>
      <c r="BW1258" s="5"/>
      <c r="BX1258" s="5"/>
      <c r="BY1258" s="5"/>
      <c r="BZ1258" s="5"/>
      <c r="CA1258" s="5"/>
      <c r="CB1258" s="5"/>
      <c r="CC1258" s="5"/>
      <c r="CD1258" s="5"/>
      <c r="CE1258" s="5"/>
      <c r="CF1258" s="5"/>
      <c r="CG1258" s="5"/>
      <c r="CH1258" s="5"/>
      <c r="CI1258" s="5"/>
      <c r="CJ1258" s="5"/>
      <c r="CK1258" s="5"/>
      <c r="CL1258" s="5"/>
      <c r="CM1258" s="5"/>
      <c r="CN1258" s="5"/>
      <c r="CO1258" s="5"/>
      <c r="CP1258" s="5"/>
      <c r="CQ1258" s="5"/>
      <c r="CR1258" s="5"/>
      <c r="CS1258" s="5"/>
      <c r="CT1258" s="5"/>
      <c r="CU1258" s="5"/>
      <c r="CV1258" s="5"/>
      <c r="CW1258" s="5"/>
      <c r="CX1258" s="5"/>
      <c r="CY1258" s="5"/>
      <c r="CZ1258" s="5"/>
      <c r="DA1258" s="5"/>
      <c r="DB1258" s="5"/>
      <c r="DC1258" s="5"/>
      <c r="DD1258" s="5"/>
      <c r="DE1258" s="5"/>
      <c r="DF1258" s="5"/>
      <c r="DG1258" s="5"/>
      <c r="DH1258" s="5"/>
      <c r="DI1258" s="5"/>
      <c r="DJ1258" s="5"/>
      <c r="DK1258" s="5"/>
      <c r="DL1258" s="5"/>
      <c r="DM1258" s="5"/>
      <c r="DN1258" s="5"/>
      <c r="DO1258" s="5"/>
      <c r="DP1258" s="5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  <c r="GV1258" s="1"/>
      <c r="GW1258" s="1"/>
      <c r="GX1258" s="1"/>
      <c r="GY1258" s="1"/>
      <c r="GZ1258" s="1"/>
      <c r="HA1258" s="1"/>
      <c r="HB1258" s="1"/>
      <c r="HC1258" s="1"/>
      <c r="HD1258" s="1"/>
      <c r="HE1258" s="1"/>
      <c r="HF1258" s="1"/>
      <c r="HG1258" s="1"/>
      <c r="HH1258" s="1"/>
      <c r="HI1258" s="1"/>
      <c r="HJ1258" s="1"/>
      <c r="HK1258" s="1"/>
      <c r="HL1258" s="1"/>
      <c r="HM1258" s="1"/>
      <c r="HN1258" s="1"/>
      <c r="HO1258" s="1"/>
      <c r="HP1258" s="1"/>
      <c r="HQ1258" s="1"/>
      <c r="HR1258" s="1"/>
      <c r="HS1258" s="1"/>
      <c r="HT1258" s="1"/>
      <c r="HU1258" s="1"/>
      <c r="HV1258" s="1"/>
      <c r="HW1258" s="1"/>
      <c r="HX1258" s="1"/>
      <c r="HY1258" s="1"/>
      <c r="HZ1258" s="1"/>
      <c r="IA1258" s="1"/>
      <c r="IB1258" s="1"/>
      <c r="IC1258" s="1"/>
      <c r="ID1258" s="1"/>
      <c r="IE1258" s="1"/>
      <c r="IF1258" s="1"/>
      <c r="IG1258" s="1"/>
      <c r="IH1258" s="1"/>
      <c r="II1258" s="1"/>
      <c r="IJ1258" s="1"/>
      <c r="IK1258" s="1"/>
      <c r="IL1258" s="1"/>
      <c r="IM1258" s="1"/>
      <c r="IN1258" s="1"/>
      <c r="IO1258" s="1"/>
      <c r="IP1258" s="1"/>
      <c r="IQ1258" s="1"/>
      <c r="IR1258" s="1"/>
      <c r="IS1258" s="1"/>
      <c r="IT1258" s="1"/>
      <c r="IU1258" s="1"/>
      <c r="IV1258" s="1"/>
      <c r="IW1258" s="1"/>
      <c r="IX1258" s="1"/>
      <c r="IY1258" s="1"/>
      <c r="IZ1258" s="1"/>
      <c r="JA1258" s="1"/>
      <c r="JB1258" s="1"/>
      <c r="JC1258" s="1"/>
      <c r="JD1258" s="1"/>
    </row>
    <row r="1259" s="504" customFormat="true" ht="12.75" hidden="true" customHeight="true" outlineLevel="0" collapsed="false">
      <c r="A1259" s="5"/>
      <c r="B1259" s="813" t="n">
        <f aca="false">B1258+1</f>
        <v>1044</v>
      </c>
      <c r="C1259" s="814" t="n">
        <f aca="false">C1258+D1259</f>
        <v>168377.008788711</v>
      </c>
      <c r="D1259" s="815" t="n">
        <f aca="false">E1259*$E$205*M1259</f>
        <v>243.922580910888</v>
      </c>
      <c r="E1259" s="601" t="n">
        <f aca="false">E1258+$C$204</f>
        <v>15.4694686016545</v>
      </c>
      <c r="F1259" s="816" t="n">
        <f aca="false">F1258+1</f>
        <v>1044</v>
      </c>
      <c r="G1259" s="775" t="n">
        <f aca="false">C1259</f>
        <v>168377.008788711</v>
      </c>
      <c r="H1259" s="817" t="n">
        <f aca="false">1000*(E1259-E1258)</f>
        <v>9.99999999999979</v>
      </c>
      <c r="I1259" s="5"/>
      <c r="J1259" s="818" t="n">
        <f aca="false">1000*(E1259-$E$215)/(B1259-$B$215)</f>
        <v>11.5075381499728</v>
      </c>
      <c r="K1259" s="732" t="n">
        <f aca="false">AVERAGE($E$216:E1259)</f>
        <v>10.247188908168</v>
      </c>
      <c r="L1259" s="819" t="n">
        <f aca="false">L1258+1</f>
        <v>1044</v>
      </c>
      <c r="M1259" s="820" t="n">
        <f aca="false">IF(B1259&lt;$E$104,$E$105,$E$106)</f>
        <v>3</v>
      </c>
      <c r="N1259" s="821" t="n">
        <f aca="false">IF(B1259&lt;$E$104,$E$105,$E$111)</f>
        <v>2.5</v>
      </c>
      <c r="O1259" s="822" t="n">
        <f aca="false">E1259*$E$205*N1259</f>
        <v>203.26881742574</v>
      </c>
      <c r="P1259" s="823" t="n">
        <f aca="false">P1258+O1259</f>
        <v>140365.854590969</v>
      </c>
      <c r="Q1259" s="606" t="n">
        <f aca="false">Q1258+1</f>
        <v>1044</v>
      </c>
      <c r="R1259" s="824" t="n">
        <f aca="false">R1258-1</f>
        <v>-1044</v>
      </c>
      <c r="S1259" s="5"/>
      <c r="T1259" s="5"/>
      <c r="U1259" s="5"/>
      <c r="V1259" s="10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02"/>
      <c r="AU1259" s="502"/>
      <c r="AV1259" s="606"/>
      <c r="AW1259" s="502"/>
      <c r="AX1259" s="502"/>
      <c r="AY1259" s="502"/>
      <c r="AZ1259" s="502"/>
      <c r="BA1259" s="502"/>
      <c r="BB1259" s="502"/>
      <c r="BC1259" s="502"/>
      <c r="BD1259" s="502"/>
      <c r="BE1259" s="502"/>
      <c r="BF1259" s="502"/>
      <c r="BG1259" s="502"/>
      <c r="BH1259" s="502"/>
      <c r="BI1259" s="502"/>
      <c r="BJ1259" s="502"/>
      <c r="BK1259" s="502"/>
      <c r="BL1259" s="502"/>
      <c r="BM1259" s="502"/>
      <c r="BN1259" s="502"/>
      <c r="BO1259" s="502"/>
      <c r="BP1259" s="5"/>
      <c r="BQ1259" s="5"/>
      <c r="BR1259" s="5"/>
      <c r="BS1259" s="5"/>
      <c r="BT1259" s="5"/>
      <c r="BU1259" s="5"/>
      <c r="BV1259" s="5"/>
      <c r="BW1259" s="5"/>
      <c r="BX1259" s="5"/>
      <c r="BY1259" s="5"/>
      <c r="BZ1259" s="5"/>
      <c r="CA1259" s="5"/>
      <c r="CB1259" s="5"/>
      <c r="CC1259" s="5"/>
      <c r="CD1259" s="5"/>
      <c r="CE1259" s="5"/>
      <c r="CF1259" s="5"/>
      <c r="CG1259" s="5"/>
      <c r="CH1259" s="5"/>
      <c r="CI1259" s="5"/>
      <c r="CJ1259" s="5"/>
      <c r="CK1259" s="5"/>
      <c r="CL1259" s="5"/>
      <c r="CM1259" s="5"/>
      <c r="CN1259" s="5"/>
      <c r="CO1259" s="5"/>
      <c r="CP1259" s="5"/>
      <c r="CQ1259" s="5"/>
      <c r="CR1259" s="5"/>
      <c r="CS1259" s="5"/>
      <c r="CT1259" s="5"/>
      <c r="CU1259" s="5"/>
      <c r="CV1259" s="5"/>
      <c r="CW1259" s="5"/>
      <c r="CX1259" s="5"/>
      <c r="CY1259" s="5"/>
      <c r="CZ1259" s="5"/>
      <c r="DA1259" s="5"/>
      <c r="DB1259" s="5"/>
      <c r="DC1259" s="5"/>
      <c r="DD1259" s="5"/>
      <c r="DE1259" s="5"/>
      <c r="DF1259" s="5"/>
      <c r="DG1259" s="5"/>
      <c r="DH1259" s="5"/>
      <c r="DI1259" s="5"/>
      <c r="DJ1259" s="5"/>
      <c r="DK1259" s="5"/>
      <c r="DL1259" s="5"/>
      <c r="DM1259" s="5"/>
      <c r="DN1259" s="5"/>
      <c r="DO1259" s="5"/>
      <c r="DP1259" s="5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  <c r="GV1259" s="1"/>
      <c r="GW1259" s="1"/>
      <c r="GX1259" s="1"/>
      <c r="GY1259" s="1"/>
      <c r="GZ1259" s="1"/>
      <c r="HA1259" s="1"/>
      <c r="HB1259" s="1"/>
      <c r="HC1259" s="1"/>
      <c r="HD1259" s="1"/>
      <c r="HE1259" s="1"/>
      <c r="HF1259" s="1"/>
      <c r="HG1259" s="1"/>
      <c r="HH1259" s="1"/>
      <c r="HI1259" s="1"/>
      <c r="HJ1259" s="1"/>
      <c r="HK1259" s="1"/>
      <c r="HL1259" s="1"/>
      <c r="HM1259" s="1"/>
      <c r="HN1259" s="1"/>
      <c r="HO1259" s="1"/>
      <c r="HP1259" s="1"/>
      <c r="HQ1259" s="1"/>
      <c r="HR1259" s="1"/>
      <c r="HS1259" s="1"/>
      <c r="HT1259" s="1"/>
      <c r="HU1259" s="1"/>
      <c r="HV1259" s="1"/>
      <c r="HW1259" s="1"/>
      <c r="HX1259" s="1"/>
      <c r="HY1259" s="1"/>
      <c r="HZ1259" s="1"/>
      <c r="IA1259" s="1"/>
      <c r="IB1259" s="1"/>
      <c r="IC1259" s="1"/>
      <c r="ID1259" s="1"/>
      <c r="IE1259" s="1"/>
      <c r="IF1259" s="1"/>
      <c r="IG1259" s="1"/>
      <c r="IH1259" s="1"/>
      <c r="II1259" s="1"/>
      <c r="IJ1259" s="1"/>
      <c r="IK1259" s="1"/>
      <c r="IL1259" s="1"/>
      <c r="IM1259" s="1"/>
      <c r="IN1259" s="1"/>
      <c r="IO1259" s="1"/>
      <c r="IP1259" s="1"/>
      <c r="IQ1259" s="1"/>
      <c r="IR1259" s="1"/>
      <c r="IS1259" s="1"/>
      <c r="IT1259" s="1"/>
      <c r="IU1259" s="1"/>
      <c r="IV1259" s="1"/>
      <c r="IW1259" s="1"/>
      <c r="IX1259" s="1"/>
      <c r="IY1259" s="1"/>
      <c r="IZ1259" s="1"/>
      <c r="JA1259" s="1"/>
      <c r="JB1259" s="1"/>
      <c r="JC1259" s="1"/>
      <c r="JD1259" s="1"/>
    </row>
    <row r="1260" s="504" customFormat="true" ht="12.75" hidden="true" customHeight="true" outlineLevel="0" collapsed="false">
      <c r="A1260" s="5"/>
      <c r="B1260" s="813" t="n">
        <f aca="false">B1259+1</f>
        <v>1045</v>
      </c>
      <c r="C1260" s="814" t="n">
        <f aca="false">C1259+D1260</f>
        <v>168621.089049622</v>
      </c>
      <c r="D1260" s="815" t="n">
        <f aca="false">E1260*$E$205*M1260</f>
        <v>244.080260910888</v>
      </c>
      <c r="E1260" s="601" t="n">
        <f aca="false">E1259+$C$204</f>
        <v>15.4794686016545</v>
      </c>
      <c r="F1260" s="816" t="n">
        <f aca="false">F1259+1</f>
        <v>1045</v>
      </c>
      <c r="G1260" s="775" t="n">
        <f aca="false">C1260</f>
        <v>168621.089049622</v>
      </c>
      <c r="H1260" s="817" t="n">
        <f aca="false">1000*(E1260-E1259)</f>
        <v>9.99999999999979</v>
      </c>
      <c r="I1260" s="5"/>
      <c r="J1260" s="818" t="n">
        <f aca="false">1000*(E1260-$E$215)/(B1260-$B$215)</f>
        <v>11.5060955297336</v>
      </c>
      <c r="K1260" s="732" t="n">
        <f aca="false">AVERAGE($E$216:E1260)</f>
        <v>10.2521958743819</v>
      </c>
      <c r="L1260" s="819" t="n">
        <f aca="false">L1259+1</f>
        <v>1045</v>
      </c>
      <c r="M1260" s="820" t="n">
        <f aca="false">IF(B1260&lt;$E$104,$E$105,$E$106)</f>
        <v>3</v>
      </c>
      <c r="N1260" s="821" t="n">
        <f aca="false">IF(B1260&lt;$E$104,$E$105,$E$111)</f>
        <v>2.5</v>
      </c>
      <c r="O1260" s="822" t="n">
        <f aca="false">E1260*$E$205*N1260</f>
        <v>203.40021742574</v>
      </c>
      <c r="P1260" s="823" t="n">
        <f aca="false">P1259+O1260</f>
        <v>140569.254808395</v>
      </c>
      <c r="Q1260" s="606" t="n">
        <f aca="false">Q1259+1</f>
        <v>1045</v>
      </c>
      <c r="R1260" s="824" t="n">
        <f aca="false">R1259-1</f>
        <v>-1045</v>
      </c>
      <c r="S1260" s="5"/>
      <c r="T1260" s="5"/>
      <c r="U1260" s="5"/>
      <c r="V1260" s="10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02"/>
      <c r="AU1260" s="502"/>
      <c r="AV1260" s="606"/>
      <c r="AW1260" s="502"/>
      <c r="AX1260" s="502"/>
      <c r="AY1260" s="502"/>
      <c r="AZ1260" s="502"/>
      <c r="BA1260" s="502"/>
      <c r="BB1260" s="502"/>
      <c r="BC1260" s="502"/>
      <c r="BD1260" s="502"/>
      <c r="BE1260" s="502"/>
      <c r="BF1260" s="502"/>
      <c r="BG1260" s="502"/>
      <c r="BH1260" s="502"/>
      <c r="BI1260" s="502"/>
      <c r="BJ1260" s="502"/>
      <c r="BK1260" s="502"/>
      <c r="BL1260" s="502"/>
      <c r="BM1260" s="502"/>
      <c r="BN1260" s="502"/>
      <c r="BO1260" s="502"/>
      <c r="BP1260" s="5"/>
      <c r="BQ1260" s="5"/>
      <c r="BR1260" s="5"/>
      <c r="BS1260" s="5"/>
      <c r="BT1260" s="5"/>
      <c r="BU1260" s="5"/>
      <c r="BV1260" s="5"/>
      <c r="BW1260" s="5"/>
      <c r="BX1260" s="5"/>
      <c r="BY1260" s="5"/>
      <c r="BZ1260" s="5"/>
      <c r="CA1260" s="5"/>
      <c r="CB1260" s="5"/>
      <c r="CC1260" s="5"/>
      <c r="CD1260" s="5"/>
      <c r="CE1260" s="5"/>
      <c r="CF1260" s="5"/>
      <c r="CG1260" s="5"/>
      <c r="CH1260" s="5"/>
      <c r="CI1260" s="5"/>
      <c r="CJ1260" s="5"/>
      <c r="CK1260" s="5"/>
      <c r="CL1260" s="5"/>
      <c r="CM1260" s="5"/>
      <c r="CN1260" s="5"/>
      <c r="CO1260" s="5"/>
      <c r="CP1260" s="5"/>
      <c r="CQ1260" s="5"/>
      <c r="CR1260" s="5"/>
      <c r="CS1260" s="5"/>
      <c r="CT1260" s="5"/>
      <c r="CU1260" s="5"/>
      <c r="CV1260" s="5"/>
      <c r="CW1260" s="5"/>
      <c r="CX1260" s="5"/>
      <c r="CY1260" s="5"/>
      <c r="CZ1260" s="5"/>
      <c r="DA1260" s="5"/>
      <c r="DB1260" s="5"/>
      <c r="DC1260" s="5"/>
      <c r="DD1260" s="5"/>
      <c r="DE1260" s="5"/>
      <c r="DF1260" s="5"/>
      <c r="DG1260" s="5"/>
      <c r="DH1260" s="5"/>
      <c r="DI1260" s="5"/>
      <c r="DJ1260" s="5"/>
      <c r="DK1260" s="5"/>
      <c r="DL1260" s="5"/>
      <c r="DM1260" s="5"/>
      <c r="DN1260" s="5"/>
      <c r="DO1260" s="5"/>
      <c r="DP1260" s="5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  <c r="GV1260" s="1"/>
      <c r="GW1260" s="1"/>
      <c r="GX1260" s="1"/>
      <c r="GY1260" s="1"/>
      <c r="GZ1260" s="1"/>
      <c r="HA1260" s="1"/>
      <c r="HB1260" s="1"/>
      <c r="HC1260" s="1"/>
      <c r="HD1260" s="1"/>
      <c r="HE1260" s="1"/>
      <c r="HF1260" s="1"/>
      <c r="HG1260" s="1"/>
      <c r="HH1260" s="1"/>
      <c r="HI1260" s="1"/>
      <c r="HJ1260" s="1"/>
      <c r="HK1260" s="1"/>
      <c r="HL1260" s="1"/>
      <c r="HM1260" s="1"/>
      <c r="HN1260" s="1"/>
      <c r="HO1260" s="1"/>
      <c r="HP1260" s="1"/>
      <c r="HQ1260" s="1"/>
      <c r="HR1260" s="1"/>
      <c r="HS1260" s="1"/>
      <c r="HT1260" s="1"/>
      <c r="HU1260" s="1"/>
      <c r="HV1260" s="1"/>
      <c r="HW1260" s="1"/>
      <c r="HX1260" s="1"/>
      <c r="HY1260" s="1"/>
      <c r="HZ1260" s="1"/>
      <c r="IA1260" s="1"/>
      <c r="IB1260" s="1"/>
      <c r="IC1260" s="1"/>
      <c r="ID1260" s="1"/>
      <c r="IE1260" s="1"/>
      <c r="IF1260" s="1"/>
      <c r="IG1260" s="1"/>
      <c r="IH1260" s="1"/>
      <c r="II1260" s="1"/>
      <c r="IJ1260" s="1"/>
      <c r="IK1260" s="1"/>
      <c r="IL1260" s="1"/>
      <c r="IM1260" s="1"/>
      <c r="IN1260" s="1"/>
      <c r="IO1260" s="1"/>
      <c r="IP1260" s="1"/>
      <c r="IQ1260" s="1"/>
      <c r="IR1260" s="1"/>
      <c r="IS1260" s="1"/>
      <c r="IT1260" s="1"/>
      <c r="IU1260" s="1"/>
      <c r="IV1260" s="1"/>
      <c r="IW1260" s="1"/>
      <c r="IX1260" s="1"/>
      <c r="IY1260" s="1"/>
      <c r="IZ1260" s="1"/>
      <c r="JA1260" s="1"/>
      <c r="JB1260" s="1"/>
      <c r="JC1260" s="1"/>
      <c r="JD1260" s="1"/>
    </row>
    <row r="1261" s="504" customFormat="true" ht="12.75" hidden="true" customHeight="true" outlineLevel="0" collapsed="false">
      <c r="A1261" s="5"/>
      <c r="B1261" s="813" t="n">
        <f aca="false">B1260+1</f>
        <v>1046</v>
      </c>
      <c r="C1261" s="814" t="n">
        <f aca="false">C1260+D1261</f>
        <v>168865.326990533</v>
      </c>
      <c r="D1261" s="815" t="n">
        <f aca="false">E1261*$E$205*M1261</f>
        <v>244.237940910888</v>
      </c>
      <c r="E1261" s="601" t="n">
        <f aca="false">E1260+$C$204</f>
        <v>15.4894686016545</v>
      </c>
      <c r="F1261" s="816" t="n">
        <f aca="false">F1260+1</f>
        <v>1046</v>
      </c>
      <c r="G1261" s="775" t="n">
        <f aca="false">C1261</f>
        <v>168865.326990533</v>
      </c>
      <c r="H1261" s="817" t="n">
        <f aca="false">1000*(E1261-E1260)</f>
        <v>9.99999999999979</v>
      </c>
      <c r="I1261" s="5"/>
      <c r="J1261" s="818" t="n">
        <f aca="false">1000*(E1261-$E$215)/(B1261-$B$215)</f>
        <v>11.5046556678505</v>
      </c>
      <c r="K1261" s="732" t="n">
        <f aca="false">AVERAGE($E$216:E1261)</f>
        <v>10.257202827276</v>
      </c>
      <c r="L1261" s="819" t="n">
        <f aca="false">L1260+1</f>
        <v>1046</v>
      </c>
      <c r="M1261" s="820" t="n">
        <f aca="false">IF(B1261&lt;$E$104,$E$105,$E$106)</f>
        <v>3</v>
      </c>
      <c r="N1261" s="821" t="n">
        <f aca="false">IF(B1261&lt;$E$104,$E$105,$E$111)</f>
        <v>2.5</v>
      </c>
      <c r="O1261" s="822" t="n">
        <f aca="false">E1261*$E$205*N1261</f>
        <v>203.53161742574</v>
      </c>
      <c r="P1261" s="823" t="n">
        <f aca="false">P1260+O1261</f>
        <v>140772.786425821</v>
      </c>
      <c r="Q1261" s="606" t="n">
        <f aca="false">Q1260+1</f>
        <v>1046</v>
      </c>
      <c r="R1261" s="824" t="n">
        <f aca="false">R1260-1</f>
        <v>-1046</v>
      </c>
      <c r="S1261" s="5"/>
      <c r="T1261" s="5"/>
      <c r="U1261" s="5"/>
      <c r="V1261" s="10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02"/>
      <c r="AU1261" s="502"/>
      <c r="AV1261" s="606"/>
      <c r="AW1261" s="502"/>
      <c r="AX1261" s="502"/>
      <c r="AY1261" s="502"/>
      <c r="AZ1261" s="502"/>
      <c r="BA1261" s="502"/>
      <c r="BB1261" s="502"/>
      <c r="BC1261" s="502"/>
      <c r="BD1261" s="502"/>
      <c r="BE1261" s="502"/>
      <c r="BF1261" s="502"/>
      <c r="BG1261" s="502"/>
      <c r="BH1261" s="502"/>
      <c r="BI1261" s="502"/>
      <c r="BJ1261" s="502"/>
      <c r="BK1261" s="502"/>
      <c r="BL1261" s="502"/>
      <c r="BM1261" s="502"/>
      <c r="BN1261" s="502"/>
      <c r="BO1261" s="502"/>
      <c r="BP1261" s="5"/>
      <c r="BQ1261" s="5"/>
      <c r="BR1261" s="5"/>
      <c r="BS1261" s="5"/>
      <c r="BT1261" s="5"/>
      <c r="BU1261" s="5"/>
      <c r="BV1261" s="5"/>
      <c r="BW1261" s="5"/>
      <c r="BX1261" s="5"/>
      <c r="BY1261" s="5"/>
      <c r="BZ1261" s="5"/>
      <c r="CA1261" s="5"/>
      <c r="CB1261" s="5"/>
      <c r="CC1261" s="5"/>
      <c r="CD1261" s="5"/>
      <c r="CE1261" s="5"/>
      <c r="CF1261" s="5"/>
      <c r="CG1261" s="5"/>
      <c r="CH1261" s="5"/>
      <c r="CI1261" s="5"/>
      <c r="CJ1261" s="5"/>
      <c r="CK1261" s="5"/>
      <c r="CL1261" s="5"/>
      <c r="CM1261" s="5"/>
      <c r="CN1261" s="5"/>
      <c r="CO1261" s="5"/>
      <c r="CP1261" s="5"/>
      <c r="CQ1261" s="5"/>
      <c r="CR1261" s="5"/>
      <c r="CS1261" s="5"/>
      <c r="CT1261" s="5"/>
      <c r="CU1261" s="5"/>
      <c r="CV1261" s="5"/>
      <c r="CW1261" s="5"/>
      <c r="CX1261" s="5"/>
      <c r="CY1261" s="5"/>
      <c r="CZ1261" s="5"/>
      <c r="DA1261" s="5"/>
      <c r="DB1261" s="5"/>
      <c r="DC1261" s="5"/>
      <c r="DD1261" s="5"/>
      <c r="DE1261" s="5"/>
      <c r="DF1261" s="5"/>
      <c r="DG1261" s="5"/>
      <c r="DH1261" s="5"/>
      <c r="DI1261" s="5"/>
      <c r="DJ1261" s="5"/>
      <c r="DK1261" s="5"/>
      <c r="DL1261" s="5"/>
      <c r="DM1261" s="5"/>
      <c r="DN1261" s="5"/>
      <c r="DO1261" s="5"/>
      <c r="DP1261" s="5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  <c r="GV1261" s="1"/>
      <c r="GW1261" s="1"/>
      <c r="GX1261" s="1"/>
      <c r="GY1261" s="1"/>
      <c r="GZ1261" s="1"/>
      <c r="HA1261" s="1"/>
      <c r="HB1261" s="1"/>
      <c r="HC1261" s="1"/>
      <c r="HD1261" s="1"/>
      <c r="HE1261" s="1"/>
      <c r="HF1261" s="1"/>
      <c r="HG1261" s="1"/>
      <c r="HH1261" s="1"/>
      <c r="HI1261" s="1"/>
      <c r="HJ1261" s="1"/>
      <c r="HK1261" s="1"/>
      <c r="HL1261" s="1"/>
      <c r="HM1261" s="1"/>
      <c r="HN1261" s="1"/>
      <c r="HO1261" s="1"/>
      <c r="HP1261" s="1"/>
      <c r="HQ1261" s="1"/>
      <c r="HR1261" s="1"/>
      <c r="HS1261" s="1"/>
      <c r="HT1261" s="1"/>
      <c r="HU1261" s="1"/>
      <c r="HV1261" s="1"/>
      <c r="HW1261" s="1"/>
      <c r="HX1261" s="1"/>
      <c r="HY1261" s="1"/>
      <c r="HZ1261" s="1"/>
      <c r="IA1261" s="1"/>
      <c r="IB1261" s="1"/>
      <c r="IC1261" s="1"/>
      <c r="ID1261" s="1"/>
      <c r="IE1261" s="1"/>
      <c r="IF1261" s="1"/>
      <c r="IG1261" s="1"/>
      <c r="IH1261" s="1"/>
      <c r="II1261" s="1"/>
      <c r="IJ1261" s="1"/>
      <c r="IK1261" s="1"/>
      <c r="IL1261" s="1"/>
      <c r="IM1261" s="1"/>
      <c r="IN1261" s="1"/>
      <c r="IO1261" s="1"/>
      <c r="IP1261" s="1"/>
      <c r="IQ1261" s="1"/>
      <c r="IR1261" s="1"/>
      <c r="IS1261" s="1"/>
      <c r="IT1261" s="1"/>
      <c r="IU1261" s="1"/>
      <c r="IV1261" s="1"/>
      <c r="IW1261" s="1"/>
      <c r="IX1261" s="1"/>
      <c r="IY1261" s="1"/>
      <c r="IZ1261" s="1"/>
      <c r="JA1261" s="1"/>
      <c r="JB1261" s="1"/>
      <c r="JC1261" s="1"/>
      <c r="JD1261" s="1"/>
    </row>
    <row r="1262" s="504" customFormat="true" ht="12.75" hidden="true" customHeight="true" outlineLevel="0" collapsed="false">
      <c r="A1262" s="5"/>
      <c r="B1262" s="813" t="n">
        <f aca="false">B1261+1</f>
        <v>1047</v>
      </c>
      <c r="C1262" s="814" t="n">
        <f aca="false">C1261+D1262</f>
        <v>169109.722611444</v>
      </c>
      <c r="D1262" s="815" t="n">
        <f aca="false">E1262*$E$205*M1262</f>
        <v>244.395620910888</v>
      </c>
      <c r="E1262" s="601" t="n">
        <f aca="false">E1261+$C$204</f>
        <v>15.4994686016545</v>
      </c>
      <c r="F1262" s="816" t="n">
        <f aca="false">F1261+1</f>
        <v>1047</v>
      </c>
      <c r="G1262" s="775" t="n">
        <f aca="false">C1262</f>
        <v>169109.722611444</v>
      </c>
      <c r="H1262" s="817" t="n">
        <f aca="false">1000*(E1262-E1261)</f>
        <v>9.99999999999979</v>
      </c>
      <c r="I1262" s="5"/>
      <c r="J1262" s="818" t="n">
        <f aca="false">1000*(E1262-$E$215)/(B1262-$B$215)</f>
        <v>11.5032185564199</v>
      </c>
      <c r="K1262" s="732" t="n">
        <f aca="false">AVERAGE($E$216:E1262)</f>
        <v>10.2622097668886</v>
      </c>
      <c r="L1262" s="819" t="n">
        <f aca="false">L1261+1</f>
        <v>1047</v>
      </c>
      <c r="M1262" s="820" t="n">
        <f aca="false">IF(B1262&lt;$E$104,$E$105,$E$106)</f>
        <v>3</v>
      </c>
      <c r="N1262" s="821" t="n">
        <f aca="false">IF(B1262&lt;$E$104,$E$105,$E$111)</f>
        <v>2.5</v>
      </c>
      <c r="O1262" s="822" t="n">
        <f aca="false">E1262*$E$205*N1262</f>
        <v>203.66301742574</v>
      </c>
      <c r="P1262" s="823" t="n">
        <f aca="false">P1261+O1262</f>
        <v>140976.449443246</v>
      </c>
      <c r="Q1262" s="606" t="n">
        <f aca="false">Q1261+1</f>
        <v>1047</v>
      </c>
      <c r="R1262" s="824" t="n">
        <f aca="false">R1261-1</f>
        <v>-1047</v>
      </c>
      <c r="S1262" s="5"/>
      <c r="T1262" s="5"/>
      <c r="U1262" s="5"/>
      <c r="V1262" s="10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02"/>
      <c r="AU1262" s="502"/>
      <c r="AV1262" s="606"/>
      <c r="AW1262" s="502"/>
      <c r="AX1262" s="502"/>
      <c r="AY1262" s="502"/>
      <c r="AZ1262" s="502"/>
      <c r="BA1262" s="502"/>
      <c r="BB1262" s="502"/>
      <c r="BC1262" s="502"/>
      <c r="BD1262" s="502"/>
      <c r="BE1262" s="502"/>
      <c r="BF1262" s="502"/>
      <c r="BG1262" s="502"/>
      <c r="BH1262" s="502"/>
      <c r="BI1262" s="502"/>
      <c r="BJ1262" s="502"/>
      <c r="BK1262" s="502"/>
      <c r="BL1262" s="502"/>
      <c r="BM1262" s="502"/>
      <c r="BN1262" s="502"/>
      <c r="BO1262" s="502"/>
      <c r="BP1262" s="5"/>
      <c r="BQ1262" s="5"/>
      <c r="BR1262" s="5"/>
      <c r="BS1262" s="5"/>
      <c r="BT1262" s="5"/>
      <c r="BU1262" s="5"/>
      <c r="BV1262" s="5"/>
      <c r="BW1262" s="5"/>
      <c r="BX1262" s="5"/>
      <c r="BY1262" s="5"/>
      <c r="BZ1262" s="5"/>
      <c r="CA1262" s="5"/>
      <c r="CB1262" s="5"/>
      <c r="CC1262" s="5"/>
      <c r="CD1262" s="5"/>
      <c r="CE1262" s="5"/>
      <c r="CF1262" s="5"/>
      <c r="CG1262" s="5"/>
      <c r="CH1262" s="5"/>
      <c r="CI1262" s="5"/>
      <c r="CJ1262" s="5"/>
      <c r="CK1262" s="5"/>
      <c r="CL1262" s="5"/>
      <c r="CM1262" s="5"/>
      <c r="CN1262" s="5"/>
      <c r="CO1262" s="5"/>
      <c r="CP1262" s="5"/>
      <c r="CQ1262" s="5"/>
      <c r="CR1262" s="5"/>
      <c r="CS1262" s="5"/>
      <c r="CT1262" s="5"/>
      <c r="CU1262" s="5"/>
      <c r="CV1262" s="5"/>
      <c r="CW1262" s="5"/>
      <c r="CX1262" s="5"/>
      <c r="CY1262" s="5"/>
      <c r="CZ1262" s="5"/>
      <c r="DA1262" s="5"/>
      <c r="DB1262" s="5"/>
      <c r="DC1262" s="5"/>
      <c r="DD1262" s="5"/>
      <c r="DE1262" s="5"/>
      <c r="DF1262" s="5"/>
      <c r="DG1262" s="5"/>
      <c r="DH1262" s="5"/>
      <c r="DI1262" s="5"/>
      <c r="DJ1262" s="5"/>
      <c r="DK1262" s="5"/>
      <c r="DL1262" s="5"/>
      <c r="DM1262" s="5"/>
      <c r="DN1262" s="5"/>
      <c r="DO1262" s="5"/>
      <c r="DP1262" s="5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  <c r="GV1262" s="1"/>
      <c r="GW1262" s="1"/>
      <c r="GX1262" s="1"/>
      <c r="GY1262" s="1"/>
      <c r="GZ1262" s="1"/>
      <c r="HA1262" s="1"/>
      <c r="HB1262" s="1"/>
      <c r="HC1262" s="1"/>
      <c r="HD1262" s="1"/>
      <c r="HE1262" s="1"/>
      <c r="HF1262" s="1"/>
      <c r="HG1262" s="1"/>
      <c r="HH1262" s="1"/>
      <c r="HI1262" s="1"/>
      <c r="HJ1262" s="1"/>
      <c r="HK1262" s="1"/>
      <c r="HL1262" s="1"/>
      <c r="HM1262" s="1"/>
      <c r="HN1262" s="1"/>
      <c r="HO1262" s="1"/>
      <c r="HP1262" s="1"/>
      <c r="HQ1262" s="1"/>
      <c r="HR1262" s="1"/>
      <c r="HS1262" s="1"/>
      <c r="HT1262" s="1"/>
      <c r="HU1262" s="1"/>
      <c r="HV1262" s="1"/>
      <c r="HW1262" s="1"/>
      <c r="HX1262" s="1"/>
      <c r="HY1262" s="1"/>
      <c r="HZ1262" s="1"/>
      <c r="IA1262" s="1"/>
      <c r="IB1262" s="1"/>
      <c r="IC1262" s="1"/>
      <c r="ID1262" s="1"/>
      <c r="IE1262" s="1"/>
      <c r="IF1262" s="1"/>
      <c r="IG1262" s="1"/>
      <c r="IH1262" s="1"/>
      <c r="II1262" s="1"/>
      <c r="IJ1262" s="1"/>
      <c r="IK1262" s="1"/>
      <c r="IL1262" s="1"/>
      <c r="IM1262" s="1"/>
      <c r="IN1262" s="1"/>
      <c r="IO1262" s="1"/>
      <c r="IP1262" s="1"/>
      <c r="IQ1262" s="1"/>
      <c r="IR1262" s="1"/>
      <c r="IS1262" s="1"/>
      <c r="IT1262" s="1"/>
      <c r="IU1262" s="1"/>
      <c r="IV1262" s="1"/>
      <c r="IW1262" s="1"/>
      <c r="IX1262" s="1"/>
      <c r="IY1262" s="1"/>
      <c r="IZ1262" s="1"/>
      <c r="JA1262" s="1"/>
      <c r="JB1262" s="1"/>
      <c r="JC1262" s="1"/>
      <c r="JD1262" s="1"/>
    </row>
    <row r="1263" s="504" customFormat="true" ht="12.75" hidden="true" customHeight="true" outlineLevel="0" collapsed="false">
      <c r="A1263" s="5"/>
      <c r="B1263" s="813" t="n">
        <f aca="false">B1262+1</f>
        <v>1048</v>
      </c>
      <c r="C1263" s="814" t="n">
        <f aca="false">C1262+D1263</f>
        <v>169354.275912355</v>
      </c>
      <c r="D1263" s="815" t="n">
        <f aca="false">E1263*$E$205*M1263</f>
        <v>244.553300910888</v>
      </c>
      <c r="E1263" s="601" t="n">
        <f aca="false">E1262+$C$204</f>
        <v>15.5094686016545</v>
      </c>
      <c r="F1263" s="816" t="n">
        <f aca="false">F1262+1</f>
        <v>1048</v>
      </c>
      <c r="G1263" s="775" t="n">
        <f aca="false">C1263</f>
        <v>169354.275912355</v>
      </c>
      <c r="H1263" s="817" t="n">
        <f aca="false">1000*(E1263-E1262)</f>
        <v>9.99999999999979</v>
      </c>
      <c r="I1263" s="5"/>
      <c r="J1263" s="818" t="n">
        <f aca="false">1000*(E1263-$E$215)/(B1263-$B$215)</f>
        <v>11.5017841875683</v>
      </c>
      <c r="K1263" s="732" t="n">
        <f aca="false">AVERAGE($E$216:E1263)</f>
        <v>10.2672166932576</v>
      </c>
      <c r="L1263" s="819" t="n">
        <f aca="false">L1262+1</f>
        <v>1048</v>
      </c>
      <c r="M1263" s="820" t="n">
        <f aca="false">IF(B1263&lt;$E$104,$E$105,$E$106)</f>
        <v>3</v>
      </c>
      <c r="N1263" s="821" t="n">
        <f aca="false">IF(B1263&lt;$E$104,$E$105,$E$111)</f>
        <v>2.5</v>
      </c>
      <c r="O1263" s="822" t="n">
        <f aca="false">E1263*$E$205*N1263</f>
        <v>203.79441742574</v>
      </c>
      <c r="P1263" s="823" t="n">
        <f aca="false">P1262+O1263</f>
        <v>141180.243860672</v>
      </c>
      <c r="Q1263" s="606" t="n">
        <f aca="false">Q1262+1</f>
        <v>1048</v>
      </c>
      <c r="R1263" s="824" t="n">
        <f aca="false">R1262-1</f>
        <v>-1048</v>
      </c>
      <c r="S1263" s="5"/>
      <c r="T1263" s="5"/>
      <c r="U1263" s="5"/>
      <c r="V1263" s="10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02"/>
      <c r="AU1263" s="502"/>
      <c r="AV1263" s="606"/>
      <c r="AW1263" s="502"/>
      <c r="AX1263" s="502"/>
      <c r="AY1263" s="502"/>
      <c r="AZ1263" s="502"/>
      <c r="BA1263" s="502"/>
      <c r="BB1263" s="502"/>
      <c r="BC1263" s="502"/>
      <c r="BD1263" s="502"/>
      <c r="BE1263" s="502"/>
      <c r="BF1263" s="502"/>
      <c r="BG1263" s="502"/>
      <c r="BH1263" s="502"/>
      <c r="BI1263" s="502"/>
      <c r="BJ1263" s="502"/>
      <c r="BK1263" s="502"/>
      <c r="BL1263" s="502"/>
      <c r="BM1263" s="502"/>
      <c r="BN1263" s="502"/>
      <c r="BO1263" s="502"/>
      <c r="BP1263" s="5"/>
      <c r="BQ1263" s="5"/>
      <c r="BR1263" s="5"/>
      <c r="BS1263" s="5"/>
      <c r="BT1263" s="5"/>
      <c r="BU1263" s="5"/>
      <c r="BV1263" s="5"/>
      <c r="BW1263" s="5"/>
      <c r="BX1263" s="5"/>
      <c r="BY1263" s="5"/>
      <c r="BZ1263" s="5"/>
      <c r="CA1263" s="5"/>
      <c r="CB1263" s="5"/>
      <c r="CC1263" s="5"/>
      <c r="CD1263" s="5"/>
      <c r="CE1263" s="5"/>
      <c r="CF1263" s="5"/>
      <c r="CG1263" s="5"/>
      <c r="CH1263" s="5"/>
      <c r="CI1263" s="5"/>
      <c r="CJ1263" s="5"/>
      <c r="CK1263" s="5"/>
      <c r="CL1263" s="5"/>
      <c r="CM1263" s="5"/>
      <c r="CN1263" s="5"/>
      <c r="CO1263" s="5"/>
      <c r="CP1263" s="5"/>
      <c r="CQ1263" s="5"/>
      <c r="CR1263" s="5"/>
      <c r="CS1263" s="5"/>
      <c r="CT1263" s="5"/>
      <c r="CU1263" s="5"/>
      <c r="CV1263" s="5"/>
      <c r="CW1263" s="5"/>
      <c r="CX1263" s="5"/>
      <c r="CY1263" s="5"/>
      <c r="CZ1263" s="5"/>
      <c r="DA1263" s="5"/>
      <c r="DB1263" s="5"/>
      <c r="DC1263" s="5"/>
      <c r="DD1263" s="5"/>
      <c r="DE1263" s="5"/>
      <c r="DF1263" s="5"/>
      <c r="DG1263" s="5"/>
      <c r="DH1263" s="5"/>
      <c r="DI1263" s="5"/>
      <c r="DJ1263" s="5"/>
      <c r="DK1263" s="5"/>
      <c r="DL1263" s="5"/>
      <c r="DM1263" s="5"/>
      <c r="DN1263" s="5"/>
      <c r="DO1263" s="5"/>
      <c r="DP1263" s="5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  <c r="GV1263" s="1"/>
      <c r="GW1263" s="1"/>
      <c r="GX1263" s="1"/>
      <c r="GY1263" s="1"/>
      <c r="GZ1263" s="1"/>
      <c r="HA1263" s="1"/>
      <c r="HB1263" s="1"/>
      <c r="HC1263" s="1"/>
      <c r="HD1263" s="1"/>
      <c r="HE1263" s="1"/>
      <c r="HF1263" s="1"/>
      <c r="HG1263" s="1"/>
      <c r="HH1263" s="1"/>
      <c r="HI1263" s="1"/>
      <c r="HJ1263" s="1"/>
      <c r="HK1263" s="1"/>
      <c r="HL1263" s="1"/>
      <c r="HM1263" s="1"/>
      <c r="HN1263" s="1"/>
      <c r="HO1263" s="1"/>
      <c r="HP1263" s="1"/>
      <c r="HQ1263" s="1"/>
      <c r="HR1263" s="1"/>
      <c r="HS1263" s="1"/>
      <c r="HT1263" s="1"/>
      <c r="HU1263" s="1"/>
      <c r="HV1263" s="1"/>
      <c r="HW1263" s="1"/>
      <c r="HX1263" s="1"/>
      <c r="HY1263" s="1"/>
      <c r="HZ1263" s="1"/>
      <c r="IA1263" s="1"/>
      <c r="IB1263" s="1"/>
      <c r="IC1263" s="1"/>
      <c r="ID1263" s="1"/>
      <c r="IE1263" s="1"/>
      <c r="IF1263" s="1"/>
      <c r="IG1263" s="1"/>
      <c r="IH1263" s="1"/>
      <c r="II1263" s="1"/>
      <c r="IJ1263" s="1"/>
      <c r="IK1263" s="1"/>
      <c r="IL1263" s="1"/>
      <c r="IM1263" s="1"/>
      <c r="IN1263" s="1"/>
      <c r="IO1263" s="1"/>
      <c r="IP1263" s="1"/>
      <c r="IQ1263" s="1"/>
      <c r="IR1263" s="1"/>
      <c r="IS1263" s="1"/>
      <c r="IT1263" s="1"/>
      <c r="IU1263" s="1"/>
      <c r="IV1263" s="1"/>
      <c r="IW1263" s="1"/>
      <c r="IX1263" s="1"/>
      <c r="IY1263" s="1"/>
      <c r="IZ1263" s="1"/>
      <c r="JA1263" s="1"/>
      <c r="JB1263" s="1"/>
      <c r="JC1263" s="1"/>
      <c r="JD1263" s="1"/>
    </row>
    <row r="1264" s="504" customFormat="true" ht="12.75" hidden="true" customHeight="true" outlineLevel="0" collapsed="false">
      <c r="A1264" s="5"/>
      <c r="B1264" s="813" t="n">
        <f aca="false">B1263+1</f>
        <v>1049</v>
      </c>
      <c r="C1264" s="814" t="n">
        <f aca="false">C1263+D1264</f>
        <v>169598.986893266</v>
      </c>
      <c r="D1264" s="815" t="n">
        <f aca="false">E1264*$E$205*M1264</f>
        <v>244.710980910888</v>
      </c>
      <c r="E1264" s="601" t="n">
        <f aca="false">E1263+$C$204</f>
        <v>15.5194686016545</v>
      </c>
      <c r="F1264" s="816" t="n">
        <f aca="false">F1263+1</f>
        <v>1049</v>
      </c>
      <c r="G1264" s="775" t="n">
        <f aca="false">C1264</f>
        <v>169598.986893266</v>
      </c>
      <c r="H1264" s="817" t="n">
        <f aca="false">1000*(E1264-E1263)</f>
        <v>9.99999999999979</v>
      </c>
      <c r="I1264" s="5"/>
      <c r="J1264" s="818" t="n">
        <f aca="false">1000*(E1264-$E$215)/(B1264-$B$215)</f>
        <v>11.5003525534524</v>
      </c>
      <c r="K1264" s="732" t="n">
        <f aca="false">AVERAGE($E$216:E1264)</f>
        <v>10.272223606421</v>
      </c>
      <c r="L1264" s="819" t="n">
        <f aca="false">L1263+1</f>
        <v>1049</v>
      </c>
      <c r="M1264" s="820" t="n">
        <f aca="false">IF(B1264&lt;$E$104,$E$105,$E$106)</f>
        <v>3</v>
      </c>
      <c r="N1264" s="821" t="n">
        <f aca="false">IF(B1264&lt;$E$104,$E$105,$E$111)</f>
        <v>2.5</v>
      </c>
      <c r="O1264" s="822" t="n">
        <f aca="false">E1264*$E$205*N1264</f>
        <v>203.92581742574</v>
      </c>
      <c r="P1264" s="823" t="n">
        <f aca="false">P1263+O1264</f>
        <v>141384.169678098</v>
      </c>
      <c r="Q1264" s="606" t="n">
        <f aca="false">Q1263+1</f>
        <v>1049</v>
      </c>
      <c r="R1264" s="824" t="n">
        <f aca="false">R1263-1</f>
        <v>-1049</v>
      </c>
      <c r="S1264" s="5"/>
      <c r="T1264" s="5"/>
      <c r="U1264" s="5"/>
      <c r="V1264" s="10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02"/>
      <c r="AU1264" s="502"/>
      <c r="AV1264" s="606"/>
      <c r="AW1264" s="502"/>
      <c r="AX1264" s="502"/>
      <c r="AY1264" s="502"/>
      <c r="AZ1264" s="502"/>
      <c r="BA1264" s="502"/>
      <c r="BB1264" s="502"/>
      <c r="BC1264" s="502"/>
      <c r="BD1264" s="502"/>
      <c r="BE1264" s="502"/>
      <c r="BF1264" s="502"/>
      <c r="BG1264" s="502"/>
      <c r="BH1264" s="502"/>
      <c r="BI1264" s="502"/>
      <c r="BJ1264" s="502"/>
      <c r="BK1264" s="502"/>
      <c r="BL1264" s="502"/>
      <c r="BM1264" s="502"/>
      <c r="BN1264" s="502"/>
      <c r="BO1264" s="502"/>
      <c r="BP1264" s="5"/>
      <c r="BQ1264" s="5"/>
      <c r="BR1264" s="5"/>
      <c r="BS1264" s="5"/>
      <c r="BT1264" s="5"/>
      <c r="BU1264" s="5"/>
      <c r="BV1264" s="5"/>
      <c r="BW1264" s="5"/>
      <c r="BX1264" s="5"/>
      <c r="BY1264" s="5"/>
      <c r="BZ1264" s="5"/>
      <c r="CA1264" s="5"/>
      <c r="CB1264" s="5"/>
      <c r="CC1264" s="5"/>
      <c r="CD1264" s="5"/>
      <c r="CE1264" s="5"/>
      <c r="CF1264" s="5"/>
      <c r="CG1264" s="5"/>
      <c r="CH1264" s="5"/>
      <c r="CI1264" s="5"/>
      <c r="CJ1264" s="5"/>
      <c r="CK1264" s="5"/>
      <c r="CL1264" s="5"/>
      <c r="CM1264" s="5"/>
      <c r="CN1264" s="5"/>
      <c r="CO1264" s="5"/>
      <c r="CP1264" s="5"/>
      <c r="CQ1264" s="5"/>
      <c r="CR1264" s="5"/>
      <c r="CS1264" s="5"/>
      <c r="CT1264" s="5"/>
      <c r="CU1264" s="5"/>
      <c r="CV1264" s="5"/>
      <c r="CW1264" s="5"/>
      <c r="CX1264" s="5"/>
      <c r="CY1264" s="5"/>
      <c r="CZ1264" s="5"/>
      <c r="DA1264" s="5"/>
      <c r="DB1264" s="5"/>
      <c r="DC1264" s="5"/>
      <c r="DD1264" s="5"/>
      <c r="DE1264" s="5"/>
      <c r="DF1264" s="5"/>
      <c r="DG1264" s="5"/>
      <c r="DH1264" s="5"/>
      <c r="DI1264" s="5"/>
      <c r="DJ1264" s="5"/>
      <c r="DK1264" s="5"/>
      <c r="DL1264" s="5"/>
      <c r="DM1264" s="5"/>
      <c r="DN1264" s="5"/>
      <c r="DO1264" s="5"/>
      <c r="DP1264" s="5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  <c r="GV1264" s="1"/>
      <c r="GW1264" s="1"/>
      <c r="GX1264" s="1"/>
      <c r="GY1264" s="1"/>
      <c r="GZ1264" s="1"/>
      <c r="HA1264" s="1"/>
      <c r="HB1264" s="1"/>
      <c r="HC1264" s="1"/>
      <c r="HD1264" s="1"/>
      <c r="HE1264" s="1"/>
      <c r="HF1264" s="1"/>
      <c r="HG1264" s="1"/>
      <c r="HH1264" s="1"/>
      <c r="HI1264" s="1"/>
      <c r="HJ1264" s="1"/>
      <c r="HK1264" s="1"/>
      <c r="HL1264" s="1"/>
      <c r="HM1264" s="1"/>
      <c r="HN1264" s="1"/>
      <c r="HO1264" s="1"/>
      <c r="HP1264" s="1"/>
      <c r="HQ1264" s="1"/>
      <c r="HR1264" s="1"/>
      <c r="HS1264" s="1"/>
      <c r="HT1264" s="1"/>
      <c r="HU1264" s="1"/>
      <c r="HV1264" s="1"/>
      <c r="HW1264" s="1"/>
      <c r="HX1264" s="1"/>
      <c r="HY1264" s="1"/>
      <c r="HZ1264" s="1"/>
      <c r="IA1264" s="1"/>
      <c r="IB1264" s="1"/>
      <c r="IC1264" s="1"/>
      <c r="ID1264" s="1"/>
      <c r="IE1264" s="1"/>
      <c r="IF1264" s="1"/>
      <c r="IG1264" s="1"/>
      <c r="IH1264" s="1"/>
      <c r="II1264" s="1"/>
      <c r="IJ1264" s="1"/>
      <c r="IK1264" s="1"/>
      <c r="IL1264" s="1"/>
      <c r="IM1264" s="1"/>
      <c r="IN1264" s="1"/>
      <c r="IO1264" s="1"/>
      <c r="IP1264" s="1"/>
      <c r="IQ1264" s="1"/>
      <c r="IR1264" s="1"/>
      <c r="IS1264" s="1"/>
      <c r="IT1264" s="1"/>
      <c r="IU1264" s="1"/>
      <c r="IV1264" s="1"/>
      <c r="IW1264" s="1"/>
      <c r="IX1264" s="1"/>
      <c r="IY1264" s="1"/>
      <c r="IZ1264" s="1"/>
      <c r="JA1264" s="1"/>
      <c r="JB1264" s="1"/>
      <c r="JC1264" s="1"/>
      <c r="JD1264" s="1"/>
    </row>
    <row r="1265" s="504" customFormat="true" ht="12.75" hidden="true" customHeight="true" outlineLevel="0" collapsed="false">
      <c r="A1265" s="5"/>
      <c r="B1265" s="813" t="n">
        <f aca="false">B1264+1</f>
        <v>1050</v>
      </c>
      <c r="C1265" s="814" t="n">
        <f aca="false">C1264+D1265</f>
        <v>169843.855554177</v>
      </c>
      <c r="D1265" s="815" t="n">
        <f aca="false">E1265*$E$205*M1265</f>
        <v>244.868660910888</v>
      </c>
      <c r="E1265" s="601" t="n">
        <f aca="false">E1264+$C$204</f>
        <v>15.5294686016545</v>
      </c>
      <c r="F1265" s="816" t="n">
        <f aca="false">F1264+1</f>
        <v>1050</v>
      </c>
      <c r="G1265" s="775" t="n">
        <f aca="false">C1265</f>
        <v>169843.855554177</v>
      </c>
      <c r="H1265" s="817" t="n">
        <f aca="false">1000*(E1265-E1264)</f>
        <v>9.99999999999979</v>
      </c>
      <c r="I1265" s="5"/>
      <c r="J1265" s="818" t="n">
        <f aca="false">1000*(E1265-$E$215)/(B1265-$B$215)</f>
        <v>11.4989236462587</v>
      </c>
      <c r="K1265" s="732" t="n">
        <f aca="false">AVERAGE($E$216:E1265)</f>
        <v>10.2772305064165</v>
      </c>
      <c r="L1265" s="819" t="n">
        <f aca="false">L1264+1</f>
        <v>1050</v>
      </c>
      <c r="M1265" s="820" t="n">
        <f aca="false">IF(B1265&lt;$E$104,$E$105,$E$106)</f>
        <v>3</v>
      </c>
      <c r="N1265" s="821" t="n">
        <f aca="false">IF(B1265&lt;$E$104,$E$105,$E$111)</f>
        <v>2.5</v>
      </c>
      <c r="O1265" s="822" t="n">
        <f aca="false">E1265*$E$205*N1265</f>
        <v>204.05721742574</v>
      </c>
      <c r="P1265" s="823" t="n">
        <f aca="false">P1264+O1265</f>
        <v>141588.226895524</v>
      </c>
      <c r="Q1265" s="606" t="n">
        <f aca="false">Q1264+1</f>
        <v>1050</v>
      </c>
      <c r="R1265" s="824" t="n">
        <f aca="false">R1264-1</f>
        <v>-1050</v>
      </c>
      <c r="S1265" s="5"/>
      <c r="T1265" s="5"/>
      <c r="U1265" s="5"/>
      <c r="V1265" s="10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02"/>
      <c r="AU1265" s="502"/>
      <c r="AV1265" s="606"/>
      <c r="AW1265" s="502"/>
      <c r="AX1265" s="502"/>
      <c r="AY1265" s="502"/>
      <c r="AZ1265" s="502"/>
      <c r="BA1265" s="502"/>
      <c r="BB1265" s="502"/>
      <c r="BC1265" s="502"/>
      <c r="BD1265" s="502"/>
      <c r="BE1265" s="502"/>
      <c r="BF1265" s="502"/>
      <c r="BG1265" s="502"/>
      <c r="BH1265" s="502"/>
      <c r="BI1265" s="502"/>
      <c r="BJ1265" s="502"/>
      <c r="BK1265" s="502"/>
      <c r="BL1265" s="502"/>
      <c r="BM1265" s="502"/>
      <c r="BN1265" s="502"/>
      <c r="BO1265" s="502"/>
      <c r="BP1265" s="5"/>
      <c r="BQ1265" s="5"/>
      <c r="BR1265" s="5"/>
      <c r="BS1265" s="5"/>
      <c r="BT1265" s="5"/>
      <c r="BU1265" s="5"/>
      <c r="BV1265" s="5"/>
      <c r="BW1265" s="5"/>
      <c r="BX1265" s="5"/>
      <c r="BY1265" s="5"/>
      <c r="BZ1265" s="5"/>
      <c r="CA1265" s="5"/>
      <c r="CB1265" s="5"/>
      <c r="CC1265" s="5"/>
      <c r="CD1265" s="5"/>
      <c r="CE1265" s="5"/>
      <c r="CF1265" s="5"/>
      <c r="CG1265" s="5"/>
      <c r="CH1265" s="5"/>
      <c r="CI1265" s="5"/>
      <c r="CJ1265" s="5"/>
      <c r="CK1265" s="5"/>
      <c r="CL1265" s="5"/>
      <c r="CM1265" s="5"/>
      <c r="CN1265" s="5"/>
      <c r="CO1265" s="5"/>
      <c r="CP1265" s="5"/>
      <c r="CQ1265" s="5"/>
      <c r="CR1265" s="5"/>
      <c r="CS1265" s="5"/>
      <c r="CT1265" s="5"/>
      <c r="CU1265" s="5"/>
      <c r="CV1265" s="5"/>
      <c r="CW1265" s="5"/>
      <c r="CX1265" s="5"/>
      <c r="CY1265" s="5"/>
      <c r="CZ1265" s="5"/>
      <c r="DA1265" s="5"/>
      <c r="DB1265" s="5"/>
      <c r="DC1265" s="5"/>
      <c r="DD1265" s="5"/>
      <c r="DE1265" s="5"/>
      <c r="DF1265" s="5"/>
      <c r="DG1265" s="5"/>
      <c r="DH1265" s="5"/>
      <c r="DI1265" s="5"/>
      <c r="DJ1265" s="5"/>
      <c r="DK1265" s="5"/>
      <c r="DL1265" s="5"/>
      <c r="DM1265" s="5"/>
      <c r="DN1265" s="5"/>
      <c r="DO1265" s="5"/>
      <c r="DP1265" s="5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  <c r="GV1265" s="1"/>
      <c r="GW1265" s="1"/>
      <c r="GX1265" s="1"/>
      <c r="GY1265" s="1"/>
      <c r="GZ1265" s="1"/>
      <c r="HA1265" s="1"/>
      <c r="HB1265" s="1"/>
      <c r="HC1265" s="1"/>
      <c r="HD1265" s="1"/>
      <c r="HE1265" s="1"/>
      <c r="HF1265" s="1"/>
      <c r="HG1265" s="1"/>
      <c r="HH1265" s="1"/>
      <c r="HI1265" s="1"/>
      <c r="HJ1265" s="1"/>
      <c r="HK1265" s="1"/>
      <c r="HL1265" s="1"/>
      <c r="HM1265" s="1"/>
      <c r="HN1265" s="1"/>
      <c r="HO1265" s="1"/>
      <c r="HP1265" s="1"/>
      <c r="HQ1265" s="1"/>
      <c r="HR1265" s="1"/>
      <c r="HS1265" s="1"/>
      <c r="HT1265" s="1"/>
      <c r="HU1265" s="1"/>
      <c r="HV1265" s="1"/>
      <c r="HW1265" s="1"/>
      <c r="HX1265" s="1"/>
      <c r="HY1265" s="1"/>
      <c r="HZ1265" s="1"/>
      <c r="IA1265" s="1"/>
      <c r="IB1265" s="1"/>
      <c r="IC1265" s="1"/>
      <c r="ID1265" s="1"/>
      <c r="IE1265" s="1"/>
      <c r="IF1265" s="1"/>
      <c r="IG1265" s="1"/>
      <c r="IH1265" s="1"/>
      <c r="II1265" s="1"/>
      <c r="IJ1265" s="1"/>
      <c r="IK1265" s="1"/>
      <c r="IL1265" s="1"/>
      <c r="IM1265" s="1"/>
      <c r="IN1265" s="1"/>
      <c r="IO1265" s="1"/>
      <c r="IP1265" s="1"/>
      <c r="IQ1265" s="1"/>
      <c r="IR1265" s="1"/>
      <c r="IS1265" s="1"/>
      <c r="IT1265" s="1"/>
      <c r="IU1265" s="1"/>
      <c r="IV1265" s="1"/>
      <c r="IW1265" s="1"/>
      <c r="IX1265" s="1"/>
      <c r="IY1265" s="1"/>
      <c r="IZ1265" s="1"/>
      <c r="JA1265" s="1"/>
      <c r="JB1265" s="1"/>
      <c r="JC1265" s="1"/>
      <c r="JD1265" s="1"/>
    </row>
    <row r="1266" s="504" customFormat="true" ht="12.75" hidden="true" customHeight="true" outlineLevel="0" collapsed="false">
      <c r="A1266" s="5"/>
      <c r="B1266" s="813" t="n">
        <f aca="false">B1265+1</f>
        <v>1051</v>
      </c>
      <c r="C1266" s="814" t="n">
        <f aca="false">C1265+D1266</f>
        <v>170088.881895088</v>
      </c>
      <c r="D1266" s="815" t="n">
        <f aca="false">E1266*$E$205*M1266</f>
        <v>245.026340910888</v>
      </c>
      <c r="E1266" s="601" t="n">
        <f aca="false">E1265+$C$204</f>
        <v>15.5394686016545</v>
      </c>
      <c r="F1266" s="816" t="n">
        <f aca="false">F1265+1</f>
        <v>1051</v>
      </c>
      <c r="G1266" s="775" t="n">
        <f aca="false">C1266</f>
        <v>170088.881895088</v>
      </c>
      <c r="H1266" s="817" t="n">
        <f aca="false">1000*(E1266-E1265)</f>
        <v>9.99999999999979</v>
      </c>
      <c r="I1266" s="5"/>
      <c r="J1266" s="818" t="n">
        <f aca="false">1000*(E1266-$E$215)/(B1266-$B$215)</f>
        <v>11.4974974582033</v>
      </c>
      <c r="K1266" s="732" t="n">
        <f aca="false">AVERAGE($E$216:E1266)</f>
        <v>10.2822373932816</v>
      </c>
      <c r="L1266" s="819" t="n">
        <f aca="false">L1265+1</f>
        <v>1051</v>
      </c>
      <c r="M1266" s="820" t="n">
        <f aca="false">IF(B1266&lt;$E$104,$E$105,$E$106)</f>
        <v>3</v>
      </c>
      <c r="N1266" s="821" t="n">
        <f aca="false">IF(B1266&lt;$E$104,$E$105,$E$111)</f>
        <v>2.5</v>
      </c>
      <c r="O1266" s="822" t="n">
        <f aca="false">E1266*$E$205*N1266</f>
        <v>204.18861742574</v>
      </c>
      <c r="P1266" s="823" t="n">
        <f aca="false">P1265+O1266</f>
        <v>141792.415512949</v>
      </c>
      <c r="Q1266" s="606" t="n">
        <f aca="false">Q1265+1</f>
        <v>1051</v>
      </c>
      <c r="R1266" s="824" t="n">
        <f aca="false">R1265-1</f>
        <v>-1051</v>
      </c>
      <c r="S1266" s="5"/>
      <c r="T1266" s="5"/>
      <c r="U1266" s="5"/>
      <c r="V1266" s="10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02"/>
      <c r="AU1266" s="502"/>
      <c r="AV1266" s="606"/>
      <c r="AW1266" s="502"/>
      <c r="AX1266" s="502"/>
      <c r="AY1266" s="502"/>
      <c r="AZ1266" s="502"/>
      <c r="BA1266" s="502"/>
      <c r="BB1266" s="502"/>
      <c r="BC1266" s="502"/>
      <c r="BD1266" s="502"/>
      <c r="BE1266" s="502"/>
      <c r="BF1266" s="502"/>
      <c r="BG1266" s="502"/>
      <c r="BH1266" s="502"/>
      <c r="BI1266" s="502"/>
      <c r="BJ1266" s="502"/>
      <c r="BK1266" s="502"/>
      <c r="BL1266" s="502"/>
      <c r="BM1266" s="502"/>
      <c r="BN1266" s="502"/>
      <c r="BO1266" s="502"/>
      <c r="BP1266" s="5"/>
      <c r="BQ1266" s="5"/>
      <c r="BR1266" s="5"/>
      <c r="BS1266" s="5"/>
      <c r="BT1266" s="5"/>
      <c r="BU1266" s="5"/>
      <c r="BV1266" s="5"/>
      <c r="BW1266" s="5"/>
      <c r="BX1266" s="5"/>
      <c r="BY1266" s="5"/>
      <c r="BZ1266" s="5"/>
      <c r="CA1266" s="5"/>
      <c r="CB1266" s="5"/>
      <c r="CC1266" s="5"/>
      <c r="CD1266" s="5"/>
      <c r="CE1266" s="5"/>
      <c r="CF1266" s="5"/>
      <c r="CG1266" s="5"/>
      <c r="CH1266" s="5"/>
      <c r="CI1266" s="5"/>
      <c r="CJ1266" s="5"/>
      <c r="CK1266" s="5"/>
      <c r="CL1266" s="5"/>
      <c r="CM1266" s="5"/>
      <c r="CN1266" s="5"/>
      <c r="CO1266" s="5"/>
      <c r="CP1266" s="5"/>
      <c r="CQ1266" s="5"/>
      <c r="CR1266" s="5"/>
      <c r="CS1266" s="5"/>
      <c r="CT1266" s="5"/>
      <c r="CU1266" s="5"/>
      <c r="CV1266" s="5"/>
      <c r="CW1266" s="5"/>
      <c r="CX1266" s="5"/>
      <c r="CY1266" s="5"/>
      <c r="CZ1266" s="5"/>
      <c r="DA1266" s="5"/>
      <c r="DB1266" s="5"/>
      <c r="DC1266" s="5"/>
      <c r="DD1266" s="5"/>
      <c r="DE1266" s="5"/>
      <c r="DF1266" s="5"/>
      <c r="DG1266" s="5"/>
      <c r="DH1266" s="5"/>
      <c r="DI1266" s="5"/>
      <c r="DJ1266" s="5"/>
      <c r="DK1266" s="5"/>
      <c r="DL1266" s="5"/>
      <c r="DM1266" s="5"/>
      <c r="DN1266" s="5"/>
      <c r="DO1266" s="5"/>
      <c r="DP1266" s="5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  <c r="GV1266" s="1"/>
      <c r="GW1266" s="1"/>
      <c r="GX1266" s="1"/>
      <c r="GY1266" s="1"/>
      <c r="GZ1266" s="1"/>
      <c r="HA1266" s="1"/>
      <c r="HB1266" s="1"/>
      <c r="HC1266" s="1"/>
      <c r="HD1266" s="1"/>
      <c r="HE1266" s="1"/>
      <c r="HF1266" s="1"/>
      <c r="HG1266" s="1"/>
      <c r="HH1266" s="1"/>
      <c r="HI1266" s="1"/>
      <c r="HJ1266" s="1"/>
      <c r="HK1266" s="1"/>
      <c r="HL1266" s="1"/>
      <c r="HM1266" s="1"/>
      <c r="HN1266" s="1"/>
      <c r="HO1266" s="1"/>
      <c r="HP1266" s="1"/>
      <c r="HQ1266" s="1"/>
      <c r="HR1266" s="1"/>
      <c r="HS1266" s="1"/>
      <c r="HT1266" s="1"/>
      <c r="HU1266" s="1"/>
      <c r="HV1266" s="1"/>
      <c r="HW1266" s="1"/>
      <c r="HX1266" s="1"/>
      <c r="HY1266" s="1"/>
      <c r="HZ1266" s="1"/>
      <c r="IA1266" s="1"/>
      <c r="IB1266" s="1"/>
      <c r="IC1266" s="1"/>
      <c r="ID1266" s="1"/>
      <c r="IE1266" s="1"/>
      <c r="IF1266" s="1"/>
      <c r="IG1266" s="1"/>
      <c r="IH1266" s="1"/>
      <c r="II1266" s="1"/>
      <c r="IJ1266" s="1"/>
      <c r="IK1266" s="1"/>
      <c r="IL1266" s="1"/>
      <c r="IM1266" s="1"/>
      <c r="IN1266" s="1"/>
      <c r="IO1266" s="1"/>
      <c r="IP1266" s="1"/>
      <c r="IQ1266" s="1"/>
      <c r="IR1266" s="1"/>
      <c r="IS1266" s="1"/>
      <c r="IT1266" s="1"/>
      <c r="IU1266" s="1"/>
      <c r="IV1266" s="1"/>
      <c r="IW1266" s="1"/>
      <c r="IX1266" s="1"/>
      <c r="IY1266" s="1"/>
      <c r="IZ1266" s="1"/>
      <c r="JA1266" s="1"/>
      <c r="JB1266" s="1"/>
      <c r="JC1266" s="1"/>
      <c r="JD1266" s="1"/>
    </row>
    <row r="1267" s="504" customFormat="true" ht="12.75" hidden="true" customHeight="true" outlineLevel="0" collapsed="false">
      <c r="A1267" s="5"/>
      <c r="B1267" s="813" t="n">
        <f aca="false">B1266+1</f>
        <v>1052</v>
      </c>
      <c r="C1267" s="814" t="n">
        <f aca="false">C1266+D1267</f>
        <v>170334.065915998</v>
      </c>
      <c r="D1267" s="815" t="n">
        <f aca="false">E1267*$E$205*M1267</f>
        <v>245.184020910888</v>
      </c>
      <c r="E1267" s="601" t="n">
        <f aca="false">E1266+$C$204</f>
        <v>15.5494686016545</v>
      </c>
      <c r="F1267" s="816" t="n">
        <f aca="false">F1266+1</f>
        <v>1052</v>
      </c>
      <c r="G1267" s="775" t="n">
        <f aca="false">C1267</f>
        <v>170334.065915998</v>
      </c>
      <c r="H1267" s="817" t="n">
        <f aca="false">1000*(E1267-E1266)</f>
        <v>9.99999999999979</v>
      </c>
      <c r="I1267" s="5"/>
      <c r="J1267" s="818" t="n">
        <f aca="false">1000*(E1267-$E$215)/(B1267-$B$215)</f>
        <v>11.496073981532</v>
      </c>
      <c r="K1267" s="732" t="n">
        <f aca="false">AVERAGE($E$216:E1267)</f>
        <v>10.2872442670538</v>
      </c>
      <c r="L1267" s="819" t="n">
        <f aca="false">L1266+1</f>
        <v>1052</v>
      </c>
      <c r="M1267" s="820" t="n">
        <f aca="false">IF(B1267&lt;$E$104,$E$105,$E$106)</f>
        <v>3</v>
      </c>
      <c r="N1267" s="821" t="n">
        <f aca="false">IF(B1267&lt;$E$104,$E$105,$E$111)</f>
        <v>2.5</v>
      </c>
      <c r="O1267" s="822" t="n">
        <f aca="false">E1267*$E$205*N1267</f>
        <v>204.32001742574</v>
      </c>
      <c r="P1267" s="823" t="n">
        <f aca="false">P1266+O1267</f>
        <v>141996.735530375</v>
      </c>
      <c r="Q1267" s="606" t="n">
        <f aca="false">Q1266+1</f>
        <v>1052</v>
      </c>
      <c r="R1267" s="824" t="n">
        <f aca="false">R1266-1</f>
        <v>-1052</v>
      </c>
      <c r="S1267" s="5"/>
      <c r="T1267" s="5"/>
      <c r="U1267" s="5"/>
      <c r="V1267" s="10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02"/>
      <c r="AU1267" s="502"/>
      <c r="AV1267" s="606"/>
      <c r="AW1267" s="502"/>
      <c r="AX1267" s="502"/>
      <c r="AY1267" s="502"/>
      <c r="AZ1267" s="502"/>
      <c r="BA1267" s="502"/>
      <c r="BB1267" s="502"/>
      <c r="BC1267" s="502"/>
      <c r="BD1267" s="502"/>
      <c r="BE1267" s="502"/>
      <c r="BF1267" s="502"/>
      <c r="BG1267" s="502"/>
      <c r="BH1267" s="502"/>
      <c r="BI1267" s="502"/>
      <c r="BJ1267" s="502"/>
      <c r="BK1267" s="502"/>
      <c r="BL1267" s="502"/>
      <c r="BM1267" s="502"/>
      <c r="BN1267" s="502"/>
      <c r="BO1267" s="502"/>
      <c r="BP1267" s="5"/>
      <c r="BQ1267" s="5"/>
      <c r="BR1267" s="5"/>
      <c r="BS1267" s="5"/>
      <c r="BT1267" s="5"/>
      <c r="BU1267" s="5"/>
      <c r="BV1267" s="5"/>
      <c r="BW1267" s="5"/>
      <c r="BX1267" s="5"/>
      <c r="BY1267" s="5"/>
      <c r="BZ1267" s="5"/>
      <c r="CA1267" s="5"/>
      <c r="CB1267" s="5"/>
      <c r="CC1267" s="5"/>
      <c r="CD1267" s="5"/>
      <c r="CE1267" s="5"/>
      <c r="CF1267" s="5"/>
      <c r="CG1267" s="5"/>
      <c r="CH1267" s="5"/>
      <c r="CI1267" s="5"/>
      <c r="CJ1267" s="5"/>
      <c r="CK1267" s="5"/>
      <c r="CL1267" s="5"/>
      <c r="CM1267" s="5"/>
      <c r="CN1267" s="5"/>
      <c r="CO1267" s="5"/>
      <c r="CP1267" s="5"/>
      <c r="CQ1267" s="5"/>
      <c r="CR1267" s="5"/>
      <c r="CS1267" s="5"/>
      <c r="CT1267" s="5"/>
      <c r="CU1267" s="5"/>
      <c r="CV1267" s="5"/>
      <c r="CW1267" s="5"/>
      <c r="CX1267" s="5"/>
      <c r="CY1267" s="5"/>
      <c r="CZ1267" s="5"/>
      <c r="DA1267" s="5"/>
      <c r="DB1267" s="5"/>
      <c r="DC1267" s="5"/>
      <c r="DD1267" s="5"/>
      <c r="DE1267" s="5"/>
      <c r="DF1267" s="5"/>
      <c r="DG1267" s="5"/>
      <c r="DH1267" s="5"/>
      <c r="DI1267" s="5"/>
      <c r="DJ1267" s="5"/>
      <c r="DK1267" s="5"/>
      <c r="DL1267" s="5"/>
      <c r="DM1267" s="5"/>
      <c r="DN1267" s="5"/>
      <c r="DO1267" s="5"/>
      <c r="DP1267" s="5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  <c r="GV1267" s="1"/>
      <c r="GW1267" s="1"/>
      <c r="GX1267" s="1"/>
      <c r="GY1267" s="1"/>
      <c r="GZ1267" s="1"/>
      <c r="HA1267" s="1"/>
      <c r="HB1267" s="1"/>
      <c r="HC1267" s="1"/>
      <c r="HD1267" s="1"/>
      <c r="HE1267" s="1"/>
      <c r="HF1267" s="1"/>
      <c r="HG1267" s="1"/>
      <c r="HH1267" s="1"/>
      <c r="HI1267" s="1"/>
      <c r="HJ1267" s="1"/>
      <c r="HK1267" s="1"/>
      <c r="HL1267" s="1"/>
      <c r="HM1267" s="1"/>
      <c r="HN1267" s="1"/>
      <c r="HO1267" s="1"/>
      <c r="HP1267" s="1"/>
      <c r="HQ1267" s="1"/>
      <c r="HR1267" s="1"/>
      <c r="HS1267" s="1"/>
      <c r="HT1267" s="1"/>
      <c r="HU1267" s="1"/>
      <c r="HV1267" s="1"/>
      <c r="HW1267" s="1"/>
      <c r="HX1267" s="1"/>
      <c r="HY1267" s="1"/>
      <c r="HZ1267" s="1"/>
      <c r="IA1267" s="1"/>
      <c r="IB1267" s="1"/>
      <c r="IC1267" s="1"/>
      <c r="ID1267" s="1"/>
      <c r="IE1267" s="1"/>
      <c r="IF1267" s="1"/>
      <c r="IG1267" s="1"/>
      <c r="IH1267" s="1"/>
      <c r="II1267" s="1"/>
      <c r="IJ1267" s="1"/>
      <c r="IK1267" s="1"/>
      <c r="IL1267" s="1"/>
      <c r="IM1267" s="1"/>
      <c r="IN1267" s="1"/>
      <c r="IO1267" s="1"/>
      <c r="IP1267" s="1"/>
      <c r="IQ1267" s="1"/>
      <c r="IR1267" s="1"/>
      <c r="IS1267" s="1"/>
      <c r="IT1267" s="1"/>
      <c r="IU1267" s="1"/>
      <c r="IV1267" s="1"/>
      <c r="IW1267" s="1"/>
      <c r="IX1267" s="1"/>
      <c r="IY1267" s="1"/>
      <c r="IZ1267" s="1"/>
      <c r="JA1267" s="1"/>
      <c r="JB1267" s="1"/>
      <c r="JC1267" s="1"/>
      <c r="JD1267" s="1"/>
    </row>
    <row r="1268" s="504" customFormat="true" ht="12.75" hidden="true" customHeight="true" outlineLevel="0" collapsed="false">
      <c r="A1268" s="5"/>
      <c r="B1268" s="813" t="n">
        <f aca="false">B1267+1</f>
        <v>1053</v>
      </c>
      <c r="C1268" s="814" t="n">
        <f aca="false">C1267+D1268</f>
        <v>170579.407616909</v>
      </c>
      <c r="D1268" s="815" t="n">
        <f aca="false">E1268*$E$205*M1268</f>
        <v>245.341700910888</v>
      </c>
      <c r="E1268" s="601" t="n">
        <f aca="false">E1267+$C$204</f>
        <v>15.5594686016545</v>
      </c>
      <c r="F1268" s="816" t="n">
        <f aca="false">F1267+1</f>
        <v>1053</v>
      </c>
      <c r="G1268" s="775" t="n">
        <f aca="false">C1268</f>
        <v>170579.407616909</v>
      </c>
      <c r="H1268" s="817" t="n">
        <f aca="false">1000*(E1268-E1267)</f>
        <v>9.99999999999979</v>
      </c>
      <c r="I1268" s="5"/>
      <c r="J1268" s="818" t="n">
        <f aca="false">1000*(E1268-$E$215)/(B1268-$B$215)</f>
        <v>11.4946532085201</v>
      </c>
      <c r="K1268" s="732" t="n">
        <f aca="false">AVERAGE($E$216:E1268)</f>
        <v>10.2922511277704</v>
      </c>
      <c r="L1268" s="819" t="n">
        <f aca="false">L1267+1</f>
        <v>1053</v>
      </c>
      <c r="M1268" s="820" t="n">
        <f aca="false">IF(B1268&lt;$E$104,$E$105,$E$106)</f>
        <v>3</v>
      </c>
      <c r="N1268" s="821" t="n">
        <f aca="false">IF(B1268&lt;$E$104,$E$105,$E$111)</f>
        <v>2.5</v>
      </c>
      <c r="O1268" s="822" t="n">
        <f aca="false">E1268*$E$205*N1268</f>
        <v>204.45141742574</v>
      </c>
      <c r="P1268" s="823" t="n">
        <f aca="false">P1267+O1268</f>
        <v>142201.186947801</v>
      </c>
      <c r="Q1268" s="606" t="n">
        <f aca="false">Q1267+1</f>
        <v>1053</v>
      </c>
      <c r="R1268" s="824" t="n">
        <f aca="false">R1267-1</f>
        <v>-1053</v>
      </c>
      <c r="S1268" s="5"/>
      <c r="T1268" s="5"/>
      <c r="U1268" s="5"/>
      <c r="V1268" s="10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02"/>
      <c r="AU1268" s="502"/>
      <c r="AV1268" s="606"/>
      <c r="AW1268" s="502"/>
      <c r="AX1268" s="502"/>
      <c r="AY1268" s="502"/>
      <c r="AZ1268" s="502"/>
      <c r="BA1268" s="502"/>
      <c r="BB1268" s="502"/>
      <c r="BC1268" s="502"/>
      <c r="BD1268" s="502"/>
      <c r="BE1268" s="502"/>
      <c r="BF1268" s="502"/>
      <c r="BG1268" s="502"/>
      <c r="BH1268" s="502"/>
      <c r="BI1268" s="502"/>
      <c r="BJ1268" s="502"/>
      <c r="BK1268" s="502"/>
      <c r="BL1268" s="502"/>
      <c r="BM1268" s="502"/>
      <c r="BN1268" s="502"/>
      <c r="BO1268" s="502"/>
      <c r="BP1268" s="5"/>
      <c r="BQ1268" s="5"/>
      <c r="BR1268" s="5"/>
      <c r="BS1268" s="5"/>
      <c r="BT1268" s="5"/>
      <c r="BU1268" s="5"/>
      <c r="BV1268" s="5"/>
      <c r="BW1268" s="5"/>
      <c r="BX1268" s="5"/>
      <c r="BY1268" s="5"/>
      <c r="BZ1268" s="5"/>
      <c r="CA1268" s="5"/>
      <c r="CB1268" s="5"/>
      <c r="CC1268" s="5"/>
      <c r="CD1268" s="5"/>
      <c r="CE1268" s="5"/>
      <c r="CF1268" s="5"/>
      <c r="CG1268" s="5"/>
      <c r="CH1268" s="5"/>
      <c r="CI1268" s="5"/>
      <c r="CJ1268" s="5"/>
      <c r="CK1268" s="5"/>
      <c r="CL1268" s="5"/>
      <c r="CM1268" s="5"/>
      <c r="CN1268" s="5"/>
      <c r="CO1268" s="5"/>
      <c r="CP1268" s="5"/>
      <c r="CQ1268" s="5"/>
      <c r="CR1268" s="5"/>
      <c r="CS1268" s="5"/>
      <c r="CT1268" s="5"/>
      <c r="CU1268" s="5"/>
      <c r="CV1268" s="5"/>
      <c r="CW1268" s="5"/>
      <c r="CX1268" s="5"/>
      <c r="CY1268" s="5"/>
      <c r="CZ1268" s="5"/>
      <c r="DA1268" s="5"/>
      <c r="DB1268" s="5"/>
      <c r="DC1268" s="5"/>
      <c r="DD1268" s="5"/>
      <c r="DE1268" s="5"/>
      <c r="DF1268" s="5"/>
      <c r="DG1268" s="5"/>
      <c r="DH1268" s="5"/>
      <c r="DI1268" s="5"/>
      <c r="DJ1268" s="5"/>
      <c r="DK1268" s="5"/>
      <c r="DL1268" s="5"/>
      <c r="DM1268" s="5"/>
      <c r="DN1268" s="5"/>
      <c r="DO1268" s="5"/>
      <c r="DP1268" s="5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  <c r="GV1268" s="1"/>
      <c r="GW1268" s="1"/>
      <c r="GX1268" s="1"/>
      <c r="GY1268" s="1"/>
      <c r="GZ1268" s="1"/>
      <c r="HA1268" s="1"/>
      <c r="HB1268" s="1"/>
      <c r="HC1268" s="1"/>
      <c r="HD1268" s="1"/>
      <c r="HE1268" s="1"/>
      <c r="HF1268" s="1"/>
      <c r="HG1268" s="1"/>
      <c r="HH1268" s="1"/>
      <c r="HI1268" s="1"/>
      <c r="HJ1268" s="1"/>
      <c r="HK1268" s="1"/>
      <c r="HL1268" s="1"/>
      <c r="HM1268" s="1"/>
      <c r="HN1268" s="1"/>
      <c r="HO1268" s="1"/>
      <c r="HP1268" s="1"/>
      <c r="HQ1268" s="1"/>
      <c r="HR1268" s="1"/>
      <c r="HS1268" s="1"/>
      <c r="HT1268" s="1"/>
      <c r="HU1268" s="1"/>
      <c r="HV1268" s="1"/>
      <c r="HW1268" s="1"/>
      <c r="HX1268" s="1"/>
      <c r="HY1268" s="1"/>
      <c r="HZ1268" s="1"/>
      <c r="IA1268" s="1"/>
      <c r="IB1268" s="1"/>
      <c r="IC1268" s="1"/>
      <c r="ID1268" s="1"/>
      <c r="IE1268" s="1"/>
      <c r="IF1268" s="1"/>
      <c r="IG1268" s="1"/>
      <c r="IH1268" s="1"/>
      <c r="II1268" s="1"/>
      <c r="IJ1268" s="1"/>
      <c r="IK1268" s="1"/>
      <c r="IL1268" s="1"/>
      <c r="IM1268" s="1"/>
      <c r="IN1268" s="1"/>
      <c r="IO1268" s="1"/>
      <c r="IP1268" s="1"/>
      <c r="IQ1268" s="1"/>
      <c r="IR1268" s="1"/>
      <c r="IS1268" s="1"/>
      <c r="IT1268" s="1"/>
      <c r="IU1268" s="1"/>
      <c r="IV1268" s="1"/>
      <c r="IW1268" s="1"/>
      <c r="IX1268" s="1"/>
      <c r="IY1268" s="1"/>
      <c r="IZ1268" s="1"/>
      <c r="JA1268" s="1"/>
      <c r="JB1268" s="1"/>
      <c r="JC1268" s="1"/>
      <c r="JD1268" s="1"/>
    </row>
    <row r="1269" s="504" customFormat="true" ht="12.75" hidden="true" customHeight="true" outlineLevel="0" collapsed="false">
      <c r="A1269" s="5"/>
      <c r="B1269" s="813" t="n">
        <f aca="false">B1268+1</f>
        <v>1054</v>
      </c>
      <c r="C1269" s="814" t="n">
        <f aca="false">C1268+D1269</f>
        <v>170824.90699782</v>
      </c>
      <c r="D1269" s="815" t="n">
        <f aca="false">E1269*$E$205*M1269</f>
        <v>245.499380910888</v>
      </c>
      <c r="E1269" s="601" t="n">
        <f aca="false">E1268+$C$204</f>
        <v>15.5694686016545</v>
      </c>
      <c r="F1269" s="816" t="n">
        <f aca="false">F1268+1</f>
        <v>1054</v>
      </c>
      <c r="G1269" s="775" t="n">
        <f aca="false">C1269</f>
        <v>170824.90699782</v>
      </c>
      <c r="H1269" s="817" t="n">
        <f aca="false">1000*(E1269-E1268)</f>
        <v>9.99999999999979</v>
      </c>
      <c r="I1269" s="5"/>
      <c r="J1269" s="818" t="n">
        <f aca="false">1000*(E1269-$E$215)/(B1269-$B$215)</f>
        <v>11.4932351314721</v>
      </c>
      <c r="K1269" s="732" t="n">
        <f aca="false">AVERAGE($E$216:E1269)</f>
        <v>10.2972579754686</v>
      </c>
      <c r="L1269" s="819" t="n">
        <f aca="false">L1268+1</f>
        <v>1054</v>
      </c>
      <c r="M1269" s="820" t="n">
        <f aca="false">IF(B1269&lt;$E$104,$E$105,$E$106)</f>
        <v>3</v>
      </c>
      <c r="N1269" s="821" t="n">
        <f aca="false">IF(B1269&lt;$E$104,$E$105,$E$111)</f>
        <v>2.5</v>
      </c>
      <c r="O1269" s="822" t="n">
        <f aca="false">E1269*$E$205*N1269</f>
        <v>204.58281742574</v>
      </c>
      <c r="P1269" s="823" t="n">
        <f aca="false">P1268+O1269</f>
        <v>142405.769765227</v>
      </c>
      <c r="Q1269" s="606" t="n">
        <f aca="false">Q1268+1</f>
        <v>1054</v>
      </c>
      <c r="R1269" s="824" t="n">
        <f aca="false">R1268-1</f>
        <v>-1054</v>
      </c>
      <c r="S1269" s="5"/>
      <c r="T1269" s="5"/>
      <c r="U1269" s="5"/>
      <c r="V1269" s="10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02"/>
      <c r="AU1269" s="502"/>
      <c r="AV1269" s="606"/>
      <c r="AW1269" s="502"/>
      <c r="AX1269" s="502"/>
      <c r="AY1269" s="502"/>
      <c r="AZ1269" s="502"/>
      <c r="BA1269" s="502"/>
      <c r="BB1269" s="502"/>
      <c r="BC1269" s="502"/>
      <c r="BD1269" s="502"/>
      <c r="BE1269" s="502"/>
      <c r="BF1269" s="502"/>
      <c r="BG1269" s="502"/>
      <c r="BH1269" s="502"/>
      <c r="BI1269" s="502"/>
      <c r="BJ1269" s="502"/>
      <c r="BK1269" s="502"/>
      <c r="BL1269" s="502"/>
      <c r="BM1269" s="502"/>
      <c r="BN1269" s="502"/>
      <c r="BO1269" s="502"/>
      <c r="BP1269" s="5"/>
      <c r="BQ1269" s="5"/>
      <c r="BR1269" s="5"/>
      <c r="BS1269" s="5"/>
      <c r="BT1269" s="5"/>
      <c r="BU1269" s="5"/>
      <c r="BV1269" s="5"/>
      <c r="BW1269" s="5"/>
      <c r="BX1269" s="5"/>
      <c r="BY1269" s="5"/>
      <c r="BZ1269" s="5"/>
      <c r="CA1269" s="5"/>
      <c r="CB1269" s="5"/>
      <c r="CC1269" s="5"/>
      <c r="CD1269" s="5"/>
      <c r="CE1269" s="5"/>
      <c r="CF1269" s="5"/>
      <c r="CG1269" s="5"/>
      <c r="CH1269" s="5"/>
      <c r="CI1269" s="5"/>
      <c r="CJ1269" s="5"/>
      <c r="CK1269" s="5"/>
      <c r="CL1269" s="5"/>
      <c r="CM1269" s="5"/>
      <c r="CN1269" s="5"/>
      <c r="CO1269" s="5"/>
      <c r="CP1269" s="5"/>
      <c r="CQ1269" s="5"/>
      <c r="CR1269" s="5"/>
      <c r="CS1269" s="5"/>
      <c r="CT1269" s="5"/>
      <c r="CU1269" s="5"/>
      <c r="CV1269" s="5"/>
      <c r="CW1269" s="5"/>
      <c r="CX1269" s="5"/>
      <c r="CY1269" s="5"/>
      <c r="CZ1269" s="5"/>
      <c r="DA1269" s="5"/>
      <c r="DB1269" s="5"/>
      <c r="DC1269" s="5"/>
      <c r="DD1269" s="5"/>
      <c r="DE1269" s="5"/>
      <c r="DF1269" s="5"/>
      <c r="DG1269" s="5"/>
      <c r="DH1269" s="5"/>
      <c r="DI1269" s="5"/>
      <c r="DJ1269" s="5"/>
      <c r="DK1269" s="5"/>
      <c r="DL1269" s="5"/>
      <c r="DM1269" s="5"/>
      <c r="DN1269" s="5"/>
      <c r="DO1269" s="5"/>
      <c r="DP1269" s="5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  <c r="GV1269" s="1"/>
      <c r="GW1269" s="1"/>
      <c r="GX1269" s="1"/>
      <c r="GY1269" s="1"/>
      <c r="GZ1269" s="1"/>
      <c r="HA1269" s="1"/>
      <c r="HB1269" s="1"/>
      <c r="HC1269" s="1"/>
      <c r="HD1269" s="1"/>
      <c r="HE1269" s="1"/>
      <c r="HF1269" s="1"/>
      <c r="HG1269" s="1"/>
      <c r="HH1269" s="1"/>
      <c r="HI1269" s="1"/>
      <c r="HJ1269" s="1"/>
      <c r="HK1269" s="1"/>
      <c r="HL1269" s="1"/>
      <c r="HM1269" s="1"/>
      <c r="HN1269" s="1"/>
      <c r="HO1269" s="1"/>
      <c r="HP1269" s="1"/>
      <c r="HQ1269" s="1"/>
      <c r="HR1269" s="1"/>
      <c r="HS1269" s="1"/>
      <c r="HT1269" s="1"/>
      <c r="HU1269" s="1"/>
      <c r="HV1269" s="1"/>
      <c r="HW1269" s="1"/>
      <c r="HX1269" s="1"/>
      <c r="HY1269" s="1"/>
      <c r="HZ1269" s="1"/>
      <c r="IA1269" s="1"/>
      <c r="IB1269" s="1"/>
      <c r="IC1269" s="1"/>
      <c r="ID1269" s="1"/>
      <c r="IE1269" s="1"/>
      <c r="IF1269" s="1"/>
      <c r="IG1269" s="1"/>
      <c r="IH1269" s="1"/>
      <c r="II1269" s="1"/>
      <c r="IJ1269" s="1"/>
      <c r="IK1269" s="1"/>
      <c r="IL1269" s="1"/>
      <c r="IM1269" s="1"/>
      <c r="IN1269" s="1"/>
      <c r="IO1269" s="1"/>
      <c r="IP1269" s="1"/>
      <c r="IQ1269" s="1"/>
      <c r="IR1269" s="1"/>
      <c r="IS1269" s="1"/>
      <c r="IT1269" s="1"/>
      <c r="IU1269" s="1"/>
      <c r="IV1269" s="1"/>
      <c r="IW1269" s="1"/>
      <c r="IX1269" s="1"/>
      <c r="IY1269" s="1"/>
      <c r="IZ1269" s="1"/>
      <c r="JA1269" s="1"/>
      <c r="JB1269" s="1"/>
      <c r="JC1269" s="1"/>
      <c r="JD1269" s="1"/>
    </row>
    <row r="1270" s="504" customFormat="true" ht="12.75" hidden="true" customHeight="true" outlineLevel="0" collapsed="false">
      <c r="A1270" s="5"/>
      <c r="B1270" s="813" t="n">
        <f aca="false">B1269+1</f>
        <v>1055</v>
      </c>
      <c r="C1270" s="814" t="n">
        <f aca="false">C1269+D1270</f>
        <v>171070.564058731</v>
      </c>
      <c r="D1270" s="815" t="n">
        <f aca="false">E1270*$E$205*M1270</f>
        <v>245.657060910888</v>
      </c>
      <c r="E1270" s="601" t="n">
        <f aca="false">E1269+$C$204</f>
        <v>15.5794686016545</v>
      </c>
      <c r="F1270" s="816" t="n">
        <f aca="false">F1269+1</f>
        <v>1055</v>
      </c>
      <c r="G1270" s="775" t="n">
        <f aca="false">C1270</f>
        <v>171070.564058731</v>
      </c>
      <c r="H1270" s="817" t="n">
        <f aca="false">1000*(E1270-E1269)</f>
        <v>9.99999999999979</v>
      </c>
      <c r="I1270" s="5"/>
      <c r="J1270" s="818" t="n">
        <f aca="false">1000*(E1270-$E$215)/(B1270-$B$215)</f>
        <v>11.4918197427219</v>
      </c>
      <c r="K1270" s="732" t="n">
        <f aca="false">AVERAGE($E$216:E1270)</f>
        <v>10.3022648101854</v>
      </c>
      <c r="L1270" s="819" t="n">
        <f aca="false">L1269+1</f>
        <v>1055</v>
      </c>
      <c r="M1270" s="820" t="n">
        <f aca="false">IF(B1270&lt;$E$104,$E$105,$E$106)</f>
        <v>3</v>
      </c>
      <c r="N1270" s="821" t="n">
        <f aca="false">IF(B1270&lt;$E$104,$E$105,$E$111)</f>
        <v>2.5</v>
      </c>
      <c r="O1270" s="822" t="n">
        <f aca="false">E1270*$E$205*N1270</f>
        <v>204.71421742574</v>
      </c>
      <c r="P1270" s="823" t="n">
        <f aca="false">P1269+O1270</f>
        <v>142610.483982652</v>
      </c>
      <c r="Q1270" s="606" t="n">
        <f aca="false">Q1269+1</f>
        <v>1055</v>
      </c>
      <c r="R1270" s="824" t="n">
        <f aca="false">R1269-1</f>
        <v>-1055</v>
      </c>
      <c r="S1270" s="5"/>
      <c r="T1270" s="5"/>
      <c r="U1270" s="5"/>
      <c r="V1270" s="10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02"/>
      <c r="AU1270" s="502"/>
      <c r="AV1270" s="606"/>
      <c r="AW1270" s="502"/>
      <c r="AX1270" s="502"/>
      <c r="AY1270" s="502"/>
      <c r="AZ1270" s="502"/>
      <c r="BA1270" s="502"/>
      <c r="BB1270" s="502"/>
      <c r="BC1270" s="502"/>
      <c r="BD1270" s="502"/>
      <c r="BE1270" s="502"/>
      <c r="BF1270" s="502"/>
      <c r="BG1270" s="502"/>
      <c r="BH1270" s="502"/>
      <c r="BI1270" s="502"/>
      <c r="BJ1270" s="502"/>
      <c r="BK1270" s="502"/>
      <c r="BL1270" s="502"/>
      <c r="BM1270" s="502"/>
      <c r="BN1270" s="502"/>
      <c r="BO1270" s="502"/>
      <c r="BP1270" s="5"/>
      <c r="BQ1270" s="5"/>
      <c r="BR1270" s="5"/>
      <c r="BS1270" s="5"/>
      <c r="BT1270" s="5"/>
      <c r="BU1270" s="5"/>
      <c r="BV1270" s="5"/>
      <c r="BW1270" s="5"/>
      <c r="BX1270" s="5"/>
      <c r="BY1270" s="5"/>
      <c r="BZ1270" s="5"/>
      <c r="CA1270" s="5"/>
      <c r="CB1270" s="5"/>
      <c r="CC1270" s="5"/>
      <c r="CD1270" s="5"/>
      <c r="CE1270" s="5"/>
      <c r="CF1270" s="5"/>
      <c r="CG1270" s="5"/>
      <c r="CH1270" s="5"/>
      <c r="CI1270" s="5"/>
      <c r="CJ1270" s="5"/>
      <c r="CK1270" s="5"/>
      <c r="CL1270" s="5"/>
      <c r="CM1270" s="5"/>
      <c r="CN1270" s="5"/>
      <c r="CO1270" s="5"/>
      <c r="CP1270" s="5"/>
      <c r="CQ1270" s="5"/>
      <c r="CR1270" s="5"/>
      <c r="CS1270" s="5"/>
      <c r="CT1270" s="5"/>
      <c r="CU1270" s="5"/>
      <c r="CV1270" s="5"/>
      <c r="CW1270" s="5"/>
      <c r="CX1270" s="5"/>
      <c r="CY1270" s="5"/>
      <c r="CZ1270" s="5"/>
      <c r="DA1270" s="5"/>
      <c r="DB1270" s="5"/>
      <c r="DC1270" s="5"/>
      <c r="DD1270" s="5"/>
      <c r="DE1270" s="5"/>
      <c r="DF1270" s="5"/>
      <c r="DG1270" s="5"/>
      <c r="DH1270" s="5"/>
      <c r="DI1270" s="5"/>
      <c r="DJ1270" s="5"/>
      <c r="DK1270" s="5"/>
      <c r="DL1270" s="5"/>
      <c r="DM1270" s="5"/>
      <c r="DN1270" s="5"/>
      <c r="DO1270" s="5"/>
      <c r="DP1270" s="5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  <c r="GV1270" s="1"/>
      <c r="GW1270" s="1"/>
      <c r="GX1270" s="1"/>
      <c r="GY1270" s="1"/>
      <c r="GZ1270" s="1"/>
      <c r="HA1270" s="1"/>
      <c r="HB1270" s="1"/>
      <c r="HC1270" s="1"/>
      <c r="HD1270" s="1"/>
      <c r="HE1270" s="1"/>
      <c r="HF1270" s="1"/>
      <c r="HG1270" s="1"/>
      <c r="HH1270" s="1"/>
      <c r="HI1270" s="1"/>
      <c r="HJ1270" s="1"/>
      <c r="HK1270" s="1"/>
      <c r="HL1270" s="1"/>
      <c r="HM1270" s="1"/>
      <c r="HN1270" s="1"/>
      <c r="HO1270" s="1"/>
      <c r="HP1270" s="1"/>
      <c r="HQ1270" s="1"/>
      <c r="HR1270" s="1"/>
      <c r="HS1270" s="1"/>
      <c r="HT1270" s="1"/>
      <c r="HU1270" s="1"/>
      <c r="HV1270" s="1"/>
      <c r="HW1270" s="1"/>
      <c r="HX1270" s="1"/>
      <c r="HY1270" s="1"/>
      <c r="HZ1270" s="1"/>
      <c r="IA1270" s="1"/>
      <c r="IB1270" s="1"/>
      <c r="IC1270" s="1"/>
      <c r="ID1270" s="1"/>
      <c r="IE1270" s="1"/>
      <c r="IF1270" s="1"/>
      <c r="IG1270" s="1"/>
      <c r="IH1270" s="1"/>
      <c r="II1270" s="1"/>
      <c r="IJ1270" s="1"/>
      <c r="IK1270" s="1"/>
      <c r="IL1270" s="1"/>
      <c r="IM1270" s="1"/>
      <c r="IN1270" s="1"/>
      <c r="IO1270" s="1"/>
      <c r="IP1270" s="1"/>
      <c r="IQ1270" s="1"/>
      <c r="IR1270" s="1"/>
      <c r="IS1270" s="1"/>
      <c r="IT1270" s="1"/>
      <c r="IU1270" s="1"/>
      <c r="IV1270" s="1"/>
      <c r="IW1270" s="1"/>
      <c r="IX1270" s="1"/>
      <c r="IY1270" s="1"/>
      <c r="IZ1270" s="1"/>
      <c r="JA1270" s="1"/>
      <c r="JB1270" s="1"/>
      <c r="JC1270" s="1"/>
      <c r="JD1270" s="1"/>
    </row>
    <row r="1271" s="504" customFormat="true" ht="12.75" hidden="true" customHeight="true" outlineLevel="0" collapsed="false">
      <c r="A1271" s="5"/>
      <c r="B1271" s="813" t="n">
        <f aca="false">B1270+1</f>
        <v>1056</v>
      </c>
      <c r="C1271" s="814" t="n">
        <f aca="false">C1270+D1271</f>
        <v>171316.378799642</v>
      </c>
      <c r="D1271" s="815" t="n">
        <f aca="false">E1271*$E$205*M1271</f>
        <v>245.814740910888</v>
      </c>
      <c r="E1271" s="601" t="n">
        <f aca="false">E1270+$C$204</f>
        <v>15.5894686016545</v>
      </c>
      <c r="F1271" s="816" t="n">
        <f aca="false">F1270+1</f>
        <v>1056</v>
      </c>
      <c r="G1271" s="775" t="n">
        <f aca="false">C1271</f>
        <v>171316.378799642</v>
      </c>
      <c r="H1271" s="817" t="n">
        <f aca="false">1000*(E1271-E1270)</f>
        <v>9.99999999999979</v>
      </c>
      <c r="I1271" s="5"/>
      <c r="J1271" s="818" t="n">
        <f aca="false">1000*(E1271-$E$215)/(B1271-$B$215)</f>
        <v>11.4904070346322</v>
      </c>
      <c r="K1271" s="732" t="n">
        <f aca="false">AVERAGE($E$216:E1271)</f>
        <v>10.3072716319576</v>
      </c>
      <c r="L1271" s="819" t="n">
        <f aca="false">L1270+1</f>
        <v>1056</v>
      </c>
      <c r="M1271" s="820" t="n">
        <f aca="false">IF(B1271&lt;$E$104,$E$105,$E$106)</f>
        <v>3</v>
      </c>
      <c r="N1271" s="821" t="n">
        <f aca="false">IF(B1271&lt;$E$104,$E$105,$E$111)</f>
        <v>2.5</v>
      </c>
      <c r="O1271" s="822" t="n">
        <f aca="false">E1271*$E$205*N1271</f>
        <v>204.84561742574</v>
      </c>
      <c r="P1271" s="823" t="n">
        <f aca="false">P1270+O1271</f>
        <v>142815.329600078</v>
      </c>
      <c r="Q1271" s="606" t="n">
        <f aca="false">Q1270+1</f>
        <v>1056</v>
      </c>
      <c r="R1271" s="824" t="n">
        <f aca="false">R1270-1</f>
        <v>-1056</v>
      </c>
      <c r="S1271" s="5"/>
      <c r="T1271" s="5"/>
      <c r="U1271" s="5"/>
      <c r="V1271" s="10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02"/>
      <c r="AU1271" s="502"/>
      <c r="AV1271" s="606"/>
      <c r="AW1271" s="502"/>
      <c r="AX1271" s="502"/>
      <c r="AY1271" s="502"/>
      <c r="AZ1271" s="502"/>
      <c r="BA1271" s="502"/>
      <c r="BB1271" s="502"/>
      <c r="BC1271" s="502"/>
      <c r="BD1271" s="502"/>
      <c r="BE1271" s="502"/>
      <c r="BF1271" s="502"/>
      <c r="BG1271" s="502"/>
      <c r="BH1271" s="502"/>
      <c r="BI1271" s="502"/>
      <c r="BJ1271" s="502"/>
      <c r="BK1271" s="502"/>
      <c r="BL1271" s="502"/>
      <c r="BM1271" s="502"/>
      <c r="BN1271" s="502"/>
      <c r="BO1271" s="502"/>
      <c r="BP1271" s="5"/>
      <c r="BQ1271" s="5"/>
      <c r="BR1271" s="5"/>
      <c r="BS1271" s="5"/>
      <c r="BT1271" s="5"/>
      <c r="BU1271" s="5"/>
      <c r="BV1271" s="5"/>
      <c r="BW1271" s="5"/>
      <c r="BX1271" s="5"/>
      <c r="BY1271" s="5"/>
      <c r="BZ1271" s="5"/>
      <c r="CA1271" s="5"/>
      <c r="CB1271" s="5"/>
      <c r="CC1271" s="5"/>
      <c r="CD1271" s="5"/>
      <c r="CE1271" s="5"/>
      <c r="CF1271" s="5"/>
      <c r="CG1271" s="5"/>
      <c r="CH1271" s="5"/>
      <c r="CI1271" s="5"/>
      <c r="CJ1271" s="5"/>
      <c r="CK1271" s="5"/>
      <c r="CL1271" s="5"/>
      <c r="CM1271" s="5"/>
      <c r="CN1271" s="5"/>
      <c r="CO1271" s="5"/>
      <c r="CP1271" s="5"/>
      <c r="CQ1271" s="5"/>
      <c r="CR1271" s="5"/>
      <c r="CS1271" s="5"/>
      <c r="CT1271" s="5"/>
      <c r="CU1271" s="5"/>
      <c r="CV1271" s="5"/>
      <c r="CW1271" s="5"/>
      <c r="CX1271" s="5"/>
      <c r="CY1271" s="5"/>
      <c r="CZ1271" s="5"/>
      <c r="DA1271" s="5"/>
      <c r="DB1271" s="5"/>
      <c r="DC1271" s="5"/>
      <c r="DD1271" s="5"/>
      <c r="DE1271" s="5"/>
      <c r="DF1271" s="5"/>
      <c r="DG1271" s="5"/>
      <c r="DH1271" s="5"/>
      <c r="DI1271" s="5"/>
      <c r="DJ1271" s="5"/>
      <c r="DK1271" s="5"/>
      <c r="DL1271" s="5"/>
      <c r="DM1271" s="5"/>
      <c r="DN1271" s="5"/>
      <c r="DO1271" s="5"/>
      <c r="DP1271" s="5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  <c r="GV1271" s="1"/>
      <c r="GW1271" s="1"/>
      <c r="GX1271" s="1"/>
      <c r="GY1271" s="1"/>
      <c r="GZ1271" s="1"/>
      <c r="HA1271" s="1"/>
      <c r="HB1271" s="1"/>
      <c r="HC1271" s="1"/>
      <c r="HD1271" s="1"/>
      <c r="HE1271" s="1"/>
      <c r="HF1271" s="1"/>
      <c r="HG1271" s="1"/>
      <c r="HH1271" s="1"/>
      <c r="HI1271" s="1"/>
      <c r="HJ1271" s="1"/>
      <c r="HK1271" s="1"/>
      <c r="HL1271" s="1"/>
      <c r="HM1271" s="1"/>
      <c r="HN1271" s="1"/>
      <c r="HO1271" s="1"/>
      <c r="HP1271" s="1"/>
      <c r="HQ1271" s="1"/>
      <c r="HR1271" s="1"/>
      <c r="HS1271" s="1"/>
      <c r="HT1271" s="1"/>
      <c r="HU1271" s="1"/>
      <c r="HV1271" s="1"/>
      <c r="HW1271" s="1"/>
      <c r="HX1271" s="1"/>
      <c r="HY1271" s="1"/>
      <c r="HZ1271" s="1"/>
      <c r="IA1271" s="1"/>
      <c r="IB1271" s="1"/>
      <c r="IC1271" s="1"/>
      <c r="ID1271" s="1"/>
      <c r="IE1271" s="1"/>
      <c r="IF1271" s="1"/>
      <c r="IG1271" s="1"/>
      <c r="IH1271" s="1"/>
      <c r="II1271" s="1"/>
      <c r="IJ1271" s="1"/>
      <c r="IK1271" s="1"/>
      <c r="IL1271" s="1"/>
      <c r="IM1271" s="1"/>
      <c r="IN1271" s="1"/>
      <c r="IO1271" s="1"/>
      <c r="IP1271" s="1"/>
      <c r="IQ1271" s="1"/>
      <c r="IR1271" s="1"/>
      <c r="IS1271" s="1"/>
      <c r="IT1271" s="1"/>
      <c r="IU1271" s="1"/>
      <c r="IV1271" s="1"/>
      <c r="IW1271" s="1"/>
      <c r="IX1271" s="1"/>
      <c r="IY1271" s="1"/>
      <c r="IZ1271" s="1"/>
      <c r="JA1271" s="1"/>
      <c r="JB1271" s="1"/>
      <c r="JC1271" s="1"/>
      <c r="JD1271" s="1"/>
    </row>
    <row r="1272" s="504" customFormat="true" ht="12.75" hidden="true" customHeight="true" outlineLevel="0" collapsed="false">
      <c r="A1272" s="5"/>
      <c r="B1272" s="813" t="n">
        <f aca="false">B1271+1</f>
        <v>1057</v>
      </c>
      <c r="C1272" s="814" t="n">
        <f aca="false">C1271+D1272</f>
        <v>171562.351220553</v>
      </c>
      <c r="D1272" s="815" t="n">
        <f aca="false">E1272*$E$205*M1272</f>
        <v>245.972420910888</v>
      </c>
      <c r="E1272" s="601" t="n">
        <f aca="false">E1271+$C$204</f>
        <v>15.5994686016545</v>
      </c>
      <c r="F1272" s="816" t="n">
        <f aca="false">F1271+1</f>
        <v>1057</v>
      </c>
      <c r="G1272" s="775" t="n">
        <f aca="false">C1272</f>
        <v>171562.351220553</v>
      </c>
      <c r="H1272" s="817" t="n">
        <f aca="false">1000*(E1272-E1271)</f>
        <v>9.99999999999979</v>
      </c>
      <c r="I1272" s="5"/>
      <c r="J1272" s="818" t="n">
        <f aca="false">1000*(E1272-$E$215)/(B1272-$B$215)</f>
        <v>11.4889969995947</v>
      </c>
      <c r="K1272" s="732" t="n">
        <f aca="false">AVERAGE($E$216:E1272)</f>
        <v>10.312278440822</v>
      </c>
      <c r="L1272" s="819" t="n">
        <f aca="false">L1271+1</f>
        <v>1057</v>
      </c>
      <c r="M1272" s="820" t="n">
        <f aca="false">IF(B1272&lt;$E$104,$E$105,$E$106)</f>
        <v>3</v>
      </c>
      <c r="N1272" s="821" t="n">
        <f aca="false">IF(B1272&lt;$E$104,$E$105,$E$111)</f>
        <v>2.5</v>
      </c>
      <c r="O1272" s="822" t="n">
        <f aca="false">E1272*$E$205*N1272</f>
        <v>204.97701742574</v>
      </c>
      <c r="P1272" s="823" t="n">
        <f aca="false">P1271+O1272</f>
        <v>143020.306617504</v>
      </c>
      <c r="Q1272" s="606" t="n">
        <f aca="false">Q1271+1</f>
        <v>1057</v>
      </c>
      <c r="R1272" s="824" t="n">
        <f aca="false">R1271-1</f>
        <v>-1057</v>
      </c>
      <c r="S1272" s="5"/>
      <c r="T1272" s="5"/>
      <c r="U1272" s="5"/>
      <c r="V1272" s="10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02"/>
      <c r="AU1272" s="502"/>
      <c r="AV1272" s="606"/>
      <c r="AW1272" s="502"/>
      <c r="AX1272" s="502"/>
      <c r="AY1272" s="502"/>
      <c r="AZ1272" s="502"/>
      <c r="BA1272" s="502"/>
      <c r="BB1272" s="502"/>
      <c r="BC1272" s="502"/>
      <c r="BD1272" s="502"/>
      <c r="BE1272" s="502"/>
      <c r="BF1272" s="502"/>
      <c r="BG1272" s="502"/>
      <c r="BH1272" s="502"/>
      <c r="BI1272" s="502"/>
      <c r="BJ1272" s="502"/>
      <c r="BK1272" s="502"/>
      <c r="BL1272" s="502"/>
      <c r="BM1272" s="502"/>
      <c r="BN1272" s="502"/>
      <c r="BO1272" s="502"/>
      <c r="BP1272" s="5"/>
      <c r="BQ1272" s="5"/>
      <c r="BR1272" s="5"/>
      <c r="BS1272" s="5"/>
      <c r="BT1272" s="5"/>
      <c r="BU1272" s="5"/>
      <c r="BV1272" s="5"/>
      <c r="BW1272" s="5"/>
      <c r="BX1272" s="5"/>
      <c r="BY1272" s="5"/>
      <c r="BZ1272" s="5"/>
      <c r="CA1272" s="5"/>
      <c r="CB1272" s="5"/>
      <c r="CC1272" s="5"/>
      <c r="CD1272" s="5"/>
      <c r="CE1272" s="5"/>
      <c r="CF1272" s="5"/>
      <c r="CG1272" s="5"/>
      <c r="CH1272" s="5"/>
      <c r="CI1272" s="5"/>
      <c r="CJ1272" s="5"/>
      <c r="CK1272" s="5"/>
      <c r="CL1272" s="5"/>
      <c r="CM1272" s="5"/>
      <c r="CN1272" s="5"/>
      <c r="CO1272" s="5"/>
      <c r="CP1272" s="5"/>
      <c r="CQ1272" s="5"/>
      <c r="CR1272" s="5"/>
      <c r="CS1272" s="5"/>
      <c r="CT1272" s="5"/>
      <c r="CU1272" s="5"/>
      <c r="CV1272" s="5"/>
      <c r="CW1272" s="5"/>
      <c r="CX1272" s="5"/>
      <c r="CY1272" s="5"/>
      <c r="CZ1272" s="5"/>
      <c r="DA1272" s="5"/>
      <c r="DB1272" s="5"/>
      <c r="DC1272" s="5"/>
      <c r="DD1272" s="5"/>
      <c r="DE1272" s="5"/>
      <c r="DF1272" s="5"/>
      <c r="DG1272" s="5"/>
      <c r="DH1272" s="5"/>
      <c r="DI1272" s="5"/>
      <c r="DJ1272" s="5"/>
      <c r="DK1272" s="5"/>
      <c r="DL1272" s="5"/>
      <c r="DM1272" s="5"/>
      <c r="DN1272" s="5"/>
      <c r="DO1272" s="5"/>
      <c r="DP1272" s="5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  <c r="GV1272" s="1"/>
      <c r="GW1272" s="1"/>
      <c r="GX1272" s="1"/>
      <c r="GY1272" s="1"/>
      <c r="GZ1272" s="1"/>
      <c r="HA1272" s="1"/>
      <c r="HB1272" s="1"/>
      <c r="HC1272" s="1"/>
      <c r="HD1272" s="1"/>
      <c r="HE1272" s="1"/>
      <c r="HF1272" s="1"/>
      <c r="HG1272" s="1"/>
      <c r="HH1272" s="1"/>
      <c r="HI1272" s="1"/>
      <c r="HJ1272" s="1"/>
      <c r="HK1272" s="1"/>
      <c r="HL1272" s="1"/>
      <c r="HM1272" s="1"/>
      <c r="HN1272" s="1"/>
      <c r="HO1272" s="1"/>
      <c r="HP1272" s="1"/>
      <c r="HQ1272" s="1"/>
      <c r="HR1272" s="1"/>
      <c r="HS1272" s="1"/>
      <c r="HT1272" s="1"/>
      <c r="HU1272" s="1"/>
      <c r="HV1272" s="1"/>
      <c r="HW1272" s="1"/>
      <c r="HX1272" s="1"/>
      <c r="HY1272" s="1"/>
      <c r="HZ1272" s="1"/>
      <c r="IA1272" s="1"/>
      <c r="IB1272" s="1"/>
      <c r="IC1272" s="1"/>
      <c r="ID1272" s="1"/>
      <c r="IE1272" s="1"/>
      <c r="IF1272" s="1"/>
      <c r="IG1272" s="1"/>
      <c r="IH1272" s="1"/>
      <c r="II1272" s="1"/>
      <c r="IJ1272" s="1"/>
      <c r="IK1272" s="1"/>
      <c r="IL1272" s="1"/>
      <c r="IM1272" s="1"/>
      <c r="IN1272" s="1"/>
      <c r="IO1272" s="1"/>
      <c r="IP1272" s="1"/>
      <c r="IQ1272" s="1"/>
      <c r="IR1272" s="1"/>
      <c r="IS1272" s="1"/>
      <c r="IT1272" s="1"/>
      <c r="IU1272" s="1"/>
      <c r="IV1272" s="1"/>
      <c r="IW1272" s="1"/>
      <c r="IX1272" s="1"/>
      <c r="IY1272" s="1"/>
      <c r="IZ1272" s="1"/>
      <c r="JA1272" s="1"/>
      <c r="JB1272" s="1"/>
      <c r="JC1272" s="1"/>
      <c r="JD1272" s="1"/>
    </row>
    <row r="1273" s="504" customFormat="true" ht="12.75" hidden="true" customHeight="true" outlineLevel="0" collapsed="false">
      <c r="A1273" s="5"/>
      <c r="B1273" s="813" t="n">
        <f aca="false">B1272+1</f>
        <v>1058</v>
      </c>
      <c r="C1273" s="814" t="n">
        <f aca="false">C1272+D1273</f>
        <v>171808.481321464</v>
      </c>
      <c r="D1273" s="815" t="n">
        <f aca="false">E1273*$E$205*M1273</f>
        <v>246.130100910888</v>
      </c>
      <c r="E1273" s="601" t="n">
        <f aca="false">E1272+$C$204</f>
        <v>15.6094686016545</v>
      </c>
      <c r="F1273" s="816" t="n">
        <f aca="false">F1272+1</f>
        <v>1058</v>
      </c>
      <c r="G1273" s="775" t="n">
        <f aca="false">C1273</f>
        <v>171808.481321464</v>
      </c>
      <c r="H1273" s="817" t="n">
        <f aca="false">1000*(E1273-E1272)</f>
        <v>9.99999999999979</v>
      </c>
      <c r="I1273" s="5"/>
      <c r="J1273" s="818" t="n">
        <f aca="false">1000*(E1273-$E$215)/(B1273-$B$215)</f>
        <v>11.4875896300299</v>
      </c>
      <c r="K1273" s="732" t="n">
        <f aca="false">AVERAGE($E$216:E1273)</f>
        <v>10.3172852368153</v>
      </c>
      <c r="L1273" s="819" t="n">
        <f aca="false">L1272+1</f>
        <v>1058</v>
      </c>
      <c r="M1273" s="820" t="n">
        <f aca="false">IF(B1273&lt;$E$104,$E$105,$E$106)</f>
        <v>3</v>
      </c>
      <c r="N1273" s="821" t="n">
        <f aca="false">IF(B1273&lt;$E$104,$E$105,$E$111)</f>
        <v>2.5</v>
      </c>
      <c r="O1273" s="822" t="n">
        <f aca="false">E1273*$E$205*N1273</f>
        <v>205.10841742574</v>
      </c>
      <c r="P1273" s="823" t="n">
        <f aca="false">P1272+O1273</f>
        <v>143225.415034929</v>
      </c>
      <c r="Q1273" s="606" t="n">
        <f aca="false">Q1272+1</f>
        <v>1058</v>
      </c>
      <c r="R1273" s="824" t="n">
        <f aca="false">R1272-1</f>
        <v>-1058</v>
      </c>
      <c r="S1273" s="5"/>
      <c r="T1273" s="5"/>
      <c r="U1273" s="5"/>
      <c r="V1273" s="10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02"/>
      <c r="AU1273" s="502"/>
      <c r="AV1273" s="606"/>
      <c r="AW1273" s="502"/>
      <c r="AX1273" s="502"/>
      <c r="AY1273" s="502"/>
      <c r="AZ1273" s="502"/>
      <c r="BA1273" s="502"/>
      <c r="BB1273" s="502"/>
      <c r="BC1273" s="502"/>
      <c r="BD1273" s="502"/>
      <c r="BE1273" s="502"/>
      <c r="BF1273" s="502"/>
      <c r="BG1273" s="502"/>
      <c r="BH1273" s="502"/>
      <c r="BI1273" s="502"/>
      <c r="BJ1273" s="502"/>
      <c r="BK1273" s="502"/>
      <c r="BL1273" s="502"/>
      <c r="BM1273" s="502"/>
      <c r="BN1273" s="502"/>
      <c r="BO1273" s="502"/>
      <c r="BP1273" s="5"/>
      <c r="BQ1273" s="5"/>
      <c r="BR1273" s="5"/>
      <c r="BS1273" s="5"/>
      <c r="BT1273" s="5"/>
      <c r="BU1273" s="5"/>
      <c r="BV1273" s="5"/>
      <c r="BW1273" s="5"/>
      <c r="BX1273" s="5"/>
      <c r="BY1273" s="5"/>
      <c r="BZ1273" s="5"/>
      <c r="CA1273" s="5"/>
      <c r="CB1273" s="5"/>
      <c r="CC1273" s="5"/>
      <c r="CD1273" s="5"/>
      <c r="CE1273" s="5"/>
      <c r="CF1273" s="5"/>
      <c r="CG1273" s="5"/>
      <c r="CH1273" s="5"/>
      <c r="CI1273" s="5"/>
      <c r="CJ1273" s="5"/>
      <c r="CK1273" s="5"/>
      <c r="CL1273" s="5"/>
      <c r="CM1273" s="5"/>
      <c r="CN1273" s="5"/>
      <c r="CO1273" s="5"/>
      <c r="CP1273" s="5"/>
      <c r="CQ1273" s="5"/>
      <c r="CR1273" s="5"/>
      <c r="CS1273" s="5"/>
      <c r="CT1273" s="5"/>
      <c r="CU1273" s="5"/>
      <c r="CV1273" s="5"/>
      <c r="CW1273" s="5"/>
      <c r="CX1273" s="5"/>
      <c r="CY1273" s="5"/>
      <c r="CZ1273" s="5"/>
      <c r="DA1273" s="5"/>
      <c r="DB1273" s="5"/>
      <c r="DC1273" s="5"/>
      <c r="DD1273" s="5"/>
      <c r="DE1273" s="5"/>
      <c r="DF1273" s="5"/>
      <c r="DG1273" s="5"/>
      <c r="DH1273" s="5"/>
      <c r="DI1273" s="5"/>
      <c r="DJ1273" s="5"/>
      <c r="DK1273" s="5"/>
      <c r="DL1273" s="5"/>
      <c r="DM1273" s="5"/>
      <c r="DN1273" s="5"/>
      <c r="DO1273" s="5"/>
      <c r="DP1273" s="5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  <c r="GV1273" s="1"/>
      <c r="GW1273" s="1"/>
      <c r="GX1273" s="1"/>
      <c r="GY1273" s="1"/>
      <c r="GZ1273" s="1"/>
      <c r="HA1273" s="1"/>
      <c r="HB1273" s="1"/>
      <c r="HC1273" s="1"/>
      <c r="HD1273" s="1"/>
      <c r="HE1273" s="1"/>
      <c r="HF1273" s="1"/>
      <c r="HG1273" s="1"/>
      <c r="HH1273" s="1"/>
      <c r="HI1273" s="1"/>
      <c r="HJ1273" s="1"/>
      <c r="HK1273" s="1"/>
      <c r="HL1273" s="1"/>
      <c r="HM1273" s="1"/>
      <c r="HN1273" s="1"/>
      <c r="HO1273" s="1"/>
      <c r="HP1273" s="1"/>
      <c r="HQ1273" s="1"/>
      <c r="HR1273" s="1"/>
      <c r="HS1273" s="1"/>
      <c r="HT1273" s="1"/>
      <c r="HU1273" s="1"/>
      <c r="HV1273" s="1"/>
      <c r="HW1273" s="1"/>
      <c r="HX1273" s="1"/>
      <c r="HY1273" s="1"/>
      <c r="HZ1273" s="1"/>
      <c r="IA1273" s="1"/>
      <c r="IB1273" s="1"/>
      <c r="IC1273" s="1"/>
      <c r="ID1273" s="1"/>
      <c r="IE1273" s="1"/>
      <c r="IF1273" s="1"/>
      <c r="IG1273" s="1"/>
      <c r="IH1273" s="1"/>
      <c r="II1273" s="1"/>
      <c r="IJ1273" s="1"/>
      <c r="IK1273" s="1"/>
      <c r="IL1273" s="1"/>
      <c r="IM1273" s="1"/>
      <c r="IN1273" s="1"/>
      <c r="IO1273" s="1"/>
      <c r="IP1273" s="1"/>
      <c r="IQ1273" s="1"/>
      <c r="IR1273" s="1"/>
      <c r="IS1273" s="1"/>
      <c r="IT1273" s="1"/>
      <c r="IU1273" s="1"/>
      <c r="IV1273" s="1"/>
      <c r="IW1273" s="1"/>
      <c r="IX1273" s="1"/>
      <c r="IY1273" s="1"/>
      <c r="IZ1273" s="1"/>
      <c r="JA1273" s="1"/>
      <c r="JB1273" s="1"/>
      <c r="JC1273" s="1"/>
      <c r="JD1273" s="1"/>
    </row>
    <row r="1274" s="504" customFormat="true" ht="12.75" hidden="true" customHeight="true" outlineLevel="0" collapsed="false">
      <c r="A1274" s="5"/>
      <c r="B1274" s="813" t="n">
        <f aca="false">B1273+1</f>
        <v>1059</v>
      </c>
      <c r="C1274" s="814" t="n">
        <f aca="false">C1273+D1274</f>
        <v>172054.769102375</v>
      </c>
      <c r="D1274" s="815" t="n">
        <f aca="false">E1274*$E$205*M1274</f>
        <v>246.287780910888</v>
      </c>
      <c r="E1274" s="601" t="n">
        <f aca="false">E1273+$C$204</f>
        <v>15.6194686016545</v>
      </c>
      <c r="F1274" s="816" t="n">
        <f aca="false">F1273+1</f>
        <v>1059</v>
      </c>
      <c r="G1274" s="775" t="n">
        <f aca="false">C1274</f>
        <v>172054.769102375</v>
      </c>
      <c r="H1274" s="817" t="n">
        <f aca="false">1000*(E1274-E1273)</f>
        <v>9.99999999999979</v>
      </c>
      <c r="I1274" s="5"/>
      <c r="J1274" s="818" t="n">
        <f aca="false">1000*(E1274-$E$215)/(B1274-$B$215)</f>
        <v>11.4861849183868</v>
      </c>
      <c r="K1274" s="732" t="n">
        <f aca="false">AVERAGE($E$216:E1274)</f>
        <v>10.3222920199737</v>
      </c>
      <c r="L1274" s="819" t="n">
        <f aca="false">L1273+1</f>
        <v>1059</v>
      </c>
      <c r="M1274" s="820" t="n">
        <f aca="false">IF(B1274&lt;$E$104,$E$105,$E$106)</f>
        <v>3</v>
      </c>
      <c r="N1274" s="821" t="n">
        <f aca="false">IF(B1274&lt;$E$104,$E$105,$E$111)</f>
        <v>2.5</v>
      </c>
      <c r="O1274" s="822" t="n">
        <f aca="false">E1274*$E$205*N1274</f>
        <v>205.23981742574</v>
      </c>
      <c r="P1274" s="823" t="n">
        <f aca="false">P1273+O1274</f>
        <v>143430.654852355</v>
      </c>
      <c r="Q1274" s="606" t="n">
        <f aca="false">Q1273+1</f>
        <v>1059</v>
      </c>
      <c r="R1274" s="824" t="n">
        <f aca="false">R1273-1</f>
        <v>-1059</v>
      </c>
      <c r="S1274" s="5"/>
      <c r="T1274" s="5"/>
      <c r="U1274" s="5"/>
      <c r="V1274" s="10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02"/>
      <c r="AU1274" s="502"/>
      <c r="AV1274" s="606"/>
      <c r="AW1274" s="502"/>
      <c r="AX1274" s="502"/>
      <c r="AY1274" s="502"/>
      <c r="AZ1274" s="502"/>
      <c r="BA1274" s="502"/>
      <c r="BB1274" s="502"/>
      <c r="BC1274" s="502"/>
      <c r="BD1274" s="502"/>
      <c r="BE1274" s="502"/>
      <c r="BF1274" s="502"/>
      <c r="BG1274" s="502"/>
      <c r="BH1274" s="502"/>
      <c r="BI1274" s="502"/>
      <c r="BJ1274" s="502"/>
      <c r="BK1274" s="502"/>
      <c r="BL1274" s="502"/>
      <c r="BM1274" s="502"/>
      <c r="BN1274" s="502"/>
      <c r="BO1274" s="502"/>
      <c r="BP1274" s="5"/>
      <c r="BQ1274" s="5"/>
      <c r="BR1274" s="5"/>
      <c r="BS1274" s="5"/>
      <c r="BT1274" s="5"/>
      <c r="BU1274" s="5"/>
      <c r="BV1274" s="5"/>
      <c r="BW1274" s="5"/>
      <c r="BX1274" s="5"/>
      <c r="BY1274" s="5"/>
      <c r="BZ1274" s="5"/>
      <c r="CA1274" s="5"/>
      <c r="CB1274" s="5"/>
      <c r="CC1274" s="5"/>
      <c r="CD1274" s="5"/>
      <c r="CE1274" s="5"/>
      <c r="CF1274" s="5"/>
      <c r="CG1274" s="5"/>
      <c r="CH1274" s="5"/>
      <c r="CI1274" s="5"/>
      <c r="CJ1274" s="5"/>
      <c r="CK1274" s="5"/>
      <c r="CL1274" s="5"/>
      <c r="CM1274" s="5"/>
      <c r="CN1274" s="5"/>
      <c r="CO1274" s="5"/>
      <c r="CP1274" s="5"/>
      <c r="CQ1274" s="5"/>
      <c r="CR1274" s="5"/>
      <c r="CS1274" s="5"/>
      <c r="CT1274" s="5"/>
      <c r="CU1274" s="5"/>
      <c r="CV1274" s="5"/>
      <c r="CW1274" s="5"/>
      <c r="CX1274" s="5"/>
      <c r="CY1274" s="5"/>
      <c r="CZ1274" s="5"/>
      <c r="DA1274" s="5"/>
      <c r="DB1274" s="5"/>
      <c r="DC1274" s="5"/>
      <c r="DD1274" s="5"/>
      <c r="DE1274" s="5"/>
      <c r="DF1274" s="5"/>
      <c r="DG1274" s="5"/>
      <c r="DH1274" s="5"/>
      <c r="DI1274" s="5"/>
      <c r="DJ1274" s="5"/>
      <c r="DK1274" s="5"/>
      <c r="DL1274" s="5"/>
      <c r="DM1274" s="5"/>
      <c r="DN1274" s="5"/>
      <c r="DO1274" s="5"/>
      <c r="DP1274" s="5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  <c r="GV1274" s="1"/>
      <c r="GW1274" s="1"/>
      <c r="GX1274" s="1"/>
      <c r="GY1274" s="1"/>
      <c r="GZ1274" s="1"/>
      <c r="HA1274" s="1"/>
      <c r="HB1274" s="1"/>
      <c r="HC1274" s="1"/>
      <c r="HD1274" s="1"/>
      <c r="HE1274" s="1"/>
      <c r="HF1274" s="1"/>
      <c r="HG1274" s="1"/>
      <c r="HH1274" s="1"/>
      <c r="HI1274" s="1"/>
      <c r="HJ1274" s="1"/>
      <c r="HK1274" s="1"/>
      <c r="HL1274" s="1"/>
      <c r="HM1274" s="1"/>
      <c r="HN1274" s="1"/>
      <c r="HO1274" s="1"/>
      <c r="HP1274" s="1"/>
      <c r="HQ1274" s="1"/>
      <c r="HR1274" s="1"/>
      <c r="HS1274" s="1"/>
      <c r="HT1274" s="1"/>
      <c r="HU1274" s="1"/>
      <c r="HV1274" s="1"/>
      <c r="HW1274" s="1"/>
      <c r="HX1274" s="1"/>
      <c r="HY1274" s="1"/>
      <c r="HZ1274" s="1"/>
      <c r="IA1274" s="1"/>
      <c r="IB1274" s="1"/>
      <c r="IC1274" s="1"/>
      <c r="ID1274" s="1"/>
      <c r="IE1274" s="1"/>
      <c r="IF1274" s="1"/>
      <c r="IG1274" s="1"/>
      <c r="IH1274" s="1"/>
      <c r="II1274" s="1"/>
      <c r="IJ1274" s="1"/>
      <c r="IK1274" s="1"/>
      <c r="IL1274" s="1"/>
      <c r="IM1274" s="1"/>
      <c r="IN1274" s="1"/>
      <c r="IO1274" s="1"/>
      <c r="IP1274" s="1"/>
      <c r="IQ1274" s="1"/>
      <c r="IR1274" s="1"/>
      <c r="IS1274" s="1"/>
      <c r="IT1274" s="1"/>
      <c r="IU1274" s="1"/>
      <c r="IV1274" s="1"/>
      <c r="IW1274" s="1"/>
      <c r="IX1274" s="1"/>
      <c r="IY1274" s="1"/>
      <c r="IZ1274" s="1"/>
      <c r="JA1274" s="1"/>
      <c r="JB1274" s="1"/>
      <c r="JC1274" s="1"/>
      <c r="JD1274" s="1"/>
    </row>
    <row r="1275" s="504" customFormat="true" ht="12.75" hidden="true" customHeight="true" outlineLevel="0" collapsed="false">
      <c r="A1275" s="5"/>
      <c r="B1275" s="813" t="n">
        <f aca="false">B1274+1</f>
        <v>1060</v>
      </c>
      <c r="C1275" s="814" t="n">
        <f aca="false">C1274+D1275</f>
        <v>172301.214563286</v>
      </c>
      <c r="D1275" s="815" t="n">
        <f aca="false">E1275*$E$205*M1275</f>
        <v>246.445460910888</v>
      </c>
      <c r="E1275" s="601" t="n">
        <f aca="false">E1274+$C$204</f>
        <v>15.6294686016545</v>
      </c>
      <c r="F1275" s="816" t="n">
        <f aca="false">F1274+1</f>
        <v>1060</v>
      </c>
      <c r="G1275" s="775" t="n">
        <f aca="false">C1275</f>
        <v>172301.214563286</v>
      </c>
      <c r="H1275" s="817" t="n">
        <f aca="false">1000*(E1275-E1274)</f>
        <v>9.99999999999979</v>
      </c>
      <c r="I1275" s="5"/>
      <c r="J1275" s="818" t="n">
        <f aca="false">1000*(E1275-$E$215)/(B1275-$B$215)</f>
        <v>11.484782857143</v>
      </c>
      <c r="K1275" s="732" t="n">
        <f aca="false">AVERAGE($E$216:E1275)</f>
        <v>10.3272987903338</v>
      </c>
      <c r="L1275" s="819" t="n">
        <f aca="false">L1274+1</f>
        <v>1060</v>
      </c>
      <c r="M1275" s="820" t="n">
        <f aca="false">IF(B1275&lt;$E$104,$E$105,$E$106)</f>
        <v>3</v>
      </c>
      <c r="N1275" s="821" t="n">
        <f aca="false">IF(B1275&lt;$E$104,$E$105,$E$111)</f>
        <v>2.5</v>
      </c>
      <c r="O1275" s="822" t="n">
        <f aca="false">E1275*$E$205*N1275</f>
        <v>205.37121742574</v>
      </c>
      <c r="P1275" s="823" t="n">
        <f aca="false">P1274+O1275</f>
        <v>143636.026069781</v>
      </c>
      <c r="Q1275" s="606" t="n">
        <f aca="false">Q1274+1</f>
        <v>1060</v>
      </c>
      <c r="R1275" s="824" t="n">
        <f aca="false">R1274-1</f>
        <v>-1060</v>
      </c>
      <c r="S1275" s="5"/>
      <c r="T1275" s="5"/>
      <c r="U1275" s="5"/>
      <c r="V1275" s="10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02"/>
      <c r="AU1275" s="502"/>
      <c r="AV1275" s="606"/>
      <c r="AW1275" s="502"/>
      <c r="AX1275" s="502"/>
      <c r="AY1275" s="502"/>
      <c r="AZ1275" s="502"/>
      <c r="BA1275" s="502"/>
      <c r="BB1275" s="502"/>
      <c r="BC1275" s="502"/>
      <c r="BD1275" s="502"/>
      <c r="BE1275" s="502"/>
      <c r="BF1275" s="502"/>
      <c r="BG1275" s="502"/>
      <c r="BH1275" s="502"/>
      <c r="BI1275" s="502"/>
      <c r="BJ1275" s="502"/>
      <c r="BK1275" s="502"/>
      <c r="BL1275" s="502"/>
      <c r="BM1275" s="502"/>
      <c r="BN1275" s="502"/>
      <c r="BO1275" s="502"/>
      <c r="BP1275" s="5"/>
      <c r="BQ1275" s="5"/>
      <c r="BR1275" s="5"/>
      <c r="BS1275" s="5"/>
      <c r="BT1275" s="5"/>
      <c r="BU1275" s="5"/>
      <c r="BV1275" s="5"/>
      <c r="BW1275" s="5"/>
      <c r="BX1275" s="5"/>
      <c r="BY1275" s="5"/>
      <c r="BZ1275" s="5"/>
      <c r="CA1275" s="5"/>
      <c r="CB1275" s="5"/>
      <c r="CC1275" s="5"/>
      <c r="CD1275" s="5"/>
      <c r="CE1275" s="5"/>
      <c r="CF1275" s="5"/>
      <c r="CG1275" s="5"/>
      <c r="CH1275" s="5"/>
      <c r="CI1275" s="5"/>
      <c r="CJ1275" s="5"/>
      <c r="CK1275" s="5"/>
      <c r="CL1275" s="5"/>
      <c r="CM1275" s="5"/>
      <c r="CN1275" s="5"/>
      <c r="CO1275" s="5"/>
      <c r="CP1275" s="5"/>
      <c r="CQ1275" s="5"/>
      <c r="CR1275" s="5"/>
      <c r="CS1275" s="5"/>
      <c r="CT1275" s="5"/>
      <c r="CU1275" s="5"/>
      <c r="CV1275" s="5"/>
      <c r="CW1275" s="5"/>
      <c r="CX1275" s="5"/>
      <c r="CY1275" s="5"/>
      <c r="CZ1275" s="5"/>
      <c r="DA1275" s="5"/>
      <c r="DB1275" s="5"/>
      <c r="DC1275" s="5"/>
      <c r="DD1275" s="5"/>
      <c r="DE1275" s="5"/>
      <c r="DF1275" s="5"/>
      <c r="DG1275" s="5"/>
      <c r="DH1275" s="5"/>
      <c r="DI1275" s="5"/>
      <c r="DJ1275" s="5"/>
      <c r="DK1275" s="5"/>
      <c r="DL1275" s="5"/>
      <c r="DM1275" s="5"/>
      <c r="DN1275" s="5"/>
      <c r="DO1275" s="5"/>
      <c r="DP1275" s="5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  <c r="GV1275" s="1"/>
      <c r="GW1275" s="1"/>
      <c r="GX1275" s="1"/>
      <c r="GY1275" s="1"/>
      <c r="GZ1275" s="1"/>
      <c r="HA1275" s="1"/>
      <c r="HB1275" s="1"/>
      <c r="HC1275" s="1"/>
      <c r="HD1275" s="1"/>
      <c r="HE1275" s="1"/>
      <c r="HF1275" s="1"/>
      <c r="HG1275" s="1"/>
      <c r="HH1275" s="1"/>
      <c r="HI1275" s="1"/>
      <c r="HJ1275" s="1"/>
      <c r="HK1275" s="1"/>
      <c r="HL1275" s="1"/>
      <c r="HM1275" s="1"/>
      <c r="HN1275" s="1"/>
      <c r="HO1275" s="1"/>
      <c r="HP1275" s="1"/>
      <c r="HQ1275" s="1"/>
      <c r="HR1275" s="1"/>
      <c r="HS1275" s="1"/>
      <c r="HT1275" s="1"/>
      <c r="HU1275" s="1"/>
      <c r="HV1275" s="1"/>
      <c r="HW1275" s="1"/>
      <c r="HX1275" s="1"/>
      <c r="HY1275" s="1"/>
      <c r="HZ1275" s="1"/>
      <c r="IA1275" s="1"/>
      <c r="IB1275" s="1"/>
      <c r="IC1275" s="1"/>
      <c r="ID1275" s="1"/>
      <c r="IE1275" s="1"/>
      <c r="IF1275" s="1"/>
      <c r="IG1275" s="1"/>
      <c r="IH1275" s="1"/>
      <c r="II1275" s="1"/>
      <c r="IJ1275" s="1"/>
      <c r="IK1275" s="1"/>
      <c r="IL1275" s="1"/>
      <c r="IM1275" s="1"/>
      <c r="IN1275" s="1"/>
      <c r="IO1275" s="1"/>
      <c r="IP1275" s="1"/>
      <c r="IQ1275" s="1"/>
      <c r="IR1275" s="1"/>
      <c r="IS1275" s="1"/>
      <c r="IT1275" s="1"/>
      <c r="IU1275" s="1"/>
      <c r="IV1275" s="1"/>
      <c r="IW1275" s="1"/>
      <c r="IX1275" s="1"/>
      <c r="IY1275" s="1"/>
      <c r="IZ1275" s="1"/>
      <c r="JA1275" s="1"/>
      <c r="JB1275" s="1"/>
      <c r="JC1275" s="1"/>
      <c r="JD1275" s="1"/>
    </row>
    <row r="1276" s="504" customFormat="true" ht="12.75" hidden="true" customHeight="true" outlineLevel="0" collapsed="false">
      <c r="A1276" s="5"/>
      <c r="B1276" s="813" t="n">
        <f aca="false">B1275+1</f>
        <v>1061</v>
      </c>
      <c r="C1276" s="814" t="n">
        <f aca="false">C1275+D1276</f>
        <v>172547.817704196</v>
      </c>
      <c r="D1276" s="815" t="n">
        <f aca="false">E1276*$E$205*M1276</f>
        <v>246.603140910888</v>
      </c>
      <c r="E1276" s="601" t="n">
        <f aca="false">E1275+$C$204</f>
        <v>15.6394686016545</v>
      </c>
      <c r="F1276" s="816" t="n">
        <f aca="false">F1275+1</f>
        <v>1061</v>
      </c>
      <c r="G1276" s="775" t="n">
        <f aca="false">C1276</f>
        <v>172547.817704196</v>
      </c>
      <c r="H1276" s="817" t="n">
        <f aca="false">1000*(E1276-E1275)</f>
        <v>9.99999999999979</v>
      </c>
      <c r="I1276" s="5"/>
      <c r="J1276" s="818" t="n">
        <f aca="false">1000*(E1276-$E$215)/(B1276-$B$215)</f>
        <v>11.4833834388045</v>
      </c>
      <c r="K1276" s="732" t="n">
        <f aca="false">AVERAGE($E$216:E1276)</f>
        <v>10.3323055479317</v>
      </c>
      <c r="L1276" s="819" t="n">
        <f aca="false">L1275+1</f>
        <v>1061</v>
      </c>
      <c r="M1276" s="820" t="n">
        <f aca="false">IF(B1276&lt;$E$104,$E$105,$E$106)</f>
        <v>3</v>
      </c>
      <c r="N1276" s="821" t="n">
        <f aca="false">IF(B1276&lt;$E$104,$E$105,$E$111)</f>
        <v>2.5</v>
      </c>
      <c r="O1276" s="822" t="n">
        <f aca="false">E1276*$E$205*N1276</f>
        <v>205.50261742574</v>
      </c>
      <c r="P1276" s="823" t="n">
        <f aca="false">P1275+O1276</f>
        <v>143841.528687207</v>
      </c>
      <c r="Q1276" s="606" t="n">
        <f aca="false">Q1275+1</f>
        <v>1061</v>
      </c>
      <c r="R1276" s="824" t="n">
        <f aca="false">R1275-1</f>
        <v>-1061</v>
      </c>
      <c r="S1276" s="5"/>
      <c r="T1276" s="5"/>
      <c r="U1276" s="5"/>
      <c r="V1276" s="10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02"/>
      <c r="AU1276" s="502"/>
      <c r="AV1276" s="606"/>
      <c r="AW1276" s="502"/>
      <c r="AX1276" s="502"/>
      <c r="AY1276" s="502"/>
      <c r="AZ1276" s="502"/>
      <c r="BA1276" s="502"/>
      <c r="BB1276" s="502"/>
      <c r="BC1276" s="502"/>
      <c r="BD1276" s="502"/>
      <c r="BE1276" s="502"/>
      <c r="BF1276" s="502"/>
      <c r="BG1276" s="502"/>
      <c r="BH1276" s="502"/>
      <c r="BI1276" s="502"/>
      <c r="BJ1276" s="502"/>
      <c r="BK1276" s="502"/>
      <c r="BL1276" s="502"/>
      <c r="BM1276" s="502"/>
      <c r="BN1276" s="502"/>
      <c r="BO1276" s="502"/>
      <c r="BP1276" s="5"/>
      <c r="BQ1276" s="5"/>
      <c r="BR1276" s="5"/>
      <c r="BS1276" s="5"/>
      <c r="BT1276" s="5"/>
      <c r="BU1276" s="5"/>
      <c r="BV1276" s="5"/>
      <c r="BW1276" s="5"/>
      <c r="BX1276" s="5"/>
      <c r="BY1276" s="5"/>
      <c r="BZ1276" s="5"/>
      <c r="CA1276" s="5"/>
      <c r="CB1276" s="5"/>
      <c r="CC1276" s="5"/>
      <c r="CD1276" s="5"/>
      <c r="CE1276" s="5"/>
      <c r="CF1276" s="5"/>
      <c r="CG1276" s="5"/>
      <c r="CH1276" s="5"/>
      <c r="CI1276" s="5"/>
      <c r="CJ1276" s="5"/>
      <c r="CK1276" s="5"/>
      <c r="CL1276" s="5"/>
      <c r="CM1276" s="5"/>
      <c r="CN1276" s="5"/>
      <c r="CO1276" s="5"/>
      <c r="CP1276" s="5"/>
      <c r="CQ1276" s="5"/>
      <c r="CR1276" s="5"/>
      <c r="CS1276" s="5"/>
      <c r="CT1276" s="5"/>
      <c r="CU1276" s="5"/>
      <c r="CV1276" s="5"/>
      <c r="CW1276" s="5"/>
      <c r="CX1276" s="5"/>
      <c r="CY1276" s="5"/>
      <c r="CZ1276" s="5"/>
      <c r="DA1276" s="5"/>
      <c r="DB1276" s="5"/>
      <c r="DC1276" s="5"/>
      <c r="DD1276" s="5"/>
      <c r="DE1276" s="5"/>
      <c r="DF1276" s="5"/>
      <c r="DG1276" s="5"/>
      <c r="DH1276" s="5"/>
      <c r="DI1276" s="5"/>
      <c r="DJ1276" s="5"/>
      <c r="DK1276" s="5"/>
      <c r="DL1276" s="5"/>
      <c r="DM1276" s="5"/>
      <c r="DN1276" s="5"/>
      <c r="DO1276" s="5"/>
      <c r="DP1276" s="5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  <c r="GV1276" s="1"/>
      <c r="GW1276" s="1"/>
      <c r="GX1276" s="1"/>
      <c r="GY1276" s="1"/>
      <c r="GZ1276" s="1"/>
      <c r="HA1276" s="1"/>
      <c r="HB1276" s="1"/>
      <c r="HC1276" s="1"/>
      <c r="HD1276" s="1"/>
      <c r="HE1276" s="1"/>
      <c r="HF1276" s="1"/>
      <c r="HG1276" s="1"/>
      <c r="HH1276" s="1"/>
      <c r="HI1276" s="1"/>
      <c r="HJ1276" s="1"/>
      <c r="HK1276" s="1"/>
      <c r="HL1276" s="1"/>
      <c r="HM1276" s="1"/>
      <c r="HN1276" s="1"/>
      <c r="HO1276" s="1"/>
      <c r="HP1276" s="1"/>
      <c r="HQ1276" s="1"/>
      <c r="HR1276" s="1"/>
      <c r="HS1276" s="1"/>
      <c r="HT1276" s="1"/>
      <c r="HU1276" s="1"/>
      <c r="HV1276" s="1"/>
      <c r="HW1276" s="1"/>
      <c r="HX1276" s="1"/>
      <c r="HY1276" s="1"/>
      <c r="HZ1276" s="1"/>
      <c r="IA1276" s="1"/>
      <c r="IB1276" s="1"/>
      <c r="IC1276" s="1"/>
      <c r="ID1276" s="1"/>
      <c r="IE1276" s="1"/>
      <c r="IF1276" s="1"/>
      <c r="IG1276" s="1"/>
      <c r="IH1276" s="1"/>
      <c r="II1276" s="1"/>
      <c r="IJ1276" s="1"/>
      <c r="IK1276" s="1"/>
      <c r="IL1276" s="1"/>
      <c r="IM1276" s="1"/>
      <c r="IN1276" s="1"/>
      <c r="IO1276" s="1"/>
      <c r="IP1276" s="1"/>
      <c r="IQ1276" s="1"/>
      <c r="IR1276" s="1"/>
      <c r="IS1276" s="1"/>
      <c r="IT1276" s="1"/>
      <c r="IU1276" s="1"/>
      <c r="IV1276" s="1"/>
      <c r="IW1276" s="1"/>
      <c r="IX1276" s="1"/>
      <c r="IY1276" s="1"/>
      <c r="IZ1276" s="1"/>
      <c r="JA1276" s="1"/>
      <c r="JB1276" s="1"/>
      <c r="JC1276" s="1"/>
      <c r="JD1276" s="1"/>
    </row>
    <row r="1277" s="504" customFormat="true" ht="12.75" hidden="true" customHeight="true" outlineLevel="0" collapsed="false">
      <c r="A1277" s="5"/>
      <c r="B1277" s="813" t="n">
        <f aca="false">B1276+1</f>
        <v>1062</v>
      </c>
      <c r="C1277" s="814" t="n">
        <f aca="false">C1276+D1277</f>
        <v>172794.578525107</v>
      </c>
      <c r="D1277" s="815" t="n">
        <f aca="false">E1277*$E$205*M1277</f>
        <v>246.760820910888</v>
      </c>
      <c r="E1277" s="601" t="n">
        <f aca="false">E1276+$C$204</f>
        <v>15.6494686016545</v>
      </c>
      <c r="F1277" s="816" t="n">
        <f aca="false">F1276+1</f>
        <v>1062</v>
      </c>
      <c r="G1277" s="775" t="n">
        <f aca="false">C1277</f>
        <v>172794.578525107</v>
      </c>
      <c r="H1277" s="817" t="n">
        <f aca="false">1000*(E1277-E1276)</f>
        <v>9.99999999999979</v>
      </c>
      <c r="I1277" s="5"/>
      <c r="J1277" s="818" t="n">
        <f aca="false">1000*(E1277-$E$215)/(B1277-$B$215)</f>
        <v>11.4819866559055</v>
      </c>
      <c r="K1277" s="732" t="n">
        <f aca="false">AVERAGE($E$216:E1277)</f>
        <v>10.3373122928034</v>
      </c>
      <c r="L1277" s="819" t="n">
        <f aca="false">L1276+1</f>
        <v>1062</v>
      </c>
      <c r="M1277" s="820" t="n">
        <f aca="false">IF(B1277&lt;$E$104,$E$105,$E$106)</f>
        <v>3</v>
      </c>
      <c r="N1277" s="821" t="n">
        <f aca="false">IF(B1277&lt;$E$104,$E$105,$E$111)</f>
        <v>2.5</v>
      </c>
      <c r="O1277" s="822" t="n">
        <f aca="false">E1277*$E$205*N1277</f>
        <v>205.63401742574</v>
      </c>
      <c r="P1277" s="823" t="n">
        <f aca="false">P1276+O1277</f>
        <v>144047.162704632</v>
      </c>
      <c r="Q1277" s="606" t="n">
        <f aca="false">Q1276+1</f>
        <v>1062</v>
      </c>
      <c r="R1277" s="824" t="n">
        <f aca="false">R1276-1</f>
        <v>-1062</v>
      </c>
      <c r="S1277" s="5"/>
      <c r="T1277" s="5"/>
      <c r="U1277" s="5"/>
      <c r="V1277" s="10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02"/>
      <c r="AU1277" s="502"/>
      <c r="AV1277" s="606"/>
      <c r="AW1277" s="502"/>
      <c r="AX1277" s="502"/>
      <c r="AY1277" s="502"/>
      <c r="AZ1277" s="502"/>
      <c r="BA1277" s="502"/>
      <c r="BB1277" s="502"/>
      <c r="BC1277" s="502"/>
      <c r="BD1277" s="502"/>
      <c r="BE1277" s="502"/>
      <c r="BF1277" s="502"/>
      <c r="BG1277" s="502"/>
      <c r="BH1277" s="502"/>
      <c r="BI1277" s="502"/>
      <c r="BJ1277" s="502"/>
      <c r="BK1277" s="502"/>
      <c r="BL1277" s="502"/>
      <c r="BM1277" s="502"/>
      <c r="BN1277" s="502"/>
      <c r="BO1277" s="502"/>
      <c r="BP1277" s="5"/>
      <c r="BQ1277" s="5"/>
      <c r="BR1277" s="5"/>
      <c r="BS1277" s="5"/>
      <c r="BT1277" s="5"/>
      <c r="BU1277" s="5"/>
      <c r="BV1277" s="5"/>
      <c r="BW1277" s="5"/>
      <c r="BX1277" s="5"/>
      <c r="BY1277" s="5"/>
      <c r="BZ1277" s="5"/>
      <c r="CA1277" s="5"/>
      <c r="CB1277" s="5"/>
      <c r="CC1277" s="5"/>
      <c r="CD1277" s="5"/>
      <c r="CE1277" s="5"/>
      <c r="CF1277" s="5"/>
      <c r="CG1277" s="5"/>
      <c r="CH1277" s="5"/>
      <c r="CI1277" s="5"/>
      <c r="CJ1277" s="5"/>
      <c r="CK1277" s="5"/>
      <c r="CL1277" s="5"/>
      <c r="CM1277" s="5"/>
      <c r="CN1277" s="5"/>
      <c r="CO1277" s="5"/>
      <c r="CP1277" s="5"/>
      <c r="CQ1277" s="5"/>
      <c r="CR1277" s="5"/>
      <c r="CS1277" s="5"/>
      <c r="CT1277" s="5"/>
      <c r="CU1277" s="5"/>
      <c r="CV1277" s="5"/>
      <c r="CW1277" s="5"/>
      <c r="CX1277" s="5"/>
      <c r="CY1277" s="5"/>
      <c r="CZ1277" s="5"/>
      <c r="DA1277" s="5"/>
      <c r="DB1277" s="5"/>
      <c r="DC1277" s="5"/>
      <c r="DD1277" s="5"/>
      <c r="DE1277" s="5"/>
      <c r="DF1277" s="5"/>
      <c r="DG1277" s="5"/>
      <c r="DH1277" s="5"/>
      <c r="DI1277" s="5"/>
      <c r="DJ1277" s="5"/>
      <c r="DK1277" s="5"/>
      <c r="DL1277" s="5"/>
      <c r="DM1277" s="5"/>
      <c r="DN1277" s="5"/>
      <c r="DO1277" s="5"/>
      <c r="DP1277" s="5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  <c r="GV1277" s="1"/>
      <c r="GW1277" s="1"/>
      <c r="GX1277" s="1"/>
      <c r="GY1277" s="1"/>
      <c r="GZ1277" s="1"/>
      <c r="HA1277" s="1"/>
      <c r="HB1277" s="1"/>
      <c r="HC1277" s="1"/>
      <c r="HD1277" s="1"/>
      <c r="HE1277" s="1"/>
      <c r="HF1277" s="1"/>
      <c r="HG1277" s="1"/>
      <c r="HH1277" s="1"/>
      <c r="HI1277" s="1"/>
      <c r="HJ1277" s="1"/>
      <c r="HK1277" s="1"/>
      <c r="HL1277" s="1"/>
      <c r="HM1277" s="1"/>
      <c r="HN1277" s="1"/>
      <c r="HO1277" s="1"/>
      <c r="HP1277" s="1"/>
      <c r="HQ1277" s="1"/>
      <c r="HR1277" s="1"/>
      <c r="HS1277" s="1"/>
      <c r="HT1277" s="1"/>
      <c r="HU1277" s="1"/>
      <c r="HV1277" s="1"/>
      <c r="HW1277" s="1"/>
      <c r="HX1277" s="1"/>
      <c r="HY1277" s="1"/>
      <c r="HZ1277" s="1"/>
      <c r="IA1277" s="1"/>
      <c r="IB1277" s="1"/>
      <c r="IC1277" s="1"/>
      <c r="ID1277" s="1"/>
      <c r="IE1277" s="1"/>
      <c r="IF1277" s="1"/>
      <c r="IG1277" s="1"/>
      <c r="IH1277" s="1"/>
      <c r="II1277" s="1"/>
      <c r="IJ1277" s="1"/>
      <c r="IK1277" s="1"/>
      <c r="IL1277" s="1"/>
      <c r="IM1277" s="1"/>
      <c r="IN1277" s="1"/>
      <c r="IO1277" s="1"/>
      <c r="IP1277" s="1"/>
      <c r="IQ1277" s="1"/>
      <c r="IR1277" s="1"/>
      <c r="IS1277" s="1"/>
      <c r="IT1277" s="1"/>
      <c r="IU1277" s="1"/>
      <c r="IV1277" s="1"/>
      <c r="IW1277" s="1"/>
      <c r="IX1277" s="1"/>
      <c r="IY1277" s="1"/>
      <c r="IZ1277" s="1"/>
      <c r="JA1277" s="1"/>
      <c r="JB1277" s="1"/>
      <c r="JC1277" s="1"/>
      <c r="JD1277" s="1"/>
    </row>
    <row r="1278" s="504" customFormat="true" ht="12.75" hidden="true" customHeight="true" outlineLevel="0" collapsed="false">
      <c r="A1278" s="5"/>
      <c r="B1278" s="813" t="n">
        <f aca="false">B1277+1</f>
        <v>1063</v>
      </c>
      <c r="C1278" s="814" t="n">
        <f aca="false">C1277+D1278</f>
        <v>173041.497026018</v>
      </c>
      <c r="D1278" s="815" t="n">
        <f aca="false">E1278*$E$205*M1278</f>
        <v>246.918500910888</v>
      </c>
      <c r="E1278" s="601" t="n">
        <f aca="false">E1277+$C$204</f>
        <v>15.6594686016545</v>
      </c>
      <c r="F1278" s="816" t="n">
        <f aca="false">F1277+1</f>
        <v>1063</v>
      </c>
      <c r="G1278" s="775" t="n">
        <f aca="false">C1278</f>
        <v>173041.497026018</v>
      </c>
      <c r="H1278" s="817" t="n">
        <f aca="false">1000*(E1278-E1277)</f>
        <v>9.99999999999979</v>
      </c>
      <c r="I1278" s="5"/>
      <c r="J1278" s="818" t="n">
        <f aca="false">1000*(E1278-$E$215)/(B1278-$B$215)</f>
        <v>11.4805925010081</v>
      </c>
      <c r="K1278" s="732" t="n">
        <f aca="false">AVERAGE($E$216:E1278)</f>
        <v>10.3423190249848</v>
      </c>
      <c r="L1278" s="819" t="n">
        <f aca="false">L1277+1</f>
        <v>1063</v>
      </c>
      <c r="M1278" s="820" t="n">
        <f aca="false">IF(B1278&lt;$E$104,$E$105,$E$106)</f>
        <v>3</v>
      </c>
      <c r="N1278" s="821" t="n">
        <f aca="false">IF(B1278&lt;$E$104,$E$105,$E$111)</f>
        <v>2.5</v>
      </c>
      <c r="O1278" s="822" t="n">
        <f aca="false">E1278*$E$205*N1278</f>
        <v>205.76541742574</v>
      </c>
      <c r="P1278" s="823" t="n">
        <f aca="false">P1277+O1278</f>
        <v>144252.928122058</v>
      </c>
      <c r="Q1278" s="606" t="n">
        <f aca="false">Q1277+1</f>
        <v>1063</v>
      </c>
      <c r="R1278" s="824" t="n">
        <f aca="false">R1277-1</f>
        <v>-1063</v>
      </c>
      <c r="S1278" s="5"/>
      <c r="T1278" s="5"/>
      <c r="U1278" s="5"/>
      <c r="V1278" s="10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02"/>
      <c r="AU1278" s="502"/>
      <c r="AV1278" s="606"/>
      <c r="AW1278" s="502"/>
      <c r="AX1278" s="502"/>
      <c r="AY1278" s="502"/>
      <c r="AZ1278" s="502"/>
      <c r="BA1278" s="502"/>
      <c r="BB1278" s="502"/>
      <c r="BC1278" s="502"/>
      <c r="BD1278" s="502"/>
      <c r="BE1278" s="502"/>
      <c r="BF1278" s="502"/>
      <c r="BG1278" s="502"/>
      <c r="BH1278" s="502"/>
      <c r="BI1278" s="502"/>
      <c r="BJ1278" s="502"/>
      <c r="BK1278" s="502"/>
      <c r="BL1278" s="502"/>
      <c r="BM1278" s="502"/>
      <c r="BN1278" s="502"/>
      <c r="BO1278" s="502"/>
      <c r="BP1278" s="5"/>
      <c r="BQ1278" s="5"/>
      <c r="BR1278" s="5"/>
      <c r="BS1278" s="5"/>
      <c r="BT1278" s="5"/>
      <c r="BU1278" s="5"/>
      <c r="BV1278" s="5"/>
      <c r="BW1278" s="5"/>
      <c r="BX1278" s="5"/>
      <c r="BY1278" s="5"/>
      <c r="BZ1278" s="5"/>
      <c r="CA1278" s="5"/>
      <c r="CB1278" s="5"/>
      <c r="CC1278" s="5"/>
      <c r="CD1278" s="5"/>
      <c r="CE1278" s="5"/>
      <c r="CF1278" s="5"/>
      <c r="CG1278" s="5"/>
      <c r="CH1278" s="5"/>
      <c r="CI1278" s="5"/>
      <c r="CJ1278" s="5"/>
      <c r="CK1278" s="5"/>
      <c r="CL1278" s="5"/>
      <c r="CM1278" s="5"/>
      <c r="CN1278" s="5"/>
      <c r="CO1278" s="5"/>
      <c r="CP1278" s="5"/>
      <c r="CQ1278" s="5"/>
      <c r="CR1278" s="5"/>
      <c r="CS1278" s="5"/>
      <c r="CT1278" s="5"/>
      <c r="CU1278" s="5"/>
      <c r="CV1278" s="5"/>
      <c r="CW1278" s="5"/>
      <c r="CX1278" s="5"/>
      <c r="CY1278" s="5"/>
      <c r="CZ1278" s="5"/>
      <c r="DA1278" s="5"/>
      <c r="DB1278" s="5"/>
      <c r="DC1278" s="5"/>
      <c r="DD1278" s="5"/>
      <c r="DE1278" s="5"/>
      <c r="DF1278" s="5"/>
      <c r="DG1278" s="5"/>
      <c r="DH1278" s="5"/>
      <c r="DI1278" s="5"/>
      <c r="DJ1278" s="5"/>
      <c r="DK1278" s="5"/>
      <c r="DL1278" s="5"/>
      <c r="DM1278" s="5"/>
      <c r="DN1278" s="5"/>
      <c r="DO1278" s="5"/>
      <c r="DP1278" s="5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  <c r="GV1278" s="1"/>
      <c r="GW1278" s="1"/>
      <c r="GX1278" s="1"/>
      <c r="GY1278" s="1"/>
      <c r="GZ1278" s="1"/>
      <c r="HA1278" s="1"/>
      <c r="HB1278" s="1"/>
      <c r="HC1278" s="1"/>
      <c r="HD1278" s="1"/>
      <c r="HE1278" s="1"/>
      <c r="HF1278" s="1"/>
      <c r="HG1278" s="1"/>
      <c r="HH1278" s="1"/>
      <c r="HI1278" s="1"/>
      <c r="HJ1278" s="1"/>
      <c r="HK1278" s="1"/>
      <c r="HL1278" s="1"/>
      <c r="HM1278" s="1"/>
      <c r="HN1278" s="1"/>
      <c r="HO1278" s="1"/>
      <c r="HP1278" s="1"/>
      <c r="HQ1278" s="1"/>
      <c r="HR1278" s="1"/>
      <c r="HS1278" s="1"/>
      <c r="HT1278" s="1"/>
      <c r="HU1278" s="1"/>
      <c r="HV1278" s="1"/>
      <c r="HW1278" s="1"/>
      <c r="HX1278" s="1"/>
      <c r="HY1278" s="1"/>
      <c r="HZ1278" s="1"/>
      <c r="IA1278" s="1"/>
      <c r="IB1278" s="1"/>
      <c r="IC1278" s="1"/>
      <c r="ID1278" s="1"/>
      <c r="IE1278" s="1"/>
      <c r="IF1278" s="1"/>
      <c r="IG1278" s="1"/>
      <c r="IH1278" s="1"/>
      <c r="II1278" s="1"/>
      <c r="IJ1278" s="1"/>
      <c r="IK1278" s="1"/>
      <c r="IL1278" s="1"/>
      <c r="IM1278" s="1"/>
      <c r="IN1278" s="1"/>
      <c r="IO1278" s="1"/>
      <c r="IP1278" s="1"/>
      <c r="IQ1278" s="1"/>
      <c r="IR1278" s="1"/>
      <c r="IS1278" s="1"/>
      <c r="IT1278" s="1"/>
      <c r="IU1278" s="1"/>
      <c r="IV1278" s="1"/>
      <c r="IW1278" s="1"/>
      <c r="IX1278" s="1"/>
      <c r="IY1278" s="1"/>
      <c r="IZ1278" s="1"/>
      <c r="JA1278" s="1"/>
      <c r="JB1278" s="1"/>
      <c r="JC1278" s="1"/>
      <c r="JD1278" s="1"/>
    </row>
    <row r="1279" s="504" customFormat="true" ht="12.75" hidden="true" customHeight="true" outlineLevel="0" collapsed="false">
      <c r="A1279" s="5"/>
      <c r="B1279" s="813" t="n">
        <f aca="false">B1278+1</f>
        <v>1064</v>
      </c>
      <c r="C1279" s="814" t="n">
        <f aca="false">C1278+D1279</f>
        <v>173288.573206929</v>
      </c>
      <c r="D1279" s="815" t="n">
        <f aca="false">E1279*$E$205*M1279</f>
        <v>247.076180910888</v>
      </c>
      <c r="E1279" s="601" t="n">
        <f aca="false">E1278+$C$204</f>
        <v>15.6694686016545</v>
      </c>
      <c r="F1279" s="816" t="n">
        <f aca="false">F1278+1</f>
        <v>1064</v>
      </c>
      <c r="G1279" s="775" t="n">
        <f aca="false">C1279</f>
        <v>173288.573206929</v>
      </c>
      <c r="H1279" s="817" t="n">
        <f aca="false">1000*(E1279-E1278)</f>
        <v>9.99999999999979</v>
      </c>
      <c r="I1279" s="5"/>
      <c r="J1279" s="818" t="n">
        <f aca="false">1000*(E1279-$E$215)/(B1279-$B$215)</f>
        <v>11.4792009667027</v>
      </c>
      <c r="K1279" s="732" t="n">
        <f aca="false">AVERAGE($E$216:E1279)</f>
        <v>10.3473257445117</v>
      </c>
      <c r="L1279" s="819" t="n">
        <f aca="false">L1278+1</f>
        <v>1064</v>
      </c>
      <c r="M1279" s="820" t="n">
        <f aca="false">IF(B1279&lt;$E$104,$E$105,$E$106)</f>
        <v>3</v>
      </c>
      <c r="N1279" s="821" t="n">
        <f aca="false">IF(B1279&lt;$E$104,$E$105,$E$111)</f>
        <v>2.5</v>
      </c>
      <c r="O1279" s="822" t="n">
        <f aca="false">E1279*$E$205*N1279</f>
        <v>205.89681742574</v>
      </c>
      <c r="P1279" s="823" t="n">
        <f aca="false">P1278+O1279</f>
        <v>144458.824939484</v>
      </c>
      <c r="Q1279" s="606" t="n">
        <f aca="false">Q1278+1</f>
        <v>1064</v>
      </c>
      <c r="R1279" s="824" t="n">
        <f aca="false">R1278-1</f>
        <v>-1064</v>
      </c>
      <c r="S1279" s="5"/>
      <c r="T1279" s="5"/>
      <c r="U1279" s="5"/>
      <c r="V1279" s="10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02"/>
      <c r="AU1279" s="502"/>
      <c r="AV1279" s="606"/>
      <c r="AW1279" s="502"/>
      <c r="AX1279" s="502"/>
      <c r="AY1279" s="502"/>
      <c r="AZ1279" s="502"/>
      <c r="BA1279" s="502"/>
      <c r="BB1279" s="502"/>
      <c r="BC1279" s="502"/>
      <c r="BD1279" s="502"/>
      <c r="BE1279" s="502"/>
      <c r="BF1279" s="502"/>
      <c r="BG1279" s="502"/>
      <c r="BH1279" s="502"/>
      <c r="BI1279" s="502"/>
      <c r="BJ1279" s="502"/>
      <c r="BK1279" s="502"/>
      <c r="BL1279" s="502"/>
      <c r="BM1279" s="502"/>
      <c r="BN1279" s="502"/>
      <c r="BO1279" s="502"/>
      <c r="BP1279" s="5"/>
      <c r="BQ1279" s="5"/>
      <c r="BR1279" s="5"/>
      <c r="BS1279" s="5"/>
      <c r="BT1279" s="5"/>
      <c r="BU1279" s="5"/>
      <c r="BV1279" s="5"/>
      <c r="BW1279" s="5"/>
      <c r="BX1279" s="5"/>
      <c r="BY1279" s="5"/>
      <c r="BZ1279" s="5"/>
      <c r="CA1279" s="5"/>
      <c r="CB1279" s="5"/>
      <c r="CC1279" s="5"/>
      <c r="CD1279" s="5"/>
      <c r="CE1279" s="5"/>
      <c r="CF1279" s="5"/>
      <c r="CG1279" s="5"/>
      <c r="CH1279" s="5"/>
      <c r="CI1279" s="5"/>
      <c r="CJ1279" s="5"/>
      <c r="CK1279" s="5"/>
      <c r="CL1279" s="5"/>
      <c r="CM1279" s="5"/>
      <c r="CN1279" s="5"/>
      <c r="CO1279" s="5"/>
      <c r="CP1279" s="5"/>
      <c r="CQ1279" s="5"/>
      <c r="CR1279" s="5"/>
      <c r="CS1279" s="5"/>
      <c r="CT1279" s="5"/>
      <c r="CU1279" s="5"/>
      <c r="CV1279" s="5"/>
      <c r="CW1279" s="5"/>
      <c r="CX1279" s="5"/>
      <c r="CY1279" s="5"/>
      <c r="CZ1279" s="5"/>
      <c r="DA1279" s="5"/>
      <c r="DB1279" s="5"/>
      <c r="DC1279" s="5"/>
      <c r="DD1279" s="5"/>
      <c r="DE1279" s="5"/>
      <c r="DF1279" s="5"/>
      <c r="DG1279" s="5"/>
      <c r="DH1279" s="5"/>
      <c r="DI1279" s="5"/>
      <c r="DJ1279" s="5"/>
      <c r="DK1279" s="5"/>
      <c r="DL1279" s="5"/>
      <c r="DM1279" s="5"/>
      <c r="DN1279" s="5"/>
      <c r="DO1279" s="5"/>
      <c r="DP1279" s="5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  <c r="GV1279" s="1"/>
      <c r="GW1279" s="1"/>
      <c r="GX1279" s="1"/>
      <c r="GY1279" s="1"/>
      <c r="GZ1279" s="1"/>
      <c r="HA1279" s="1"/>
      <c r="HB1279" s="1"/>
      <c r="HC1279" s="1"/>
      <c r="HD1279" s="1"/>
      <c r="HE1279" s="1"/>
      <c r="HF1279" s="1"/>
      <c r="HG1279" s="1"/>
      <c r="HH1279" s="1"/>
      <c r="HI1279" s="1"/>
      <c r="HJ1279" s="1"/>
      <c r="HK1279" s="1"/>
      <c r="HL1279" s="1"/>
      <c r="HM1279" s="1"/>
      <c r="HN1279" s="1"/>
      <c r="HO1279" s="1"/>
      <c r="HP1279" s="1"/>
      <c r="HQ1279" s="1"/>
      <c r="HR1279" s="1"/>
      <c r="HS1279" s="1"/>
      <c r="HT1279" s="1"/>
      <c r="HU1279" s="1"/>
      <c r="HV1279" s="1"/>
      <c r="HW1279" s="1"/>
      <c r="HX1279" s="1"/>
      <c r="HY1279" s="1"/>
      <c r="HZ1279" s="1"/>
      <c r="IA1279" s="1"/>
      <c r="IB1279" s="1"/>
      <c r="IC1279" s="1"/>
      <c r="ID1279" s="1"/>
      <c r="IE1279" s="1"/>
      <c r="IF1279" s="1"/>
      <c r="IG1279" s="1"/>
      <c r="IH1279" s="1"/>
      <c r="II1279" s="1"/>
      <c r="IJ1279" s="1"/>
      <c r="IK1279" s="1"/>
      <c r="IL1279" s="1"/>
      <c r="IM1279" s="1"/>
      <c r="IN1279" s="1"/>
      <c r="IO1279" s="1"/>
      <c r="IP1279" s="1"/>
      <c r="IQ1279" s="1"/>
      <c r="IR1279" s="1"/>
      <c r="IS1279" s="1"/>
      <c r="IT1279" s="1"/>
      <c r="IU1279" s="1"/>
      <c r="IV1279" s="1"/>
      <c r="IW1279" s="1"/>
      <c r="IX1279" s="1"/>
      <c r="IY1279" s="1"/>
      <c r="IZ1279" s="1"/>
      <c r="JA1279" s="1"/>
      <c r="JB1279" s="1"/>
      <c r="JC1279" s="1"/>
      <c r="JD1279" s="1"/>
    </row>
    <row r="1280" s="504" customFormat="true" ht="12.75" hidden="true" customHeight="true" outlineLevel="0" collapsed="false">
      <c r="A1280" s="5"/>
      <c r="B1280" s="813" t="n">
        <f aca="false">B1279+1</f>
        <v>1065</v>
      </c>
      <c r="C1280" s="814" t="n">
        <f aca="false">C1279+D1280</f>
        <v>173535.80706784</v>
      </c>
      <c r="D1280" s="815" t="n">
        <f aca="false">E1280*$E$205*M1280</f>
        <v>247.233860910888</v>
      </c>
      <c r="E1280" s="601" t="n">
        <f aca="false">E1279+$C$204</f>
        <v>15.6794686016545</v>
      </c>
      <c r="F1280" s="816" t="n">
        <f aca="false">F1279+1</f>
        <v>1065</v>
      </c>
      <c r="G1280" s="775" t="n">
        <f aca="false">C1280</f>
        <v>173535.80706784</v>
      </c>
      <c r="H1280" s="817" t="n">
        <f aca="false">1000*(E1280-E1279)</f>
        <v>9.99999999999979</v>
      </c>
      <c r="I1280" s="5"/>
      <c r="J1280" s="818" t="n">
        <f aca="false">1000*(E1280-$E$215)/(B1280-$B$215)</f>
        <v>11.4778120456072</v>
      </c>
      <c r="K1280" s="732" t="n">
        <f aca="false">AVERAGE($E$216:E1280)</f>
        <v>10.3523324514198</v>
      </c>
      <c r="L1280" s="819" t="n">
        <f aca="false">L1279+1</f>
        <v>1065</v>
      </c>
      <c r="M1280" s="820" t="n">
        <f aca="false">IF(B1280&lt;$E$104,$E$105,$E$106)</f>
        <v>3</v>
      </c>
      <c r="N1280" s="821" t="n">
        <f aca="false">IF(B1280&lt;$E$104,$E$105,$E$111)</f>
        <v>2.5</v>
      </c>
      <c r="O1280" s="822" t="n">
        <f aca="false">E1280*$E$205*N1280</f>
        <v>206.02821742574</v>
      </c>
      <c r="P1280" s="823" t="n">
        <f aca="false">P1279+O1280</f>
        <v>144664.85315691</v>
      </c>
      <c r="Q1280" s="606" t="n">
        <f aca="false">Q1279+1</f>
        <v>1065</v>
      </c>
      <c r="R1280" s="824" t="n">
        <f aca="false">R1279-1</f>
        <v>-1065</v>
      </c>
      <c r="S1280" s="5"/>
      <c r="T1280" s="5"/>
      <c r="U1280" s="5"/>
      <c r="V1280" s="10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02"/>
      <c r="AU1280" s="502"/>
      <c r="AV1280" s="606"/>
      <c r="AW1280" s="502"/>
      <c r="AX1280" s="502"/>
      <c r="AY1280" s="502"/>
      <c r="AZ1280" s="502"/>
      <c r="BA1280" s="502"/>
      <c r="BB1280" s="502"/>
      <c r="BC1280" s="502"/>
      <c r="BD1280" s="502"/>
      <c r="BE1280" s="502"/>
      <c r="BF1280" s="502"/>
      <c r="BG1280" s="502"/>
      <c r="BH1280" s="502"/>
      <c r="BI1280" s="502"/>
      <c r="BJ1280" s="502"/>
      <c r="BK1280" s="502"/>
      <c r="BL1280" s="502"/>
      <c r="BM1280" s="502"/>
      <c r="BN1280" s="502"/>
      <c r="BO1280" s="502"/>
      <c r="BP1280" s="5"/>
      <c r="BQ1280" s="5"/>
      <c r="BR1280" s="5"/>
      <c r="BS1280" s="5"/>
      <c r="BT1280" s="5"/>
      <c r="BU1280" s="5"/>
      <c r="BV1280" s="5"/>
      <c r="BW1280" s="5"/>
      <c r="BX1280" s="5"/>
      <c r="BY1280" s="5"/>
      <c r="BZ1280" s="5"/>
      <c r="CA1280" s="5"/>
      <c r="CB1280" s="5"/>
      <c r="CC1280" s="5"/>
      <c r="CD1280" s="5"/>
      <c r="CE1280" s="5"/>
      <c r="CF1280" s="5"/>
      <c r="CG1280" s="5"/>
      <c r="CH1280" s="5"/>
      <c r="CI1280" s="5"/>
      <c r="CJ1280" s="5"/>
      <c r="CK1280" s="5"/>
      <c r="CL1280" s="5"/>
      <c r="CM1280" s="5"/>
      <c r="CN1280" s="5"/>
      <c r="CO1280" s="5"/>
      <c r="CP1280" s="5"/>
      <c r="CQ1280" s="5"/>
      <c r="CR1280" s="5"/>
      <c r="CS1280" s="5"/>
      <c r="CT1280" s="5"/>
      <c r="CU1280" s="5"/>
      <c r="CV1280" s="5"/>
      <c r="CW1280" s="5"/>
      <c r="CX1280" s="5"/>
      <c r="CY1280" s="5"/>
      <c r="CZ1280" s="5"/>
      <c r="DA1280" s="5"/>
      <c r="DB1280" s="5"/>
      <c r="DC1280" s="5"/>
      <c r="DD1280" s="5"/>
      <c r="DE1280" s="5"/>
      <c r="DF1280" s="5"/>
      <c r="DG1280" s="5"/>
      <c r="DH1280" s="5"/>
      <c r="DI1280" s="5"/>
      <c r="DJ1280" s="5"/>
      <c r="DK1280" s="5"/>
      <c r="DL1280" s="5"/>
      <c r="DM1280" s="5"/>
      <c r="DN1280" s="5"/>
      <c r="DO1280" s="5"/>
      <c r="DP1280" s="5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  <c r="GV1280" s="1"/>
      <c r="GW1280" s="1"/>
      <c r="GX1280" s="1"/>
      <c r="GY1280" s="1"/>
      <c r="GZ1280" s="1"/>
      <c r="HA1280" s="1"/>
      <c r="HB1280" s="1"/>
      <c r="HC1280" s="1"/>
      <c r="HD1280" s="1"/>
      <c r="HE1280" s="1"/>
      <c r="HF1280" s="1"/>
      <c r="HG1280" s="1"/>
      <c r="HH1280" s="1"/>
      <c r="HI1280" s="1"/>
      <c r="HJ1280" s="1"/>
      <c r="HK1280" s="1"/>
      <c r="HL1280" s="1"/>
      <c r="HM1280" s="1"/>
      <c r="HN1280" s="1"/>
      <c r="HO1280" s="1"/>
      <c r="HP1280" s="1"/>
      <c r="HQ1280" s="1"/>
      <c r="HR1280" s="1"/>
      <c r="HS1280" s="1"/>
      <c r="HT1280" s="1"/>
      <c r="HU1280" s="1"/>
      <c r="HV1280" s="1"/>
      <c r="HW1280" s="1"/>
      <c r="HX1280" s="1"/>
      <c r="HY1280" s="1"/>
      <c r="HZ1280" s="1"/>
      <c r="IA1280" s="1"/>
      <c r="IB1280" s="1"/>
      <c r="IC1280" s="1"/>
      <c r="ID1280" s="1"/>
      <c r="IE1280" s="1"/>
      <c r="IF1280" s="1"/>
      <c r="IG1280" s="1"/>
      <c r="IH1280" s="1"/>
      <c r="II1280" s="1"/>
      <c r="IJ1280" s="1"/>
      <c r="IK1280" s="1"/>
      <c r="IL1280" s="1"/>
      <c r="IM1280" s="1"/>
      <c r="IN1280" s="1"/>
      <c r="IO1280" s="1"/>
      <c r="IP1280" s="1"/>
      <c r="IQ1280" s="1"/>
      <c r="IR1280" s="1"/>
      <c r="IS1280" s="1"/>
      <c r="IT1280" s="1"/>
      <c r="IU1280" s="1"/>
      <c r="IV1280" s="1"/>
      <c r="IW1280" s="1"/>
      <c r="IX1280" s="1"/>
      <c r="IY1280" s="1"/>
      <c r="IZ1280" s="1"/>
      <c r="JA1280" s="1"/>
      <c r="JB1280" s="1"/>
      <c r="JC1280" s="1"/>
      <c r="JD1280" s="1"/>
    </row>
    <row r="1281" s="504" customFormat="true" ht="12.75" hidden="true" customHeight="true" outlineLevel="0" collapsed="false">
      <c r="A1281" s="5"/>
      <c r="B1281" s="813" t="n">
        <f aca="false">B1280+1</f>
        <v>1066</v>
      </c>
      <c r="C1281" s="814" t="n">
        <f aca="false">C1280+D1281</f>
        <v>173783.198608751</v>
      </c>
      <c r="D1281" s="815" t="n">
        <f aca="false">E1281*$E$205*M1281</f>
        <v>247.391540910888</v>
      </c>
      <c r="E1281" s="601" t="n">
        <f aca="false">E1280+$C$204</f>
        <v>15.6894686016545</v>
      </c>
      <c r="F1281" s="816" t="n">
        <f aca="false">F1280+1</f>
        <v>1066</v>
      </c>
      <c r="G1281" s="775" t="n">
        <f aca="false">C1281</f>
        <v>173783.198608751</v>
      </c>
      <c r="H1281" s="817" t="n">
        <f aca="false">1000*(E1281-E1280)</f>
        <v>9.99999999999979</v>
      </c>
      <c r="I1281" s="5"/>
      <c r="J1281" s="818" t="n">
        <f aca="false">1000*(E1281-$E$215)/(B1281-$B$215)</f>
        <v>11.4764257303674</v>
      </c>
      <c r="K1281" s="732" t="n">
        <f aca="false">AVERAGE($E$216:E1281)</f>
        <v>10.3573391457446</v>
      </c>
      <c r="L1281" s="819" t="n">
        <f aca="false">L1280+1</f>
        <v>1066</v>
      </c>
      <c r="M1281" s="820" t="n">
        <f aca="false">IF(B1281&lt;$E$104,$E$105,$E$106)</f>
        <v>3</v>
      </c>
      <c r="N1281" s="821" t="n">
        <f aca="false">IF(B1281&lt;$E$104,$E$105,$E$111)</f>
        <v>2.5</v>
      </c>
      <c r="O1281" s="822" t="n">
        <f aca="false">E1281*$E$205*N1281</f>
        <v>206.15961742574</v>
      </c>
      <c r="P1281" s="823" t="n">
        <f aca="false">P1280+O1281</f>
        <v>144871.012774335</v>
      </c>
      <c r="Q1281" s="606" t="n">
        <f aca="false">Q1280+1</f>
        <v>1066</v>
      </c>
      <c r="R1281" s="824" t="n">
        <f aca="false">R1280-1</f>
        <v>-1066</v>
      </c>
      <c r="S1281" s="5"/>
      <c r="T1281" s="5"/>
      <c r="U1281" s="5"/>
      <c r="V1281" s="10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02"/>
      <c r="AU1281" s="502"/>
      <c r="AV1281" s="606"/>
      <c r="AW1281" s="502"/>
      <c r="AX1281" s="502"/>
      <c r="AY1281" s="502"/>
      <c r="AZ1281" s="502"/>
      <c r="BA1281" s="502"/>
      <c r="BB1281" s="502"/>
      <c r="BC1281" s="502"/>
      <c r="BD1281" s="502"/>
      <c r="BE1281" s="502"/>
      <c r="BF1281" s="502"/>
      <c r="BG1281" s="502"/>
      <c r="BH1281" s="502"/>
      <c r="BI1281" s="502"/>
      <c r="BJ1281" s="502"/>
      <c r="BK1281" s="502"/>
      <c r="BL1281" s="502"/>
      <c r="BM1281" s="502"/>
      <c r="BN1281" s="502"/>
      <c r="BO1281" s="502"/>
      <c r="BP1281" s="5"/>
      <c r="BQ1281" s="5"/>
      <c r="BR1281" s="5"/>
      <c r="BS1281" s="5"/>
      <c r="BT1281" s="5"/>
      <c r="BU1281" s="5"/>
      <c r="BV1281" s="5"/>
      <c r="BW1281" s="5"/>
      <c r="BX1281" s="5"/>
      <c r="BY1281" s="5"/>
      <c r="BZ1281" s="5"/>
      <c r="CA1281" s="5"/>
      <c r="CB1281" s="5"/>
      <c r="CC1281" s="5"/>
      <c r="CD1281" s="5"/>
      <c r="CE1281" s="5"/>
      <c r="CF1281" s="5"/>
      <c r="CG1281" s="5"/>
      <c r="CH1281" s="5"/>
      <c r="CI1281" s="5"/>
      <c r="CJ1281" s="5"/>
      <c r="CK1281" s="5"/>
      <c r="CL1281" s="5"/>
      <c r="CM1281" s="5"/>
      <c r="CN1281" s="5"/>
      <c r="CO1281" s="5"/>
      <c r="CP1281" s="5"/>
      <c r="CQ1281" s="5"/>
      <c r="CR1281" s="5"/>
      <c r="CS1281" s="5"/>
      <c r="CT1281" s="5"/>
      <c r="CU1281" s="5"/>
      <c r="CV1281" s="5"/>
      <c r="CW1281" s="5"/>
      <c r="CX1281" s="5"/>
      <c r="CY1281" s="5"/>
      <c r="CZ1281" s="5"/>
      <c r="DA1281" s="5"/>
      <c r="DB1281" s="5"/>
      <c r="DC1281" s="5"/>
      <c r="DD1281" s="5"/>
      <c r="DE1281" s="5"/>
      <c r="DF1281" s="5"/>
      <c r="DG1281" s="5"/>
      <c r="DH1281" s="5"/>
      <c r="DI1281" s="5"/>
      <c r="DJ1281" s="5"/>
      <c r="DK1281" s="5"/>
      <c r="DL1281" s="5"/>
      <c r="DM1281" s="5"/>
      <c r="DN1281" s="5"/>
      <c r="DO1281" s="5"/>
      <c r="DP1281" s="5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  <c r="GV1281" s="1"/>
      <c r="GW1281" s="1"/>
      <c r="GX1281" s="1"/>
      <c r="GY1281" s="1"/>
      <c r="GZ1281" s="1"/>
      <c r="HA1281" s="1"/>
      <c r="HB1281" s="1"/>
      <c r="HC1281" s="1"/>
      <c r="HD1281" s="1"/>
      <c r="HE1281" s="1"/>
      <c r="HF1281" s="1"/>
      <c r="HG1281" s="1"/>
      <c r="HH1281" s="1"/>
      <c r="HI1281" s="1"/>
      <c r="HJ1281" s="1"/>
      <c r="HK1281" s="1"/>
      <c r="HL1281" s="1"/>
      <c r="HM1281" s="1"/>
      <c r="HN1281" s="1"/>
      <c r="HO1281" s="1"/>
      <c r="HP1281" s="1"/>
      <c r="HQ1281" s="1"/>
      <c r="HR1281" s="1"/>
      <c r="HS1281" s="1"/>
      <c r="HT1281" s="1"/>
      <c r="HU1281" s="1"/>
      <c r="HV1281" s="1"/>
      <c r="HW1281" s="1"/>
      <c r="HX1281" s="1"/>
      <c r="HY1281" s="1"/>
      <c r="HZ1281" s="1"/>
      <c r="IA1281" s="1"/>
      <c r="IB1281" s="1"/>
      <c r="IC1281" s="1"/>
      <c r="ID1281" s="1"/>
      <c r="IE1281" s="1"/>
      <c r="IF1281" s="1"/>
      <c r="IG1281" s="1"/>
      <c r="IH1281" s="1"/>
      <c r="II1281" s="1"/>
      <c r="IJ1281" s="1"/>
      <c r="IK1281" s="1"/>
      <c r="IL1281" s="1"/>
      <c r="IM1281" s="1"/>
      <c r="IN1281" s="1"/>
      <c r="IO1281" s="1"/>
      <c r="IP1281" s="1"/>
      <c r="IQ1281" s="1"/>
      <c r="IR1281" s="1"/>
      <c r="IS1281" s="1"/>
      <c r="IT1281" s="1"/>
      <c r="IU1281" s="1"/>
      <c r="IV1281" s="1"/>
      <c r="IW1281" s="1"/>
      <c r="IX1281" s="1"/>
      <c r="IY1281" s="1"/>
      <c r="IZ1281" s="1"/>
      <c r="JA1281" s="1"/>
      <c r="JB1281" s="1"/>
      <c r="JC1281" s="1"/>
      <c r="JD1281" s="1"/>
    </row>
    <row r="1282" s="504" customFormat="true" ht="12.75" hidden="true" customHeight="true" outlineLevel="0" collapsed="false">
      <c r="A1282" s="5"/>
      <c r="B1282" s="813" t="n">
        <f aca="false">B1281+1</f>
        <v>1067</v>
      </c>
      <c r="C1282" s="814" t="n">
        <f aca="false">C1281+D1282</f>
        <v>174030.747829662</v>
      </c>
      <c r="D1282" s="815" t="n">
        <f aca="false">E1282*$E$205*M1282</f>
        <v>247.549220910888</v>
      </c>
      <c r="E1282" s="601" t="n">
        <f aca="false">E1281+$C$204</f>
        <v>15.6994686016545</v>
      </c>
      <c r="F1282" s="816" t="n">
        <f aca="false">F1281+1</f>
        <v>1067</v>
      </c>
      <c r="G1282" s="775" t="n">
        <f aca="false">C1282</f>
        <v>174030.747829662</v>
      </c>
      <c r="H1282" s="817" t="n">
        <f aca="false">1000*(E1282-E1281)</f>
        <v>9.99999999999979</v>
      </c>
      <c r="I1282" s="5"/>
      <c r="J1282" s="818" t="n">
        <f aca="false">1000*(E1282-$E$215)/(B1282-$B$215)</f>
        <v>11.4750420136566</v>
      </c>
      <c r="K1282" s="732" t="n">
        <f aca="false">AVERAGE($E$216:E1282)</f>
        <v>10.3623458275215</v>
      </c>
      <c r="L1282" s="819" t="n">
        <f aca="false">L1281+1</f>
        <v>1067</v>
      </c>
      <c r="M1282" s="820" t="n">
        <f aca="false">IF(B1282&lt;$E$104,$E$105,$E$106)</f>
        <v>3</v>
      </c>
      <c r="N1282" s="821" t="n">
        <f aca="false">IF(B1282&lt;$E$104,$E$105,$E$111)</f>
        <v>2.5</v>
      </c>
      <c r="O1282" s="822" t="n">
        <f aca="false">E1282*$E$205*N1282</f>
        <v>206.29101742574</v>
      </c>
      <c r="P1282" s="823" t="n">
        <f aca="false">P1281+O1282</f>
        <v>145077.303791761</v>
      </c>
      <c r="Q1282" s="606" t="n">
        <f aca="false">Q1281+1</f>
        <v>1067</v>
      </c>
      <c r="R1282" s="824" t="n">
        <f aca="false">R1281-1</f>
        <v>-1067</v>
      </c>
      <c r="S1282" s="5"/>
      <c r="T1282" s="5"/>
      <c r="U1282" s="5"/>
      <c r="V1282" s="10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02"/>
      <c r="AU1282" s="502"/>
      <c r="AV1282" s="606"/>
      <c r="AW1282" s="502"/>
      <c r="AX1282" s="502"/>
      <c r="AY1282" s="502"/>
      <c r="AZ1282" s="502"/>
      <c r="BA1282" s="502"/>
      <c r="BB1282" s="502"/>
      <c r="BC1282" s="502"/>
      <c r="BD1282" s="502"/>
      <c r="BE1282" s="502"/>
      <c r="BF1282" s="502"/>
      <c r="BG1282" s="502"/>
      <c r="BH1282" s="502"/>
      <c r="BI1282" s="502"/>
      <c r="BJ1282" s="502"/>
      <c r="BK1282" s="502"/>
      <c r="BL1282" s="502"/>
      <c r="BM1282" s="502"/>
      <c r="BN1282" s="502"/>
      <c r="BO1282" s="502"/>
      <c r="BP1282" s="5"/>
      <c r="BQ1282" s="5"/>
      <c r="BR1282" s="5"/>
      <c r="BS1282" s="5"/>
      <c r="BT1282" s="5"/>
      <c r="BU1282" s="5"/>
      <c r="BV1282" s="5"/>
      <c r="BW1282" s="5"/>
      <c r="BX1282" s="5"/>
      <c r="BY1282" s="5"/>
      <c r="BZ1282" s="5"/>
      <c r="CA1282" s="5"/>
      <c r="CB1282" s="5"/>
      <c r="CC1282" s="5"/>
      <c r="CD1282" s="5"/>
      <c r="CE1282" s="5"/>
      <c r="CF1282" s="5"/>
      <c r="CG1282" s="5"/>
      <c r="CH1282" s="5"/>
      <c r="CI1282" s="5"/>
      <c r="CJ1282" s="5"/>
      <c r="CK1282" s="5"/>
      <c r="CL1282" s="5"/>
      <c r="CM1282" s="5"/>
      <c r="CN1282" s="5"/>
      <c r="CO1282" s="5"/>
      <c r="CP1282" s="5"/>
      <c r="CQ1282" s="5"/>
      <c r="CR1282" s="5"/>
      <c r="CS1282" s="5"/>
      <c r="CT1282" s="5"/>
      <c r="CU1282" s="5"/>
      <c r="CV1282" s="5"/>
      <c r="CW1282" s="5"/>
      <c r="CX1282" s="5"/>
      <c r="CY1282" s="5"/>
      <c r="CZ1282" s="5"/>
      <c r="DA1282" s="5"/>
      <c r="DB1282" s="5"/>
      <c r="DC1282" s="5"/>
      <c r="DD1282" s="5"/>
      <c r="DE1282" s="5"/>
      <c r="DF1282" s="5"/>
      <c r="DG1282" s="5"/>
      <c r="DH1282" s="5"/>
      <c r="DI1282" s="5"/>
      <c r="DJ1282" s="5"/>
      <c r="DK1282" s="5"/>
      <c r="DL1282" s="5"/>
      <c r="DM1282" s="5"/>
      <c r="DN1282" s="5"/>
      <c r="DO1282" s="5"/>
      <c r="DP1282" s="5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  <c r="GV1282" s="1"/>
      <c r="GW1282" s="1"/>
      <c r="GX1282" s="1"/>
      <c r="GY1282" s="1"/>
      <c r="GZ1282" s="1"/>
      <c r="HA1282" s="1"/>
      <c r="HB1282" s="1"/>
      <c r="HC1282" s="1"/>
      <c r="HD1282" s="1"/>
      <c r="HE1282" s="1"/>
      <c r="HF1282" s="1"/>
      <c r="HG1282" s="1"/>
      <c r="HH1282" s="1"/>
      <c r="HI1282" s="1"/>
      <c r="HJ1282" s="1"/>
      <c r="HK1282" s="1"/>
      <c r="HL1282" s="1"/>
      <c r="HM1282" s="1"/>
      <c r="HN1282" s="1"/>
      <c r="HO1282" s="1"/>
      <c r="HP1282" s="1"/>
      <c r="HQ1282" s="1"/>
      <c r="HR1282" s="1"/>
      <c r="HS1282" s="1"/>
      <c r="HT1282" s="1"/>
      <c r="HU1282" s="1"/>
      <c r="HV1282" s="1"/>
      <c r="HW1282" s="1"/>
      <c r="HX1282" s="1"/>
      <c r="HY1282" s="1"/>
      <c r="HZ1282" s="1"/>
      <c r="IA1282" s="1"/>
      <c r="IB1282" s="1"/>
      <c r="IC1282" s="1"/>
      <c r="ID1282" s="1"/>
      <c r="IE1282" s="1"/>
      <c r="IF1282" s="1"/>
      <c r="IG1282" s="1"/>
      <c r="IH1282" s="1"/>
      <c r="II1282" s="1"/>
      <c r="IJ1282" s="1"/>
      <c r="IK1282" s="1"/>
      <c r="IL1282" s="1"/>
      <c r="IM1282" s="1"/>
      <c r="IN1282" s="1"/>
      <c r="IO1282" s="1"/>
      <c r="IP1282" s="1"/>
      <c r="IQ1282" s="1"/>
      <c r="IR1282" s="1"/>
      <c r="IS1282" s="1"/>
      <c r="IT1282" s="1"/>
      <c r="IU1282" s="1"/>
      <c r="IV1282" s="1"/>
      <c r="IW1282" s="1"/>
      <c r="IX1282" s="1"/>
      <c r="IY1282" s="1"/>
      <c r="IZ1282" s="1"/>
      <c r="JA1282" s="1"/>
      <c r="JB1282" s="1"/>
      <c r="JC1282" s="1"/>
      <c r="JD1282" s="1"/>
    </row>
    <row r="1283" s="504" customFormat="true" ht="12.75" hidden="true" customHeight="true" outlineLevel="0" collapsed="false">
      <c r="A1283" s="5"/>
      <c r="B1283" s="813" t="n">
        <f aca="false">B1282+1</f>
        <v>1068</v>
      </c>
      <c r="C1283" s="814" t="n">
        <f aca="false">C1282+D1283</f>
        <v>174278.454730573</v>
      </c>
      <c r="D1283" s="815" t="n">
        <f aca="false">E1283*$E$205*M1283</f>
        <v>247.706900910888</v>
      </c>
      <c r="E1283" s="601" t="n">
        <f aca="false">E1282+$C$204</f>
        <v>15.7094686016545</v>
      </c>
      <c r="F1283" s="816" t="n">
        <f aca="false">F1282+1</f>
        <v>1068</v>
      </c>
      <c r="G1283" s="775" t="n">
        <f aca="false">C1283</f>
        <v>174278.454730573</v>
      </c>
      <c r="H1283" s="817" t="n">
        <f aca="false">1000*(E1283-E1282)</f>
        <v>9.99999999999979</v>
      </c>
      <c r="I1283" s="5"/>
      <c r="J1283" s="818" t="n">
        <f aca="false">1000*(E1283-$E$215)/(B1283-$B$215)</f>
        <v>11.4736608881757</v>
      </c>
      <c r="K1283" s="732" t="n">
        <f aca="false">AVERAGE($E$216:E1283)</f>
        <v>10.3673524967857</v>
      </c>
      <c r="L1283" s="819" t="n">
        <f aca="false">L1282+1</f>
        <v>1068</v>
      </c>
      <c r="M1283" s="820" t="n">
        <f aca="false">IF(B1283&lt;$E$104,$E$105,$E$106)</f>
        <v>3</v>
      </c>
      <c r="N1283" s="821" t="n">
        <f aca="false">IF(B1283&lt;$E$104,$E$105,$E$111)</f>
        <v>2.5</v>
      </c>
      <c r="O1283" s="822" t="n">
        <f aca="false">E1283*$E$205*N1283</f>
        <v>206.42241742574</v>
      </c>
      <c r="P1283" s="823" t="n">
        <f aca="false">P1282+O1283</f>
        <v>145283.726209187</v>
      </c>
      <c r="Q1283" s="606" t="n">
        <f aca="false">Q1282+1</f>
        <v>1068</v>
      </c>
      <c r="R1283" s="824" t="n">
        <f aca="false">R1282-1</f>
        <v>-1068</v>
      </c>
      <c r="S1283" s="5"/>
      <c r="T1283" s="5"/>
      <c r="U1283" s="5"/>
      <c r="V1283" s="10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02"/>
      <c r="AU1283" s="502"/>
      <c r="AV1283" s="606"/>
      <c r="AW1283" s="502"/>
      <c r="AX1283" s="502"/>
      <c r="AY1283" s="502"/>
      <c r="AZ1283" s="502"/>
      <c r="BA1283" s="502"/>
      <c r="BB1283" s="502"/>
      <c r="BC1283" s="502"/>
      <c r="BD1283" s="502"/>
      <c r="BE1283" s="502"/>
      <c r="BF1283" s="502"/>
      <c r="BG1283" s="502"/>
      <c r="BH1283" s="502"/>
      <c r="BI1283" s="502"/>
      <c r="BJ1283" s="502"/>
      <c r="BK1283" s="502"/>
      <c r="BL1283" s="502"/>
      <c r="BM1283" s="502"/>
      <c r="BN1283" s="502"/>
      <c r="BO1283" s="502"/>
      <c r="BP1283" s="5"/>
      <c r="BQ1283" s="5"/>
      <c r="BR1283" s="5"/>
      <c r="BS1283" s="5"/>
      <c r="BT1283" s="5"/>
      <c r="BU1283" s="5"/>
      <c r="BV1283" s="5"/>
      <c r="BW1283" s="5"/>
      <c r="BX1283" s="5"/>
      <c r="BY1283" s="5"/>
      <c r="BZ1283" s="5"/>
      <c r="CA1283" s="5"/>
      <c r="CB1283" s="5"/>
      <c r="CC1283" s="5"/>
      <c r="CD1283" s="5"/>
      <c r="CE1283" s="5"/>
      <c r="CF1283" s="5"/>
      <c r="CG1283" s="5"/>
      <c r="CH1283" s="5"/>
      <c r="CI1283" s="5"/>
      <c r="CJ1283" s="5"/>
      <c r="CK1283" s="5"/>
      <c r="CL1283" s="5"/>
      <c r="CM1283" s="5"/>
      <c r="CN1283" s="5"/>
      <c r="CO1283" s="5"/>
      <c r="CP1283" s="5"/>
      <c r="CQ1283" s="5"/>
      <c r="CR1283" s="5"/>
      <c r="CS1283" s="5"/>
      <c r="CT1283" s="5"/>
      <c r="CU1283" s="5"/>
      <c r="CV1283" s="5"/>
      <c r="CW1283" s="5"/>
      <c r="CX1283" s="5"/>
      <c r="CY1283" s="5"/>
      <c r="CZ1283" s="5"/>
      <c r="DA1283" s="5"/>
      <c r="DB1283" s="5"/>
      <c r="DC1283" s="5"/>
      <c r="DD1283" s="5"/>
      <c r="DE1283" s="5"/>
      <c r="DF1283" s="5"/>
      <c r="DG1283" s="5"/>
      <c r="DH1283" s="5"/>
      <c r="DI1283" s="5"/>
      <c r="DJ1283" s="5"/>
      <c r="DK1283" s="5"/>
      <c r="DL1283" s="5"/>
      <c r="DM1283" s="5"/>
      <c r="DN1283" s="5"/>
      <c r="DO1283" s="5"/>
      <c r="DP1283" s="5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  <c r="GV1283" s="1"/>
      <c r="GW1283" s="1"/>
      <c r="GX1283" s="1"/>
      <c r="GY1283" s="1"/>
      <c r="GZ1283" s="1"/>
      <c r="HA1283" s="1"/>
      <c r="HB1283" s="1"/>
      <c r="HC1283" s="1"/>
      <c r="HD1283" s="1"/>
      <c r="HE1283" s="1"/>
      <c r="HF1283" s="1"/>
      <c r="HG1283" s="1"/>
      <c r="HH1283" s="1"/>
      <c r="HI1283" s="1"/>
      <c r="HJ1283" s="1"/>
      <c r="HK1283" s="1"/>
      <c r="HL1283" s="1"/>
      <c r="HM1283" s="1"/>
      <c r="HN1283" s="1"/>
      <c r="HO1283" s="1"/>
      <c r="HP1283" s="1"/>
      <c r="HQ1283" s="1"/>
      <c r="HR1283" s="1"/>
      <c r="HS1283" s="1"/>
      <c r="HT1283" s="1"/>
      <c r="HU1283" s="1"/>
      <c r="HV1283" s="1"/>
      <c r="HW1283" s="1"/>
      <c r="HX1283" s="1"/>
      <c r="HY1283" s="1"/>
      <c r="HZ1283" s="1"/>
      <c r="IA1283" s="1"/>
      <c r="IB1283" s="1"/>
      <c r="IC1283" s="1"/>
      <c r="ID1283" s="1"/>
      <c r="IE1283" s="1"/>
      <c r="IF1283" s="1"/>
      <c r="IG1283" s="1"/>
      <c r="IH1283" s="1"/>
      <c r="II1283" s="1"/>
      <c r="IJ1283" s="1"/>
      <c r="IK1283" s="1"/>
      <c r="IL1283" s="1"/>
      <c r="IM1283" s="1"/>
      <c r="IN1283" s="1"/>
      <c r="IO1283" s="1"/>
      <c r="IP1283" s="1"/>
      <c r="IQ1283" s="1"/>
      <c r="IR1283" s="1"/>
      <c r="IS1283" s="1"/>
      <c r="IT1283" s="1"/>
      <c r="IU1283" s="1"/>
      <c r="IV1283" s="1"/>
      <c r="IW1283" s="1"/>
      <c r="IX1283" s="1"/>
      <c r="IY1283" s="1"/>
      <c r="IZ1283" s="1"/>
      <c r="JA1283" s="1"/>
      <c r="JB1283" s="1"/>
      <c r="JC1283" s="1"/>
      <c r="JD1283" s="1"/>
    </row>
    <row r="1284" s="504" customFormat="true" ht="12.75" hidden="true" customHeight="true" outlineLevel="0" collapsed="false">
      <c r="A1284" s="5"/>
      <c r="B1284" s="813" t="n">
        <f aca="false">B1283+1</f>
        <v>1069</v>
      </c>
      <c r="C1284" s="814" t="n">
        <f aca="false">C1283+D1284</f>
        <v>174526.319311484</v>
      </c>
      <c r="D1284" s="815" t="n">
        <f aca="false">E1284*$E$205*M1284</f>
        <v>247.864580910888</v>
      </c>
      <c r="E1284" s="601" t="n">
        <f aca="false">E1283+$C$204</f>
        <v>15.7194686016545</v>
      </c>
      <c r="F1284" s="816" t="n">
        <f aca="false">F1283+1</f>
        <v>1069</v>
      </c>
      <c r="G1284" s="775" t="n">
        <f aca="false">C1284</f>
        <v>174526.319311484</v>
      </c>
      <c r="H1284" s="817" t="n">
        <f aca="false">1000*(E1284-E1283)</f>
        <v>9.99999999999979</v>
      </c>
      <c r="I1284" s="5"/>
      <c r="J1284" s="818" t="n">
        <f aca="false">1000*(E1284-$E$215)/(B1284-$B$215)</f>
        <v>11.4722823466526</v>
      </c>
      <c r="K1284" s="732" t="n">
        <f aca="false">AVERAGE($E$216:E1284)</f>
        <v>10.3723591535723</v>
      </c>
      <c r="L1284" s="819" t="n">
        <f aca="false">L1283+1</f>
        <v>1069</v>
      </c>
      <c r="M1284" s="820" t="n">
        <f aca="false">IF(B1284&lt;$E$104,$E$105,$E$106)</f>
        <v>3</v>
      </c>
      <c r="N1284" s="821" t="n">
        <f aca="false">IF(B1284&lt;$E$104,$E$105,$E$111)</f>
        <v>2.5</v>
      </c>
      <c r="O1284" s="822" t="n">
        <f aca="false">E1284*$E$205*N1284</f>
        <v>206.55381742574</v>
      </c>
      <c r="P1284" s="823" t="n">
        <f aca="false">P1283+O1284</f>
        <v>145490.280026613</v>
      </c>
      <c r="Q1284" s="606" t="n">
        <f aca="false">Q1283+1</f>
        <v>1069</v>
      </c>
      <c r="R1284" s="824" t="n">
        <f aca="false">R1283-1</f>
        <v>-1069</v>
      </c>
      <c r="S1284" s="5"/>
      <c r="T1284" s="5"/>
      <c r="U1284" s="5"/>
      <c r="V1284" s="10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02"/>
      <c r="AU1284" s="502"/>
      <c r="AV1284" s="606"/>
      <c r="AW1284" s="502"/>
      <c r="AX1284" s="502"/>
      <c r="AY1284" s="502"/>
      <c r="AZ1284" s="502"/>
      <c r="BA1284" s="502"/>
      <c r="BB1284" s="502"/>
      <c r="BC1284" s="502"/>
      <c r="BD1284" s="502"/>
      <c r="BE1284" s="502"/>
      <c r="BF1284" s="502"/>
      <c r="BG1284" s="502"/>
      <c r="BH1284" s="502"/>
      <c r="BI1284" s="502"/>
      <c r="BJ1284" s="502"/>
      <c r="BK1284" s="502"/>
      <c r="BL1284" s="502"/>
      <c r="BM1284" s="502"/>
      <c r="BN1284" s="502"/>
      <c r="BO1284" s="502"/>
      <c r="BP1284" s="5"/>
      <c r="BQ1284" s="5"/>
      <c r="BR1284" s="5"/>
      <c r="BS1284" s="5"/>
      <c r="BT1284" s="5"/>
      <c r="BU1284" s="5"/>
      <c r="BV1284" s="5"/>
      <c r="BW1284" s="5"/>
      <c r="BX1284" s="5"/>
      <c r="BY1284" s="5"/>
      <c r="BZ1284" s="5"/>
      <c r="CA1284" s="5"/>
      <c r="CB1284" s="5"/>
      <c r="CC1284" s="5"/>
      <c r="CD1284" s="5"/>
      <c r="CE1284" s="5"/>
      <c r="CF1284" s="5"/>
      <c r="CG1284" s="5"/>
      <c r="CH1284" s="5"/>
      <c r="CI1284" s="5"/>
      <c r="CJ1284" s="5"/>
      <c r="CK1284" s="5"/>
      <c r="CL1284" s="5"/>
      <c r="CM1284" s="5"/>
      <c r="CN1284" s="5"/>
      <c r="CO1284" s="5"/>
      <c r="CP1284" s="5"/>
      <c r="CQ1284" s="5"/>
      <c r="CR1284" s="5"/>
      <c r="CS1284" s="5"/>
      <c r="CT1284" s="5"/>
      <c r="CU1284" s="5"/>
      <c r="CV1284" s="5"/>
      <c r="CW1284" s="5"/>
      <c r="CX1284" s="5"/>
      <c r="CY1284" s="5"/>
      <c r="CZ1284" s="5"/>
      <c r="DA1284" s="5"/>
      <c r="DB1284" s="5"/>
      <c r="DC1284" s="5"/>
      <c r="DD1284" s="5"/>
      <c r="DE1284" s="5"/>
      <c r="DF1284" s="5"/>
      <c r="DG1284" s="5"/>
      <c r="DH1284" s="5"/>
      <c r="DI1284" s="5"/>
      <c r="DJ1284" s="5"/>
      <c r="DK1284" s="5"/>
      <c r="DL1284" s="5"/>
      <c r="DM1284" s="5"/>
      <c r="DN1284" s="5"/>
      <c r="DO1284" s="5"/>
      <c r="DP1284" s="5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  <c r="GV1284" s="1"/>
      <c r="GW1284" s="1"/>
      <c r="GX1284" s="1"/>
      <c r="GY1284" s="1"/>
      <c r="GZ1284" s="1"/>
      <c r="HA1284" s="1"/>
      <c r="HB1284" s="1"/>
      <c r="HC1284" s="1"/>
      <c r="HD1284" s="1"/>
      <c r="HE1284" s="1"/>
      <c r="HF1284" s="1"/>
      <c r="HG1284" s="1"/>
      <c r="HH1284" s="1"/>
      <c r="HI1284" s="1"/>
      <c r="HJ1284" s="1"/>
      <c r="HK1284" s="1"/>
      <c r="HL1284" s="1"/>
      <c r="HM1284" s="1"/>
      <c r="HN1284" s="1"/>
      <c r="HO1284" s="1"/>
      <c r="HP1284" s="1"/>
      <c r="HQ1284" s="1"/>
      <c r="HR1284" s="1"/>
      <c r="HS1284" s="1"/>
      <c r="HT1284" s="1"/>
      <c r="HU1284" s="1"/>
      <c r="HV1284" s="1"/>
      <c r="HW1284" s="1"/>
      <c r="HX1284" s="1"/>
      <c r="HY1284" s="1"/>
      <c r="HZ1284" s="1"/>
      <c r="IA1284" s="1"/>
      <c r="IB1284" s="1"/>
      <c r="IC1284" s="1"/>
      <c r="ID1284" s="1"/>
      <c r="IE1284" s="1"/>
      <c r="IF1284" s="1"/>
      <c r="IG1284" s="1"/>
      <c r="IH1284" s="1"/>
      <c r="II1284" s="1"/>
      <c r="IJ1284" s="1"/>
      <c r="IK1284" s="1"/>
      <c r="IL1284" s="1"/>
      <c r="IM1284" s="1"/>
      <c r="IN1284" s="1"/>
      <c r="IO1284" s="1"/>
      <c r="IP1284" s="1"/>
      <c r="IQ1284" s="1"/>
      <c r="IR1284" s="1"/>
      <c r="IS1284" s="1"/>
      <c r="IT1284" s="1"/>
      <c r="IU1284" s="1"/>
      <c r="IV1284" s="1"/>
      <c r="IW1284" s="1"/>
      <c r="IX1284" s="1"/>
      <c r="IY1284" s="1"/>
      <c r="IZ1284" s="1"/>
      <c r="JA1284" s="1"/>
      <c r="JB1284" s="1"/>
      <c r="JC1284" s="1"/>
      <c r="JD1284" s="1"/>
    </row>
    <row r="1285" s="504" customFormat="true" ht="12.75" hidden="true" customHeight="true" outlineLevel="0" collapsed="false">
      <c r="A1285" s="5"/>
      <c r="B1285" s="813" t="n">
        <f aca="false">B1284+1</f>
        <v>1070</v>
      </c>
      <c r="C1285" s="814" t="n">
        <f aca="false">C1284+D1285</f>
        <v>174774.341572394</v>
      </c>
      <c r="D1285" s="815" t="n">
        <f aca="false">E1285*$E$205*M1285</f>
        <v>248.022260910888</v>
      </c>
      <c r="E1285" s="601" t="n">
        <f aca="false">E1284+$C$204</f>
        <v>15.7294686016545</v>
      </c>
      <c r="F1285" s="816" t="n">
        <f aca="false">F1284+1</f>
        <v>1070</v>
      </c>
      <c r="G1285" s="775" t="n">
        <f aca="false">C1285</f>
        <v>174774.341572394</v>
      </c>
      <c r="H1285" s="817" t="n">
        <f aca="false">1000*(E1285-E1284)</f>
        <v>9.99999999999979</v>
      </c>
      <c r="I1285" s="5"/>
      <c r="J1285" s="818" t="n">
        <f aca="false">1000*(E1285-$E$215)/(B1285-$B$215)</f>
        <v>11.4709063818426</v>
      </c>
      <c r="K1285" s="732" t="n">
        <f aca="false">AVERAGE($E$216:E1285)</f>
        <v>10.3773657979163</v>
      </c>
      <c r="L1285" s="819" t="n">
        <f aca="false">L1284+1</f>
        <v>1070</v>
      </c>
      <c r="M1285" s="820" t="n">
        <f aca="false">IF(B1285&lt;$E$104,$E$105,$E$106)</f>
        <v>3</v>
      </c>
      <c r="N1285" s="821" t="n">
        <f aca="false">IF(B1285&lt;$E$104,$E$105,$E$111)</f>
        <v>2.5</v>
      </c>
      <c r="O1285" s="822" t="n">
        <f aca="false">E1285*$E$205*N1285</f>
        <v>206.68521742574</v>
      </c>
      <c r="P1285" s="823" t="n">
        <f aca="false">P1284+O1285</f>
        <v>145696.965244038</v>
      </c>
      <c r="Q1285" s="606" t="n">
        <f aca="false">Q1284+1</f>
        <v>1070</v>
      </c>
      <c r="R1285" s="824" t="n">
        <f aca="false">R1284-1</f>
        <v>-1070</v>
      </c>
      <c r="S1285" s="5"/>
      <c r="T1285" s="5"/>
      <c r="U1285" s="5"/>
      <c r="V1285" s="10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02"/>
      <c r="AU1285" s="502"/>
      <c r="AV1285" s="606"/>
      <c r="AW1285" s="502"/>
      <c r="AX1285" s="502"/>
      <c r="AY1285" s="502"/>
      <c r="AZ1285" s="502"/>
      <c r="BA1285" s="502"/>
      <c r="BB1285" s="502"/>
      <c r="BC1285" s="502"/>
      <c r="BD1285" s="502"/>
      <c r="BE1285" s="502"/>
      <c r="BF1285" s="502"/>
      <c r="BG1285" s="502"/>
      <c r="BH1285" s="502"/>
      <c r="BI1285" s="502"/>
      <c r="BJ1285" s="502"/>
      <c r="BK1285" s="502"/>
      <c r="BL1285" s="502"/>
      <c r="BM1285" s="502"/>
      <c r="BN1285" s="502"/>
      <c r="BO1285" s="502"/>
      <c r="BP1285" s="5"/>
      <c r="BQ1285" s="5"/>
      <c r="BR1285" s="5"/>
      <c r="BS1285" s="5"/>
      <c r="BT1285" s="5"/>
      <c r="BU1285" s="5"/>
      <c r="BV1285" s="5"/>
      <c r="BW1285" s="5"/>
      <c r="BX1285" s="5"/>
      <c r="BY1285" s="5"/>
      <c r="BZ1285" s="5"/>
      <c r="CA1285" s="5"/>
      <c r="CB1285" s="5"/>
      <c r="CC1285" s="5"/>
      <c r="CD1285" s="5"/>
      <c r="CE1285" s="5"/>
      <c r="CF1285" s="5"/>
      <c r="CG1285" s="5"/>
      <c r="CH1285" s="5"/>
      <c r="CI1285" s="5"/>
      <c r="CJ1285" s="5"/>
      <c r="CK1285" s="5"/>
      <c r="CL1285" s="5"/>
      <c r="CM1285" s="5"/>
      <c r="CN1285" s="5"/>
      <c r="CO1285" s="5"/>
      <c r="CP1285" s="5"/>
      <c r="CQ1285" s="5"/>
      <c r="CR1285" s="5"/>
      <c r="CS1285" s="5"/>
      <c r="CT1285" s="5"/>
      <c r="CU1285" s="5"/>
      <c r="CV1285" s="5"/>
      <c r="CW1285" s="5"/>
      <c r="CX1285" s="5"/>
      <c r="CY1285" s="5"/>
      <c r="CZ1285" s="5"/>
      <c r="DA1285" s="5"/>
      <c r="DB1285" s="5"/>
      <c r="DC1285" s="5"/>
      <c r="DD1285" s="5"/>
      <c r="DE1285" s="5"/>
      <c r="DF1285" s="5"/>
      <c r="DG1285" s="5"/>
      <c r="DH1285" s="5"/>
      <c r="DI1285" s="5"/>
      <c r="DJ1285" s="5"/>
      <c r="DK1285" s="5"/>
      <c r="DL1285" s="5"/>
      <c r="DM1285" s="5"/>
      <c r="DN1285" s="5"/>
      <c r="DO1285" s="5"/>
      <c r="DP1285" s="5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  <c r="GV1285" s="1"/>
      <c r="GW1285" s="1"/>
      <c r="GX1285" s="1"/>
      <c r="GY1285" s="1"/>
      <c r="GZ1285" s="1"/>
      <c r="HA1285" s="1"/>
      <c r="HB1285" s="1"/>
      <c r="HC1285" s="1"/>
      <c r="HD1285" s="1"/>
      <c r="HE1285" s="1"/>
      <c r="HF1285" s="1"/>
      <c r="HG1285" s="1"/>
      <c r="HH1285" s="1"/>
      <c r="HI1285" s="1"/>
      <c r="HJ1285" s="1"/>
      <c r="HK1285" s="1"/>
      <c r="HL1285" s="1"/>
      <c r="HM1285" s="1"/>
      <c r="HN1285" s="1"/>
      <c r="HO1285" s="1"/>
      <c r="HP1285" s="1"/>
      <c r="HQ1285" s="1"/>
      <c r="HR1285" s="1"/>
      <c r="HS1285" s="1"/>
      <c r="HT1285" s="1"/>
      <c r="HU1285" s="1"/>
      <c r="HV1285" s="1"/>
      <c r="HW1285" s="1"/>
      <c r="HX1285" s="1"/>
      <c r="HY1285" s="1"/>
      <c r="HZ1285" s="1"/>
      <c r="IA1285" s="1"/>
      <c r="IB1285" s="1"/>
      <c r="IC1285" s="1"/>
      <c r="ID1285" s="1"/>
      <c r="IE1285" s="1"/>
      <c r="IF1285" s="1"/>
      <c r="IG1285" s="1"/>
      <c r="IH1285" s="1"/>
      <c r="II1285" s="1"/>
      <c r="IJ1285" s="1"/>
      <c r="IK1285" s="1"/>
      <c r="IL1285" s="1"/>
      <c r="IM1285" s="1"/>
      <c r="IN1285" s="1"/>
      <c r="IO1285" s="1"/>
      <c r="IP1285" s="1"/>
      <c r="IQ1285" s="1"/>
      <c r="IR1285" s="1"/>
      <c r="IS1285" s="1"/>
      <c r="IT1285" s="1"/>
      <c r="IU1285" s="1"/>
      <c r="IV1285" s="1"/>
      <c r="IW1285" s="1"/>
      <c r="IX1285" s="1"/>
      <c r="IY1285" s="1"/>
      <c r="IZ1285" s="1"/>
      <c r="JA1285" s="1"/>
      <c r="JB1285" s="1"/>
      <c r="JC1285" s="1"/>
      <c r="JD1285" s="1"/>
    </row>
    <row r="1286" s="504" customFormat="true" ht="12.75" hidden="true" customHeight="true" outlineLevel="0" collapsed="false">
      <c r="A1286" s="5"/>
      <c r="B1286" s="813" t="n">
        <f aca="false">B1285+1</f>
        <v>1071</v>
      </c>
      <c r="C1286" s="814" t="n">
        <f aca="false">C1285+D1286</f>
        <v>175022.521513305</v>
      </c>
      <c r="D1286" s="815" t="n">
        <f aca="false">E1286*$E$205*M1286</f>
        <v>248.179940910888</v>
      </c>
      <c r="E1286" s="601" t="n">
        <f aca="false">E1285+$C$204</f>
        <v>15.7394686016545</v>
      </c>
      <c r="F1286" s="816" t="n">
        <f aca="false">F1285+1</f>
        <v>1071</v>
      </c>
      <c r="G1286" s="775" t="n">
        <f aca="false">C1286</f>
        <v>175022.521513305</v>
      </c>
      <c r="H1286" s="817" t="n">
        <f aca="false">1000*(E1286-E1285)</f>
        <v>9.99999999999979</v>
      </c>
      <c r="I1286" s="5"/>
      <c r="J1286" s="818" t="n">
        <f aca="false">1000*(E1286-$E$215)/(B1286-$B$215)</f>
        <v>11.4695329865281</v>
      </c>
      <c r="K1286" s="732" t="n">
        <f aca="false">AVERAGE($E$216:E1286)</f>
        <v>10.3823724298525</v>
      </c>
      <c r="L1286" s="819" t="n">
        <f aca="false">L1285+1</f>
        <v>1071</v>
      </c>
      <c r="M1286" s="820" t="n">
        <f aca="false">IF(B1286&lt;$E$104,$E$105,$E$106)</f>
        <v>3</v>
      </c>
      <c r="N1286" s="821" t="n">
        <f aca="false">IF(B1286&lt;$E$104,$E$105,$E$111)</f>
        <v>2.5</v>
      </c>
      <c r="O1286" s="822" t="n">
        <f aca="false">E1286*$E$205*N1286</f>
        <v>206.81661742574</v>
      </c>
      <c r="P1286" s="823" t="n">
        <f aca="false">P1285+O1286</f>
        <v>145903.781861464</v>
      </c>
      <c r="Q1286" s="606" t="n">
        <f aca="false">Q1285+1</f>
        <v>1071</v>
      </c>
      <c r="R1286" s="824" t="n">
        <f aca="false">R1285-1</f>
        <v>-1071</v>
      </c>
      <c r="S1286" s="5"/>
      <c r="T1286" s="5"/>
      <c r="U1286" s="5"/>
      <c r="V1286" s="10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02"/>
      <c r="AU1286" s="502"/>
      <c r="AV1286" s="606"/>
      <c r="AW1286" s="502"/>
      <c r="AX1286" s="502"/>
      <c r="AY1286" s="502"/>
      <c r="AZ1286" s="502"/>
      <c r="BA1286" s="502"/>
      <c r="BB1286" s="502"/>
      <c r="BC1286" s="502"/>
      <c r="BD1286" s="502"/>
      <c r="BE1286" s="502"/>
      <c r="BF1286" s="502"/>
      <c r="BG1286" s="502"/>
      <c r="BH1286" s="502"/>
      <c r="BI1286" s="502"/>
      <c r="BJ1286" s="502"/>
      <c r="BK1286" s="502"/>
      <c r="BL1286" s="502"/>
      <c r="BM1286" s="502"/>
      <c r="BN1286" s="502"/>
      <c r="BO1286" s="502"/>
      <c r="BP1286" s="5"/>
      <c r="BQ1286" s="5"/>
      <c r="BR1286" s="5"/>
      <c r="BS1286" s="5"/>
      <c r="BT1286" s="5"/>
      <c r="BU1286" s="5"/>
      <c r="BV1286" s="5"/>
      <c r="BW1286" s="5"/>
      <c r="BX1286" s="5"/>
      <c r="BY1286" s="5"/>
      <c r="BZ1286" s="5"/>
      <c r="CA1286" s="5"/>
      <c r="CB1286" s="5"/>
      <c r="CC1286" s="5"/>
      <c r="CD1286" s="5"/>
      <c r="CE1286" s="5"/>
      <c r="CF1286" s="5"/>
      <c r="CG1286" s="5"/>
      <c r="CH1286" s="5"/>
      <c r="CI1286" s="5"/>
      <c r="CJ1286" s="5"/>
      <c r="CK1286" s="5"/>
      <c r="CL1286" s="5"/>
      <c r="CM1286" s="5"/>
      <c r="CN1286" s="5"/>
      <c r="CO1286" s="5"/>
      <c r="CP1286" s="5"/>
      <c r="CQ1286" s="5"/>
      <c r="CR1286" s="5"/>
      <c r="CS1286" s="5"/>
      <c r="CT1286" s="5"/>
      <c r="CU1286" s="5"/>
      <c r="CV1286" s="5"/>
      <c r="CW1286" s="5"/>
      <c r="CX1286" s="5"/>
      <c r="CY1286" s="5"/>
      <c r="CZ1286" s="5"/>
      <c r="DA1286" s="5"/>
      <c r="DB1286" s="5"/>
      <c r="DC1286" s="5"/>
      <c r="DD1286" s="5"/>
      <c r="DE1286" s="5"/>
      <c r="DF1286" s="5"/>
      <c r="DG1286" s="5"/>
      <c r="DH1286" s="5"/>
      <c r="DI1286" s="5"/>
      <c r="DJ1286" s="5"/>
      <c r="DK1286" s="5"/>
      <c r="DL1286" s="5"/>
      <c r="DM1286" s="5"/>
      <c r="DN1286" s="5"/>
      <c r="DO1286" s="5"/>
      <c r="DP1286" s="5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  <c r="GV1286" s="1"/>
      <c r="GW1286" s="1"/>
      <c r="GX1286" s="1"/>
      <c r="GY1286" s="1"/>
      <c r="GZ1286" s="1"/>
      <c r="HA1286" s="1"/>
      <c r="HB1286" s="1"/>
      <c r="HC1286" s="1"/>
      <c r="HD1286" s="1"/>
      <c r="HE1286" s="1"/>
      <c r="HF1286" s="1"/>
      <c r="HG1286" s="1"/>
      <c r="HH1286" s="1"/>
      <c r="HI1286" s="1"/>
      <c r="HJ1286" s="1"/>
      <c r="HK1286" s="1"/>
      <c r="HL1286" s="1"/>
      <c r="HM1286" s="1"/>
      <c r="HN1286" s="1"/>
      <c r="HO1286" s="1"/>
      <c r="HP1286" s="1"/>
      <c r="HQ1286" s="1"/>
      <c r="HR1286" s="1"/>
      <c r="HS1286" s="1"/>
      <c r="HT1286" s="1"/>
      <c r="HU1286" s="1"/>
      <c r="HV1286" s="1"/>
      <c r="HW1286" s="1"/>
      <c r="HX1286" s="1"/>
      <c r="HY1286" s="1"/>
      <c r="HZ1286" s="1"/>
      <c r="IA1286" s="1"/>
      <c r="IB1286" s="1"/>
      <c r="IC1286" s="1"/>
      <c r="ID1286" s="1"/>
      <c r="IE1286" s="1"/>
      <c r="IF1286" s="1"/>
      <c r="IG1286" s="1"/>
      <c r="IH1286" s="1"/>
      <c r="II1286" s="1"/>
      <c r="IJ1286" s="1"/>
      <c r="IK1286" s="1"/>
      <c r="IL1286" s="1"/>
      <c r="IM1286" s="1"/>
      <c r="IN1286" s="1"/>
      <c r="IO1286" s="1"/>
      <c r="IP1286" s="1"/>
      <c r="IQ1286" s="1"/>
      <c r="IR1286" s="1"/>
      <c r="IS1286" s="1"/>
      <c r="IT1286" s="1"/>
      <c r="IU1286" s="1"/>
      <c r="IV1286" s="1"/>
      <c r="IW1286" s="1"/>
      <c r="IX1286" s="1"/>
      <c r="IY1286" s="1"/>
      <c r="IZ1286" s="1"/>
      <c r="JA1286" s="1"/>
      <c r="JB1286" s="1"/>
      <c r="JC1286" s="1"/>
      <c r="JD1286" s="1"/>
    </row>
    <row r="1287" s="504" customFormat="true" ht="12.75" hidden="true" customHeight="true" outlineLevel="0" collapsed="false">
      <c r="A1287" s="5"/>
      <c r="B1287" s="813" t="n">
        <f aca="false">B1286+1</f>
        <v>1072</v>
      </c>
      <c r="C1287" s="814" t="n">
        <f aca="false">C1286+D1287</f>
        <v>175270.859134216</v>
      </c>
      <c r="D1287" s="815" t="n">
        <f aca="false">E1287*$E$205*M1287</f>
        <v>248.337620910888</v>
      </c>
      <c r="E1287" s="601" t="n">
        <f aca="false">E1286+$C$204</f>
        <v>15.7494686016545</v>
      </c>
      <c r="F1287" s="816" t="n">
        <f aca="false">F1286+1</f>
        <v>1072</v>
      </c>
      <c r="G1287" s="775" t="n">
        <f aca="false">C1287</f>
        <v>175270.859134216</v>
      </c>
      <c r="H1287" s="817" t="n">
        <f aca="false">1000*(E1287-E1286)</f>
        <v>9.99999999999979</v>
      </c>
      <c r="I1287" s="5"/>
      <c r="J1287" s="818" t="n">
        <f aca="false">1000*(E1287-$E$215)/(B1287-$B$215)</f>
        <v>11.4681621535183</v>
      </c>
      <c r="K1287" s="732" t="n">
        <f aca="false">AVERAGE($E$216:E1287)</f>
        <v>10.3873790494158</v>
      </c>
      <c r="L1287" s="819" t="n">
        <f aca="false">L1286+1</f>
        <v>1072</v>
      </c>
      <c r="M1287" s="820" t="n">
        <f aca="false">IF(B1287&lt;$E$104,$E$105,$E$106)</f>
        <v>3</v>
      </c>
      <c r="N1287" s="821" t="n">
        <f aca="false">IF(B1287&lt;$E$104,$E$105,$E$111)</f>
        <v>2.5</v>
      </c>
      <c r="O1287" s="822" t="n">
        <f aca="false">E1287*$E$205*N1287</f>
        <v>206.94801742574</v>
      </c>
      <c r="P1287" s="823" t="n">
        <f aca="false">P1286+O1287</f>
        <v>146110.72987889</v>
      </c>
      <c r="Q1287" s="606" t="n">
        <f aca="false">Q1286+1</f>
        <v>1072</v>
      </c>
      <c r="R1287" s="824" t="n">
        <f aca="false">R1286-1</f>
        <v>-1072</v>
      </c>
      <c r="S1287" s="5"/>
      <c r="T1287" s="5"/>
      <c r="U1287" s="5"/>
      <c r="V1287" s="10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02"/>
      <c r="AU1287" s="502"/>
      <c r="AV1287" s="606"/>
      <c r="AW1287" s="502"/>
      <c r="AX1287" s="502"/>
      <c r="AY1287" s="502"/>
      <c r="AZ1287" s="502"/>
      <c r="BA1287" s="502"/>
      <c r="BB1287" s="502"/>
      <c r="BC1287" s="502"/>
      <c r="BD1287" s="502"/>
      <c r="BE1287" s="502"/>
      <c r="BF1287" s="502"/>
      <c r="BG1287" s="502"/>
      <c r="BH1287" s="502"/>
      <c r="BI1287" s="502"/>
      <c r="BJ1287" s="502"/>
      <c r="BK1287" s="502"/>
      <c r="BL1287" s="502"/>
      <c r="BM1287" s="502"/>
      <c r="BN1287" s="502"/>
      <c r="BO1287" s="502"/>
      <c r="BP1287" s="5"/>
      <c r="BQ1287" s="5"/>
      <c r="BR1287" s="5"/>
      <c r="BS1287" s="5"/>
      <c r="BT1287" s="5"/>
      <c r="BU1287" s="5"/>
      <c r="BV1287" s="5"/>
      <c r="BW1287" s="5"/>
      <c r="BX1287" s="5"/>
      <c r="BY1287" s="5"/>
      <c r="BZ1287" s="5"/>
      <c r="CA1287" s="5"/>
      <c r="CB1287" s="5"/>
      <c r="CC1287" s="5"/>
      <c r="CD1287" s="5"/>
      <c r="CE1287" s="5"/>
      <c r="CF1287" s="5"/>
      <c r="CG1287" s="5"/>
      <c r="CH1287" s="5"/>
      <c r="CI1287" s="5"/>
      <c r="CJ1287" s="5"/>
      <c r="CK1287" s="5"/>
      <c r="CL1287" s="5"/>
      <c r="CM1287" s="5"/>
      <c r="CN1287" s="5"/>
      <c r="CO1287" s="5"/>
      <c r="CP1287" s="5"/>
      <c r="CQ1287" s="5"/>
      <c r="CR1287" s="5"/>
      <c r="CS1287" s="5"/>
      <c r="CT1287" s="5"/>
      <c r="CU1287" s="5"/>
      <c r="CV1287" s="5"/>
      <c r="CW1287" s="5"/>
      <c r="CX1287" s="5"/>
      <c r="CY1287" s="5"/>
      <c r="CZ1287" s="5"/>
      <c r="DA1287" s="5"/>
      <c r="DB1287" s="5"/>
      <c r="DC1287" s="5"/>
      <c r="DD1287" s="5"/>
      <c r="DE1287" s="5"/>
      <c r="DF1287" s="5"/>
      <c r="DG1287" s="5"/>
      <c r="DH1287" s="5"/>
      <c r="DI1287" s="5"/>
      <c r="DJ1287" s="5"/>
      <c r="DK1287" s="5"/>
      <c r="DL1287" s="5"/>
      <c r="DM1287" s="5"/>
      <c r="DN1287" s="5"/>
      <c r="DO1287" s="5"/>
      <c r="DP1287" s="5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  <c r="GV1287" s="1"/>
      <c r="GW1287" s="1"/>
      <c r="GX1287" s="1"/>
      <c r="GY1287" s="1"/>
      <c r="GZ1287" s="1"/>
      <c r="HA1287" s="1"/>
      <c r="HB1287" s="1"/>
      <c r="HC1287" s="1"/>
      <c r="HD1287" s="1"/>
      <c r="HE1287" s="1"/>
      <c r="HF1287" s="1"/>
      <c r="HG1287" s="1"/>
      <c r="HH1287" s="1"/>
      <c r="HI1287" s="1"/>
      <c r="HJ1287" s="1"/>
      <c r="HK1287" s="1"/>
      <c r="HL1287" s="1"/>
      <c r="HM1287" s="1"/>
      <c r="HN1287" s="1"/>
      <c r="HO1287" s="1"/>
      <c r="HP1287" s="1"/>
      <c r="HQ1287" s="1"/>
      <c r="HR1287" s="1"/>
      <c r="HS1287" s="1"/>
      <c r="HT1287" s="1"/>
      <c r="HU1287" s="1"/>
      <c r="HV1287" s="1"/>
      <c r="HW1287" s="1"/>
      <c r="HX1287" s="1"/>
      <c r="HY1287" s="1"/>
      <c r="HZ1287" s="1"/>
      <c r="IA1287" s="1"/>
      <c r="IB1287" s="1"/>
      <c r="IC1287" s="1"/>
      <c r="ID1287" s="1"/>
      <c r="IE1287" s="1"/>
      <c r="IF1287" s="1"/>
      <c r="IG1287" s="1"/>
      <c r="IH1287" s="1"/>
      <c r="II1287" s="1"/>
      <c r="IJ1287" s="1"/>
      <c r="IK1287" s="1"/>
      <c r="IL1287" s="1"/>
      <c r="IM1287" s="1"/>
      <c r="IN1287" s="1"/>
      <c r="IO1287" s="1"/>
      <c r="IP1287" s="1"/>
      <c r="IQ1287" s="1"/>
      <c r="IR1287" s="1"/>
      <c r="IS1287" s="1"/>
      <c r="IT1287" s="1"/>
      <c r="IU1287" s="1"/>
      <c r="IV1287" s="1"/>
      <c r="IW1287" s="1"/>
      <c r="IX1287" s="1"/>
      <c r="IY1287" s="1"/>
      <c r="IZ1287" s="1"/>
      <c r="JA1287" s="1"/>
      <c r="JB1287" s="1"/>
      <c r="JC1287" s="1"/>
      <c r="JD1287" s="1"/>
    </row>
    <row r="1288" s="504" customFormat="true" ht="12.75" hidden="true" customHeight="true" outlineLevel="0" collapsed="false">
      <c r="A1288" s="5"/>
      <c r="B1288" s="813" t="n">
        <f aca="false">B1287+1</f>
        <v>1073</v>
      </c>
      <c r="C1288" s="814" t="n">
        <f aca="false">C1287+D1288</f>
        <v>175519.354435127</v>
      </c>
      <c r="D1288" s="815" t="n">
        <f aca="false">E1288*$E$205*M1288</f>
        <v>248.495300910888</v>
      </c>
      <c r="E1288" s="601" t="n">
        <f aca="false">E1287+$C$204</f>
        <v>15.7594686016545</v>
      </c>
      <c r="F1288" s="816" t="n">
        <f aca="false">F1287+1</f>
        <v>1073</v>
      </c>
      <c r="G1288" s="775" t="n">
        <f aca="false">C1288</f>
        <v>175519.354435127</v>
      </c>
      <c r="H1288" s="817" t="n">
        <f aca="false">1000*(E1288-E1287)</f>
        <v>9.99999999999979</v>
      </c>
      <c r="I1288" s="5"/>
      <c r="J1288" s="818" t="n">
        <f aca="false">1000*(E1288-$E$215)/(B1288-$B$215)</f>
        <v>11.4667938756492</v>
      </c>
      <c r="K1288" s="732" t="n">
        <f aca="false">AVERAGE($E$216:E1288)</f>
        <v>10.3923856566406</v>
      </c>
      <c r="L1288" s="819" t="n">
        <f aca="false">L1287+1</f>
        <v>1073</v>
      </c>
      <c r="M1288" s="820" t="n">
        <f aca="false">IF(B1288&lt;$E$104,$E$105,$E$106)</f>
        <v>3</v>
      </c>
      <c r="N1288" s="821" t="n">
        <f aca="false">IF(B1288&lt;$E$104,$E$105,$E$111)</f>
        <v>2.5</v>
      </c>
      <c r="O1288" s="822" t="n">
        <f aca="false">E1288*$E$205*N1288</f>
        <v>207.07941742574</v>
      </c>
      <c r="P1288" s="823" t="n">
        <f aca="false">P1287+O1288</f>
        <v>146317.809296316</v>
      </c>
      <c r="Q1288" s="606" t="n">
        <f aca="false">Q1287+1</f>
        <v>1073</v>
      </c>
      <c r="R1288" s="824" t="n">
        <f aca="false">R1287-1</f>
        <v>-1073</v>
      </c>
      <c r="S1288" s="5"/>
      <c r="T1288" s="5"/>
      <c r="U1288" s="5"/>
      <c r="V1288" s="10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02"/>
      <c r="AU1288" s="502"/>
      <c r="AV1288" s="606"/>
      <c r="AW1288" s="502"/>
      <c r="AX1288" s="502"/>
      <c r="AY1288" s="502"/>
      <c r="AZ1288" s="502"/>
      <c r="BA1288" s="502"/>
      <c r="BB1288" s="502"/>
      <c r="BC1288" s="502"/>
      <c r="BD1288" s="502"/>
      <c r="BE1288" s="502"/>
      <c r="BF1288" s="502"/>
      <c r="BG1288" s="502"/>
      <c r="BH1288" s="502"/>
      <c r="BI1288" s="502"/>
      <c r="BJ1288" s="502"/>
      <c r="BK1288" s="502"/>
      <c r="BL1288" s="502"/>
      <c r="BM1288" s="502"/>
      <c r="BN1288" s="502"/>
      <c r="BO1288" s="502"/>
      <c r="BP1288" s="5"/>
      <c r="BQ1288" s="5"/>
      <c r="BR1288" s="5"/>
      <c r="BS1288" s="5"/>
      <c r="BT1288" s="5"/>
      <c r="BU1288" s="5"/>
      <c r="BV1288" s="5"/>
      <c r="BW1288" s="5"/>
      <c r="BX1288" s="5"/>
      <c r="BY1288" s="5"/>
      <c r="BZ1288" s="5"/>
      <c r="CA1288" s="5"/>
      <c r="CB1288" s="5"/>
      <c r="CC1288" s="5"/>
      <c r="CD1288" s="5"/>
      <c r="CE1288" s="5"/>
      <c r="CF1288" s="5"/>
      <c r="CG1288" s="5"/>
      <c r="CH1288" s="5"/>
      <c r="CI1288" s="5"/>
      <c r="CJ1288" s="5"/>
      <c r="CK1288" s="5"/>
      <c r="CL1288" s="5"/>
      <c r="CM1288" s="5"/>
      <c r="CN1288" s="5"/>
      <c r="CO1288" s="5"/>
      <c r="CP1288" s="5"/>
      <c r="CQ1288" s="5"/>
      <c r="CR1288" s="5"/>
      <c r="CS1288" s="5"/>
      <c r="CT1288" s="5"/>
      <c r="CU1288" s="5"/>
      <c r="CV1288" s="5"/>
      <c r="CW1288" s="5"/>
      <c r="CX1288" s="5"/>
      <c r="CY1288" s="5"/>
      <c r="CZ1288" s="5"/>
      <c r="DA1288" s="5"/>
      <c r="DB1288" s="5"/>
      <c r="DC1288" s="5"/>
      <c r="DD1288" s="5"/>
      <c r="DE1288" s="5"/>
      <c r="DF1288" s="5"/>
      <c r="DG1288" s="5"/>
      <c r="DH1288" s="5"/>
      <c r="DI1288" s="5"/>
      <c r="DJ1288" s="5"/>
      <c r="DK1288" s="5"/>
      <c r="DL1288" s="5"/>
      <c r="DM1288" s="5"/>
      <c r="DN1288" s="5"/>
      <c r="DO1288" s="5"/>
      <c r="DP1288" s="5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  <c r="GV1288" s="1"/>
      <c r="GW1288" s="1"/>
      <c r="GX1288" s="1"/>
      <c r="GY1288" s="1"/>
      <c r="GZ1288" s="1"/>
      <c r="HA1288" s="1"/>
      <c r="HB1288" s="1"/>
      <c r="HC1288" s="1"/>
      <c r="HD1288" s="1"/>
      <c r="HE1288" s="1"/>
      <c r="HF1288" s="1"/>
      <c r="HG1288" s="1"/>
      <c r="HH1288" s="1"/>
      <c r="HI1288" s="1"/>
      <c r="HJ1288" s="1"/>
      <c r="HK1288" s="1"/>
      <c r="HL1288" s="1"/>
      <c r="HM1288" s="1"/>
      <c r="HN1288" s="1"/>
      <c r="HO1288" s="1"/>
      <c r="HP1288" s="1"/>
      <c r="HQ1288" s="1"/>
      <c r="HR1288" s="1"/>
      <c r="HS1288" s="1"/>
      <c r="HT1288" s="1"/>
      <c r="HU1288" s="1"/>
      <c r="HV1288" s="1"/>
      <c r="HW1288" s="1"/>
      <c r="HX1288" s="1"/>
      <c r="HY1288" s="1"/>
      <c r="HZ1288" s="1"/>
      <c r="IA1288" s="1"/>
      <c r="IB1288" s="1"/>
      <c r="IC1288" s="1"/>
      <c r="ID1288" s="1"/>
      <c r="IE1288" s="1"/>
      <c r="IF1288" s="1"/>
      <c r="IG1288" s="1"/>
      <c r="IH1288" s="1"/>
      <c r="II1288" s="1"/>
      <c r="IJ1288" s="1"/>
      <c r="IK1288" s="1"/>
      <c r="IL1288" s="1"/>
      <c r="IM1288" s="1"/>
      <c r="IN1288" s="1"/>
      <c r="IO1288" s="1"/>
      <c r="IP1288" s="1"/>
      <c r="IQ1288" s="1"/>
      <c r="IR1288" s="1"/>
      <c r="IS1288" s="1"/>
      <c r="IT1288" s="1"/>
      <c r="IU1288" s="1"/>
      <c r="IV1288" s="1"/>
      <c r="IW1288" s="1"/>
      <c r="IX1288" s="1"/>
      <c r="IY1288" s="1"/>
      <c r="IZ1288" s="1"/>
      <c r="JA1288" s="1"/>
      <c r="JB1288" s="1"/>
      <c r="JC1288" s="1"/>
      <c r="JD1288" s="1"/>
    </row>
    <row r="1289" s="504" customFormat="true" ht="12.75" hidden="true" customHeight="true" outlineLevel="0" collapsed="false">
      <c r="A1289" s="5"/>
      <c r="B1289" s="813" t="n">
        <f aca="false">B1288+1</f>
        <v>1074</v>
      </c>
      <c r="C1289" s="814" t="n">
        <f aca="false">C1288+D1289</f>
        <v>175768.007416038</v>
      </c>
      <c r="D1289" s="815" t="n">
        <f aca="false">E1289*$E$205*M1289</f>
        <v>248.652980910888</v>
      </c>
      <c r="E1289" s="601" t="n">
        <f aca="false">E1288+$C$204</f>
        <v>15.7694686016545</v>
      </c>
      <c r="F1289" s="816" t="n">
        <f aca="false">F1288+1</f>
        <v>1074</v>
      </c>
      <c r="G1289" s="775" t="n">
        <f aca="false">C1289</f>
        <v>175768.007416038</v>
      </c>
      <c r="H1289" s="817" t="n">
        <f aca="false">1000*(E1289-E1288)</f>
        <v>9.99999999999979</v>
      </c>
      <c r="I1289" s="5"/>
      <c r="J1289" s="818" t="n">
        <f aca="false">1000*(E1289-$E$215)/(B1289-$B$215)</f>
        <v>11.4654281457836</v>
      </c>
      <c r="K1289" s="732" t="n">
        <f aca="false">AVERAGE($E$216:E1289)</f>
        <v>10.3973922515615</v>
      </c>
      <c r="L1289" s="819" t="n">
        <f aca="false">L1288+1</f>
        <v>1074</v>
      </c>
      <c r="M1289" s="820" t="n">
        <f aca="false">IF(B1289&lt;$E$104,$E$105,$E$106)</f>
        <v>3</v>
      </c>
      <c r="N1289" s="821" t="n">
        <f aca="false">IF(B1289&lt;$E$104,$E$105,$E$111)</f>
        <v>2.5</v>
      </c>
      <c r="O1289" s="822" t="n">
        <f aca="false">E1289*$E$205*N1289</f>
        <v>207.21081742574</v>
      </c>
      <c r="P1289" s="823" t="n">
        <f aca="false">P1288+O1289</f>
        <v>146525.020113741</v>
      </c>
      <c r="Q1289" s="606" t="n">
        <f aca="false">Q1288+1</f>
        <v>1074</v>
      </c>
      <c r="R1289" s="824" t="n">
        <f aca="false">R1288-1</f>
        <v>-1074</v>
      </c>
      <c r="S1289" s="5"/>
      <c r="T1289" s="5"/>
      <c r="U1289" s="5"/>
      <c r="V1289" s="10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02"/>
      <c r="AU1289" s="502"/>
      <c r="AV1289" s="606"/>
      <c r="AW1289" s="502"/>
      <c r="AX1289" s="502"/>
      <c r="AY1289" s="502"/>
      <c r="AZ1289" s="502"/>
      <c r="BA1289" s="502"/>
      <c r="BB1289" s="502"/>
      <c r="BC1289" s="502"/>
      <c r="BD1289" s="502"/>
      <c r="BE1289" s="502"/>
      <c r="BF1289" s="502"/>
      <c r="BG1289" s="502"/>
      <c r="BH1289" s="502"/>
      <c r="BI1289" s="502"/>
      <c r="BJ1289" s="502"/>
      <c r="BK1289" s="502"/>
      <c r="BL1289" s="502"/>
      <c r="BM1289" s="502"/>
      <c r="BN1289" s="502"/>
      <c r="BO1289" s="502"/>
      <c r="BP1289" s="5"/>
      <c r="BQ1289" s="5"/>
      <c r="BR1289" s="5"/>
      <c r="BS1289" s="5"/>
      <c r="BT1289" s="5"/>
      <c r="BU1289" s="5"/>
      <c r="BV1289" s="5"/>
      <c r="BW1289" s="5"/>
      <c r="BX1289" s="5"/>
      <c r="BY1289" s="5"/>
      <c r="BZ1289" s="5"/>
      <c r="CA1289" s="5"/>
      <c r="CB1289" s="5"/>
      <c r="CC1289" s="5"/>
      <c r="CD1289" s="5"/>
      <c r="CE1289" s="5"/>
      <c r="CF1289" s="5"/>
      <c r="CG1289" s="5"/>
      <c r="CH1289" s="5"/>
      <c r="CI1289" s="5"/>
      <c r="CJ1289" s="5"/>
      <c r="CK1289" s="5"/>
      <c r="CL1289" s="5"/>
      <c r="CM1289" s="5"/>
      <c r="CN1289" s="5"/>
      <c r="CO1289" s="5"/>
      <c r="CP1289" s="5"/>
      <c r="CQ1289" s="5"/>
      <c r="CR1289" s="5"/>
      <c r="CS1289" s="5"/>
      <c r="CT1289" s="5"/>
      <c r="CU1289" s="5"/>
      <c r="CV1289" s="5"/>
      <c r="CW1289" s="5"/>
      <c r="CX1289" s="5"/>
      <c r="CY1289" s="5"/>
      <c r="CZ1289" s="5"/>
      <c r="DA1289" s="5"/>
      <c r="DB1289" s="5"/>
      <c r="DC1289" s="5"/>
      <c r="DD1289" s="5"/>
      <c r="DE1289" s="5"/>
      <c r="DF1289" s="5"/>
      <c r="DG1289" s="5"/>
      <c r="DH1289" s="5"/>
      <c r="DI1289" s="5"/>
      <c r="DJ1289" s="5"/>
      <c r="DK1289" s="5"/>
      <c r="DL1289" s="5"/>
      <c r="DM1289" s="5"/>
      <c r="DN1289" s="5"/>
      <c r="DO1289" s="5"/>
      <c r="DP1289" s="5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  <c r="GV1289" s="1"/>
      <c r="GW1289" s="1"/>
      <c r="GX1289" s="1"/>
      <c r="GY1289" s="1"/>
      <c r="GZ1289" s="1"/>
      <c r="HA1289" s="1"/>
      <c r="HB1289" s="1"/>
      <c r="HC1289" s="1"/>
      <c r="HD1289" s="1"/>
      <c r="HE1289" s="1"/>
      <c r="HF1289" s="1"/>
      <c r="HG1289" s="1"/>
      <c r="HH1289" s="1"/>
      <c r="HI1289" s="1"/>
      <c r="HJ1289" s="1"/>
      <c r="HK1289" s="1"/>
      <c r="HL1289" s="1"/>
      <c r="HM1289" s="1"/>
      <c r="HN1289" s="1"/>
      <c r="HO1289" s="1"/>
      <c r="HP1289" s="1"/>
      <c r="HQ1289" s="1"/>
      <c r="HR1289" s="1"/>
      <c r="HS1289" s="1"/>
      <c r="HT1289" s="1"/>
      <c r="HU1289" s="1"/>
      <c r="HV1289" s="1"/>
      <c r="HW1289" s="1"/>
      <c r="HX1289" s="1"/>
      <c r="HY1289" s="1"/>
      <c r="HZ1289" s="1"/>
      <c r="IA1289" s="1"/>
      <c r="IB1289" s="1"/>
      <c r="IC1289" s="1"/>
      <c r="ID1289" s="1"/>
      <c r="IE1289" s="1"/>
      <c r="IF1289" s="1"/>
      <c r="IG1289" s="1"/>
      <c r="IH1289" s="1"/>
      <c r="II1289" s="1"/>
      <c r="IJ1289" s="1"/>
      <c r="IK1289" s="1"/>
      <c r="IL1289" s="1"/>
      <c r="IM1289" s="1"/>
      <c r="IN1289" s="1"/>
      <c r="IO1289" s="1"/>
      <c r="IP1289" s="1"/>
      <c r="IQ1289" s="1"/>
      <c r="IR1289" s="1"/>
      <c r="IS1289" s="1"/>
      <c r="IT1289" s="1"/>
      <c r="IU1289" s="1"/>
      <c r="IV1289" s="1"/>
      <c r="IW1289" s="1"/>
      <c r="IX1289" s="1"/>
      <c r="IY1289" s="1"/>
      <c r="IZ1289" s="1"/>
      <c r="JA1289" s="1"/>
      <c r="JB1289" s="1"/>
      <c r="JC1289" s="1"/>
      <c r="JD1289" s="1"/>
    </row>
    <row r="1290" s="504" customFormat="true" ht="12.75" hidden="true" customHeight="true" outlineLevel="0" collapsed="false">
      <c r="A1290" s="5"/>
      <c r="B1290" s="813" t="n">
        <f aca="false">B1289+1</f>
        <v>1075</v>
      </c>
      <c r="C1290" s="814" t="n">
        <f aca="false">C1289+D1290</f>
        <v>176016.818076949</v>
      </c>
      <c r="D1290" s="815" t="n">
        <f aca="false">E1290*$E$205*M1290</f>
        <v>248.810660910887</v>
      </c>
      <c r="E1290" s="601" t="n">
        <f aca="false">E1289+$C$204</f>
        <v>15.7794686016545</v>
      </c>
      <c r="F1290" s="816" t="n">
        <f aca="false">F1289+1</f>
        <v>1075</v>
      </c>
      <c r="G1290" s="775" t="n">
        <f aca="false">C1290</f>
        <v>176016.818076949</v>
      </c>
      <c r="H1290" s="817" t="n">
        <f aca="false">1000*(E1290-E1289)</f>
        <v>9.99999999999979</v>
      </c>
      <c r="I1290" s="5"/>
      <c r="J1290" s="818" t="n">
        <f aca="false">1000*(E1290-$E$215)/(B1290-$B$215)</f>
        <v>11.4640649568108</v>
      </c>
      <c r="K1290" s="732" t="n">
        <f aca="false">AVERAGE($E$216:E1290)</f>
        <v>10.4023988342127</v>
      </c>
      <c r="L1290" s="819" t="n">
        <f aca="false">L1289+1</f>
        <v>1075</v>
      </c>
      <c r="M1290" s="820" t="n">
        <f aca="false">IF(B1290&lt;$E$104,$E$105,$E$106)</f>
        <v>3</v>
      </c>
      <c r="N1290" s="821" t="n">
        <f aca="false">IF(B1290&lt;$E$104,$E$105,$E$111)</f>
        <v>2.5</v>
      </c>
      <c r="O1290" s="822" t="n">
        <f aca="false">E1290*$E$205*N1290</f>
        <v>207.34221742574</v>
      </c>
      <c r="P1290" s="823" t="n">
        <f aca="false">P1289+O1290</f>
        <v>146732.362331167</v>
      </c>
      <c r="Q1290" s="606" t="n">
        <f aca="false">Q1289+1</f>
        <v>1075</v>
      </c>
      <c r="R1290" s="824" t="n">
        <f aca="false">R1289-1</f>
        <v>-1075</v>
      </c>
      <c r="S1290" s="5"/>
      <c r="T1290" s="5"/>
      <c r="U1290" s="5"/>
      <c r="V1290" s="10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02"/>
      <c r="AU1290" s="502"/>
      <c r="AV1290" s="606"/>
      <c r="AW1290" s="502"/>
      <c r="AX1290" s="502"/>
      <c r="AY1290" s="502"/>
      <c r="AZ1290" s="502"/>
      <c r="BA1290" s="502"/>
      <c r="BB1290" s="502"/>
      <c r="BC1290" s="502"/>
      <c r="BD1290" s="502"/>
      <c r="BE1290" s="502"/>
      <c r="BF1290" s="502"/>
      <c r="BG1290" s="502"/>
      <c r="BH1290" s="502"/>
      <c r="BI1290" s="502"/>
      <c r="BJ1290" s="502"/>
      <c r="BK1290" s="502"/>
      <c r="BL1290" s="502"/>
      <c r="BM1290" s="502"/>
      <c r="BN1290" s="502"/>
      <c r="BO1290" s="502"/>
      <c r="BP1290" s="5"/>
      <c r="BQ1290" s="5"/>
      <c r="BR1290" s="5"/>
      <c r="BS1290" s="5"/>
      <c r="BT1290" s="5"/>
      <c r="BU1290" s="5"/>
      <c r="BV1290" s="5"/>
      <c r="BW1290" s="5"/>
      <c r="BX1290" s="5"/>
      <c r="BY1290" s="5"/>
      <c r="BZ1290" s="5"/>
      <c r="CA1290" s="5"/>
      <c r="CB1290" s="5"/>
      <c r="CC1290" s="5"/>
      <c r="CD1290" s="5"/>
      <c r="CE1290" s="5"/>
      <c r="CF1290" s="5"/>
      <c r="CG1290" s="5"/>
      <c r="CH1290" s="5"/>
      <c r="CI1290" s="5"/>
      <c r="CJ1290" s="5"/>
      <c r="CK1290" s="5"/>
      <c r="CL1290" s="5"/>
      <c r="CM1290" s="5"/>
      <c r="CN1290" s="5"/>
      <c r="CO1290" s="5"/>
      <c r="CP1290" s="5"/>
      <c r="CQ1290" s="5"/>
      <c r="CR1290" s="5"/>
      <c r="CS1290" s="5"/>
      <c r="CT1290" s="5"/>
      <c r="CU1290" s="5"/>
      <c r="CV1290" s="5"/>
      <c r="CW1290" s="5"/>
      <c r="CX1290" s="5"/>
      <c r="CY1290" s="5"/>
      <c r="CZ1290" s="5"/>
      <c r="DA1290" s="5"/>
      <c r="DB1290" s="5"/>
      <c r="DC1290" s="5"/>
      <c r="DD1290" s="5"/>
      <c r="DE1290" s="5"/>
      <c r="DF1290" s="5"/>
      <c r="DG1290" s="5"/>
      <c r="DH1290" s="5"/>
      <c r="DI1290" s="5"/>
      <c r="DJ1290" s="5"/>
      <c r="DK1290" s="5"/>
      <c r="DL1290" s="5"/>
      <c r="DM1290" s="5"/>
      <c r="DN1290" s="5"/>
      <c r="DO1290" s="5"/>
      <c r="DP1290" s="5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  <c r="GV1290" s="1"/>
      <c r="GW1290" s="1"/>
      <c r="GX1290" s="1"/>
      <c r="GY1290" s="1"/>
      <c r="GZ1290" s="1"/>
      <c r="HA1290" s="1"/>
      <c r="HB1290" s="1"/>
      <c r="HC1290" s="1"/>
      <c r="HD1290" s="1"/>
      <c r="HE1290" s="1"/>
      <c r="HF1290" s="1"/>
      <c r="HG1290" s="1"/>
      <c r="HH1290" s="1"/>
      <c r="HI1290" s="1"/>
      <c r="HJ1290" s="1"/>
      <c r="HK1290" s="1"/>
      <c r="HL1290" s="1"/>
      <c r="HM1290" s="1"/>
      <c r="HN1290" s="1"/>
      <c r="HO1290" s="1"/>
      <c r="HP1290" s="1"/>
      <c r="HQ1290" s="1"/>
      <c r="HR1290" s="1"/>
      <c r="HS1290" s="1"/>
      <c r="HT1290" s="1"/>
      <c r="HU1290" s="1"/>
      <c r="HV1290" s="1"/>
      <c r="HW1290" s="1"/>
      <c r="HX1290" s="1"/>
      <c r="HY1290" s="1"/>
      <c r="HZ1290" s="1"/>
      <c r="IA1290" s="1"/>
      <c r="IB1290" s="1"/>
      <c r="IC1290" s="1"/>
      <c r="ID1290" s="1"/>
      <c r="IE1290" s="1"/>
      <c r="IF1290" s="1"/>
      <c r="IG1290" s="1"/>
      <c r="IH1290" s="1"/>
      <c r="II1290" s="1"/>
      <c r="IJ1290" s="1"/>
      <c r="IK1290" s="1"/>
      <c r="IL1290" s="1"/>
      <c r="IM1290" s="1"/>
      <c r="IN1290" s="1"/>
      <c r="IO1290" s="1"/>
      <c r="IP1290" s="1"/>
      <c r="IQ1290" s="1"/>
      <c r="IR1290" s="1"/>
      <c r="IS1290" s="1"/>
      <c r="IT1290" s="1"/>
      <c r="IU1290" s="1"/>
      <c r="IV1290" s="1"/>
      <c r="IW1290" s="1"/>
      <c r="IX1290" s="1"/>
      <c r="IY1290" s="1"/>
      <c r="IZ1290" s="1"/>
      <c r="JA1290" s="1"/>
      <c r="JB1290" s="1"/>
      <c r="JC1290" s="1"/>
      <c r="JD1290" s="1"/>
    </row>
    <row r="1291" s="504" customFormat="true" ht="12.75" hidden="true" customHeight="true" outlineLevel="0" collapsed="false">
      <c r="A1291" s="5"/>
      <c r="B1291" s="813" t="n">
        <f aca="false">B1290+1</f>
        <v>1076</v>
      </c>
      <c r="C1291" s="814" t="n">
        <f aca="false">C1290+D1291</f>
        <v>176265.78641786</v>
      </c>
      <c r="D1291" s="815" t="n">
        <f aca="false">E1291*$E$205*M1291</f>
        <v>248.968340910888</v>
      </c>
      <c r="E1291" s="601" t="n">
        <f aca="false">E1290+$C$204</f>
        <v>15.7894686016545</v>
      </c>
      <c r="F1291" s="816" t="n">
        <f aca="false">F1290+1</f>
        <v>1076</v>
      </c>
      <c r="G1291" s="775" t="n">
        <f aca="false">C1291</f>
        <v>176265.78641786</v>
      </c>
      <c r="H1291" s="817" t="n">
        <f aca="false">1000*(E1291-E1290)</f>
        <v>9.99999999999979</v>
      </c>
      <c r="I1291" s="5"/>
      <c r="J1291" s="818" t="n">
        <f aca="false">1000*(E1291-$E$215)/(B1291-$B$215)</f>
        <v>11.4627043016465</v>
      </c>
      <c r="K1291" s="732" t="n">
        <f aca="false">AVERAGE($E$216:E1291)</f>
        <v>10.4074054046286</v>
      </c>
      <c r="L1291" s="819" t="n">
        <f aca="false">L1290+1</f>
        <v>1076</v>
      </c>
      <c r="M1291" s="820" t="n">
        <f aca="false">IF(B1291&lt;$E$104,$E$105,$E$106)</f>
        <v>3</v>
      </c>
      <c r="N1291" s="821" t="n">
        <f aca="false">IF(B1291&lt;$E$104,$E$105,$E$111)</f>
        <v>2.5</v>
      </c>
      <c r="O1291" s="822" t="n">
        <f aca="false">E1291*$E$205*N1291</f>
        <v>207.47361742574</v>
      </c>
      <c r="P1291" s="823" t="n">
        <f aca="false">P1290+O1291</f>
        <v>146939.835948593</v>
      </c>
      <c r="Q1291" s="606" t="n">
        <f aca="false">Q1290+1</f>
        <v>1076</v>
      </c>
      <c r="R1291" s="824" t="n">
        <f aca="false">R1290-1</f>
        <v>-1076</v>
      </c>
      <c r="S1291" s="5"/>
      <c r="T1291" s="5"/>
      <c r="U1291" s="5"/>
      <c r="V1291" s="10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02"/>
      <c r="AU1291" s="502"/>
      <c r="AV1291" s="606"/>
      <c r="AW1291" s="502"/>
      <c r="AX1291" s="502"/>
      <c r="AY1291" s="502"/>
      <c r="AZ1291" s="502"/>
      <c r="BA1291" s="502"/>
      <c r="BB1291" s="502"/>
      <c r="BC1291" s="502"/>
      <c r="BD1291" s="502"/>
      <c r="BE1291" s="502"/>
      <c r="BF1291" s="502"/>
      <c r="BG1291" s="502"/>
      <c r="BH1291" s="502"/>
      <c r="BI1291" s="502"/>
      <c r="BJ1291" s="502"/>
      <c r="BK1291" s="502"/>
      <c r="BL1291" s="502"/>
      <c r="BM1291" s="502"/>
      <c r="BN1291" s="502"/>
      <c r="BO1291" s="502"/>
      <c r="BP1291" s="5"/>
      <c r="BQ1291" s="5"/>
      <c r="BR1291" s="5"/>
      <c r="BS1291" s="5"/>
      <c r="BT1291" s="5"/>
      <c r="BU1291" s="5"/>
      <c r="BV1291" s="5"/>
      <c r="BW1291" s="5"/>
      <c r="BX1291" s="5"/>
      <c r="BY1291" s="5"/>
      <c r="BZ1291" s="5"/>
      <c r="CA1291" s="5"/>
      <c r="CB1291" s="5"/>
      <c r="CC1291" s="5"/>
      <c r="CD1291" s="5"/>
      <c r="CE1291" s="5"/>
      <c r="CF1291" s="5"/>
      <c r="CG1291" s="5"/>
      <c r="CH1291" s="5"/>
      <c r="CI1291" s="5"/>
      <c r="CJ1291" s="5"/>
      <c r="CK1291" s="5"/>
      <c r="CL1291" s="5"/>
      <c r="CM1291" s="5"/>
      <c r="CN1291" s="5"/>
      <c r="CO1291" s="5"/>
      <c r="CP1291" s="5"/>
      <c r="CQ1291" s="5"/>
      <c r="CR1291" s="5"/>
      <c r="CS1291" s="5"/>
      <c r="CT1291" s="5"/>
      <c r="CU1291" s="5"/>
      <c r="CV1291" s="5"/>
      <c r="CW1291" s="5"/>
      <c r="CX1291" s="5"/>
      <c r="CY1291" s="5"/>
      <c r="CZ1291" s="5"/>
      <c r="DA1291" s="5"/>
      <c r="DB1291" s="5"/>
      <c r="DC1291" s="5"/>
      <c r="DD1291" s="5"/>
      <c r="DE1291" s="5"/>
      <c r="DF1291" s="5"/>
      <c r="DG1291" s="5"/>
      <c r="DH1291" s="5"/>
      <c r="DI1291" s="5"/>
      <c r="DJ1291" s="5"/>
      <c r="DK1291" s="5"/>
      <c r="DL1291" s="5"/>
      <c r="DM1291" s="5"/>
      <c r="DN1291" s="5"/>
      <c r="DO1291" s="5"/>
      <c r="DP1291" s="5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  <c r="GV1291" s="1"/>
      <c r="GW1291" s="1"/>
      <c r="GX1291" s="1"/>
      <c r="GY1291" s="1"/>
      <c r="GZ1291" s="1"/>
      <c r="HA1291" s="1"/>
      <c r="HB1291" s="1"/>
      <c r="HC1291" s="1"/>
      <c r="HD1291" s="1"/>
      <c r="HE1291" s="1"/>
      <c r="HF1291" s="1"/>
      <c r="HG1291" s="1"/>
      <c r="HH1291" s="1"/>
      <c r="HI1291" s="1"/>
      <c r="HJ1291" s="1"/>
      <c r="HK1291" s="1"/>
      <c r="HL1291" s="1"/>
      <c r="HM1291" s="1"/>
      <c r="HN1291" s="1"/>
      <c r="HO1291" s="1"/>
      <c r="HP1291" s="1"/>
      <c r="HQ1291" s="1"/>
      <c r="HR1291" s="1"/>
      <c r="HS1291" s="1"/>
      <c r="HT1291" s="1"/>
      <c r="HU1291" s="1"/>
      <c r="HV1291" s="1"/>
      <c r="HW1291" s="1"/>
      <c r="HX1291" s="1"/>
      <c r="HY1291" s="1"/>
      <c r="HZ1291" s="1"/>
      <c r="IA1291" s="1"/>
      <c r="IB1291" s="1"/>
      <c r="IC1291" s="1"/>
      <c r="ID1291" s="1"/>
      <c r="IE1291" s="1"/>
      <c r="IF1291" s="1"/>
      <c r="IG1291" s="1"/>
      <c r="IH1291" s="1"/>
      <c r="II1291" s="1"/>
      <c r="IJ1291" s="1"/>
      <c r="IK1291" s="1"/>
      <c r="IL1291" s="1"/>
      <c r="IM1291" s="1"/>
      <c r="IN1291" s="1"/>
      <c r="IO1291" s="1"/>
      <c r="IP1291" s="1"/>
      <c r="IQ1291" s="1"/>
      <c r="IR1291" s="1"/>
      <c r="IS1291" s="1"/>
      <c r="IT1291" s="1"/>
      <c r="IU1291" s="1"/>
      <c r="IV1291" s="1"/>
      <c r="IW1291" s="1"/>
      <c r="IX1291" s="1"/>
      <c r="IY1291" s="1"/>
      <c r="IZ1291" s="1"/>
      <c r="JA1291" s="1"/>
      <c r="JB1291" s="1"/>
      <c r="JC1291" s="1"/>
      <c r="JD1291" s="1"/>
    </row>
    <row r="1292" s="504" customFormat="true" ht="12.75" hidden="true" customHeight="true" outlineLevel="0" collapsed="false">
      <c r="A1292" s="5"/>
      <c r="B1292" s="813" t="n">
        <f aca="false">B1291+1</f>
        <v>1077</v>
      </c>
      <c r="C1292" s="814" t="n">
        <f aca="false">C1291+D1292</f>
        <v>176514.912438771</v>
      </c>
      <c r="D1292" s="815" t="n">
        <f aca="false">E1292*$E$205*M1292</f>
        <v>249.126020910888</v>
      </c>
      <c r="E1292" s="601" t="n">
        <f aca="false">E1291+$C$204</f>
        <v>15.7994686016545</v>
      </c>
      <c r="F1292" s="816" t="n">
        <f aca="false">F1291+1</f>
        <v>1077</v>
      </c>
      <c r="G1292" s="775" t="n">
        <f aca="false">C1292</f>
        <v>176514.912438771</v>
      </c>
      <c r="H1292" s="817" t="n">
        <f aca="false">1000*(E1292-E1291)</f>
        <v>9.99999999999979</v>
      </c>
      <c r="I1292" s="5"/>
      <c r="J1292" s="818" t="n">
        <f aca="false">1000*(E1292-$E$215)/(B1292-$B$215)</f>
        <v>11.4613461732327</v>
      </c>
      <c r="K1292" s="732" t="n">
        <f aca="false">AVERAGE($E$216:E1292)</f>
        <v>10.4124119628431</v>
      </c>
      <c r="L1292" s="819" t="n">
        <f aca="false">L1291+1</f>
        <v>1077</v>
      </c>
      <c r="M1292" s="820" t="n">
        <f aca="false">IF(B1292&lt;$E$104,$E$105,$E$106)</f>
        <v>3</v>
      </c>
      <c r="N1292" s="821" t="n">
        <f aca="false">IF(B1292&lt;$E$104,$E$105,$E$111)</f>
        <v>2.5</v>
      </c>
      <c r="O1292" s="822" t="n">
        <f aca="false">E1292*$E$205*N1292</f>
        <v>207.60501742574</v>
      </c>
      <c r="P1292" s="823" t="n">
        <f aca="false">P1291+O1292</f>
        <v>147147.440966018</v>
      </c>
      <c r="Q1292" s="606" t="n">
        <f aca="false">Q1291+1</f>
        <v>1077</v>
      </c>
      <c r="R1292" s="824" t="n">
        <f aca="false">R1291-1</f>
        <v>-1077</v>
      </c>
      <c r="S1292" s="5"/>
      <c r="T1292" s="5"/>
      <c r="U1292" s="5"/>
      <c r="V1292" s="10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02"/>
      <c r="AU1292" s="502"/>
      <c r="AV1292" s="606"/>
      <c r="AW1292" s="502"/>
      <c r="AX1292" s="502"/>
      <c r="AY1292" s="502"/>
      <c r="AZ1292" s="502"/>
      <c r="BA1292" s="502"/>
      <c r="BB1292" s="502"/>
      <c r="BC1292" s="502"/>
      <c r="BD1292" s="502"/>
      <c r="BE1292" s="502"/>
      <c r="BF1292" s="502"/>
      <c r="BG1292" s="502"/>
      <c r="BH1292" s="502"/>
      <c r="BI1292" s="502"/>
      <c r="BJ1292" s="502"/>
      <c r="BK1292" s="502"/>
      <c r="BL1292" s="502"/>
      <c r="BM1292" s="502"/>
      <c r="BN1292" s="502"/>
      <c r="BO1292" s="502"/>
      <c r="BP1292" s="5"/>
      <c r="BQ1292" s="5"/>
      <c r="BR1292" s="5"/>
      <c r="BS1292" s="5"/>
      <c r="BT1292" s="5"/>
      <c r="BU1292" s="5"/>
      <c r="BV1292" s="5"/>
      <c r="BW1292" s="5"/>
      <c r="BX1292" s="5"/>
      <c r="BY1292" s="5"/>
      <c r="BZ1292" s="5"/>
      <c r="CA1292" s="5"/>
      <c r="CB1292" s="5"/>
      <c r="CC1292" s="5"/>
      <c r="CD1292" s="5"/>
      <c r="CE1292" s="5"/>
      <c r="CF1292" s="5"/>
      <c r="CG1292" s="5"/>
      <c r="CH1292" s="5"/>
      <c r="CI1292" s="5"/>
      <c r="CJ1292" s="5"/>
      <c r="CK1292" s="5"/>
      <c r="CL1292" s="5"/>
      <c r="CM1292" s="5"/>
      <c r="CN1292" s="5"/>
      <c r="CO1292" s="5"/>
      <c r="CP1292" s="5"/>
      <c r="CQ1292" s="5"/>
      <c r="CR1292" s="5"/>
      <c r="CS1292" s="5"/>
      <c r="CT1292" s="5"/>
      <c r="CU1292" s="5"/>
      <c r="CV1292" s="5"/>
      <c r="CW1292" s="5"/>
      <c r="CX1292" s="5"/>
      <c r="CY1292" s="5"/>
      <c r="CZ1292" s="5"/>
      <c r="DA1292" s="5"/>
      <c r="DB1292" s="5"/>
      <c r="DC1292" s="5"/>
      <c r="DD1292" s="5"/>
      <c r="DE1292" s="5"/>
      <c r="DF1292" s="5"/>
      <c r="DG1292" s="5"/>
      <c r="DH1292" s="5"/>
      <c r="DI1292" s="5"/>
      <c r="DJ1292" s="5"/>
      <c r="DK1292" s="5"/>
      <c r="DL1292" s="5"/>
      <c r="DM1292" s="5"/>
      <c r="DN1292" s="5"/>
      <c r="DO1292" s="5"/>
      <c r="DP1292" s="5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  <c r="GV1292" s="1"/>
      <c r="GW1292" s="1"/>
      <c r="GX1292" s="1"/>
      <c r="GY1292" s="1"/>
      <c r="GZ1292" s="1"/>
      <c r="HA1292" s="1"/>
      <c r="HB1292" s="1"/>
      <c r="HC1292" s="1"/>
      <c r="HD1292" s="1"/>
      <c r="HE1292" s="1"/>
      <c r="HF1292" s="1"/>
      <c r="HG1292" s="1"/>
      <c r="HH1292" s="1"/>
      <c r="HI1292" s="1"/>
      <c r="HJ1292" s="1"/>
      <c r="HK1292" s="1"/>
      <c r="HL1292" s="1"/>
      <c r="HM1292" s="1"/>
      <c r="HN1292" s="1"/>
      <c r="HO1292" s="1"/>
      <c r="HP1292" s="1"/>
      <c r="HQ1292" s="1"/>
      <c r="HR1292" s="1"/>
      <c r="HS1292" s="1"/>
      <c r="HT1292" s="1"/>
      <c r="HU1292" s="1"/>
      <c r="HV1292" s="1"/>
      <c r="HW1292" s="1"/>
      <c r="HX1292" s="1"/>
      <c r="HY1292" s="1"/>
      <c r="HZ1292" s="1"/>
      <c r="IA1292" s="1"/>
      <c r="IB1292" s="1"/>
      <c r="IC1292" s="1"/>
      <c r="ID1292" s="1"/>
      <c r="IE1292" s="1"/>
      <c r="IF1292" s="1"/>
      <c r="IG1292" s="1"/>
      <c r="IH1292" s="1"/>
      <c r="II1292" s="1"/>
      <c r="IJ1292" s="1"/>
      <c r="IK1292" s="1"/>
      <c r="IL1292" s="1"/>
      <c r="IM1292" s="1"/>
      <c r="IN1292" s="1"/>
      <c r="IO1292" s="1"/>
      <c r="IP1292" s="1"/>
      <c r="IQ1292" s="1"/>
      <c r="IR1292" s="1"/>
      <c r="IS1292" s="1"/>
      <c r="IT1292" s="1"/>
      <c r="IU1292" s="1"/>
      <c r="IV1292" s="1"/>
      <c r="IW1292" s="1"/>
      <c r="IX1292" s="1"/>
      <c r="IY1292" s="1"/>
      <c r="IZ1292" s="1"/>
      <c r="JA1292" s="1"/>
      <c r="JB1292" s="1"/>
      <c r="JC1292" s="1"/>
      <c r="JD1292" s="1"/>
    </row>
    <row r="1293" s="504" customFormat="true" ht="12.75" hidden="true" customHeight="true" outlineLevel="0" collapsed="false">
      <c r="A1293" s="5"/>
      <c r="B1293" s="813" t="n">
        <f aca="false">B1292+1</f>
        <v>1078</v>
      </c>
      <c r="C1293" s="814" t="n">
        <f aca="false">C1292+D1293</f>
        <v>176764.196139682</v>
      </c>
      <c r="D1293" s="815" t="n">
        <f aca="false">E1293*$E$205*M1293</f>
        <v>249.283700910888</v>
      </c>
      <c r="E1293" s="601" t="n">
        <f aca="false">E1292+$C$204</f>
        <v>15.8094686016545</v>
      </c>
      <c r="F1293" s="816" t="n">
        <f aca="false">F1292+1</f>
        <v>1078</v>
      </c>
      <c r="G1293" s="775" t="n">
        <f aca="false">C1293</f>
        <v>176764.196139682</v>
      </c>
      <c r="H1293" s="817" t="n">
        <f aca="false">1000*(E1293-E1292)</f>
        <v>9.99999999999979</v>
      </c>
      <c r="I1293" s="5"/>
      <c r="J1293" s="818" t="n">
        <f aca="false">1000*(E1293-$E$215)/(B1293-$B$215)</f>
        <v>11.4599905645377</v>
      </c>
      <c r="K1293" s="732" t="n">
        <f aca="false">AVERAGE($E$216:E1293)</f>
        <v>10.4174185088902</v>
      </c>
      <c r="L1293" s="819" t="n">
        <f aca="false">L1292+1</f>
        <v>1078</v>
      </c>
      <c r="M1293" s="820" t="n">
        <f aca="false">IF(B1293&lt;$E$104,$E$105,$E$106)</f>
        <v>3</v>
      </c>
      <c r="N1293" s="821" t="n">
        <f aca="false">IF(B1293&lt;$E$104,$E$105,$E$111)</f>
        <v>2.5</v>
      </c>
      <c r="O1293" s="822" t="n">
        <f aca="false">E1293*$E$205*N1293</f>
        <v>207.73641742574</v>
      </c>
      <c r="P1293" s="823" t="n">
        <f aca="false">P1292+O1293</f>
        <v>147355.177383444</v>
      </c>
      <c r="Q1293" s="606" t="n">
        <f aca="false">Q1292+1</f>
        <v>1078</v>
      </c>
      <c r="R1293" s="824" t="n">
        <f aca="false">R1292-1</f>
        <v>-1078</v>
      </c>
      <c r="S1293" s="5"/>
      <c r="T1293" s="5"/>
      <c r="U1293" s="5"/>
      <c r="V1293" s="10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02"/>
      <c r="AU1293" s="502"/>
      <c r="AV1293" s="606"/>
      <c r="AW1293" s="502"/>
      <c r="AX1293" s="502"/>
      <c r="AY1293" s="502"/>
      <c r="AZ1293" s="502"/>
      <c r="BA1293" s="502"/>
      <c r="BB1293" s="502"/>
      <c r="BC1293" s="502"/>
      <c r="BD1293" s="502"/>
      <c r="BE1293" s="502"/>
      <c r="BF1293" s="502"/>
      <c r="BG1293" s="502"/>
      <c r="BH1293" s="502"/>
      <c r="BI1293" s="502"/>
      <c r="BJ1293" s="502"/>
      <c r="BK1293" s="502"/>
      <c r="BL1293" s="502"/>
      <c r="BM1293" s="502"/>
      <c r="BN1293" s="502"/>
      <c r="BO1293" s="502"/>
      <c r="BP1293" s="5"/>
      <c r="BQ1293" s="5"/>
      <c r="BR1293" s="5"/>
      <c r="BS1293" s="5"/>
      <c r="BT1293" s="5"/>
      <c r="BU1293" s="5"/>
      <c r="BV1293" s="5"/>
      <c r="BW1293" s="5"/>
      <c r="BX1293" s="5"/>
      <c r="BY1293" s="5"/>
      <c r="BZ1293" s="5"/>
      <c r="CA1293" s="5"/>
      <c r="CB1293" s="5"/>
      <c r="CC1293" s="5"/>
      <c r="CD1293" s="5"/>
      <c r="CE1293" s="5"/>
      <c r="CF1293" s="5"/>
      <c r="CG1293" s="5"/>
      <c r="CH1293" s="5"/>
      <c r="CI1293" s="5"/>
      <c r="CJ1293" s="5"/>
      <c r="CK1293" s="5"/>
      <c r="CL1293" s="5"/>
      <c r="CM1293" s="5"/>
      <c r="CN1293" s="5"/>
      <c r="CO1293" s="5"/>
      <c r="CP1293" s="5"/>
      <c r="CQ1293" s="5"/>
      <c r="CR1293" s="5"/>
      <c r="CS1293" s="5"/>
      <c r="CT1293" s="5"/>
      <c r="CU1293" s="5"/>
      <c r="CV1293" s="5"/>
      <c r="CW1293" s="5"/>
      <c r="CX1293" s="5"/>
      <c r="CY1293" s="5"/>
      <c r="CZ1293" s="5"/>
      <c r="DA1293" s="5"/>
      <c r="DB1293" s="5"/>
      <c r="DC1293" s="5"/>
      <c r="DD1293" s="5"/>
      <c r="DE1293" s="5"/>
      <c r="DF1293" s="5"/>
      <c r="DG1293" s="5"/>
      <c r="DH1293" s="5"/>
      <c r="DI1293" s="5"/>
      <c r="DJ1293" s="5"/>
      <c r="DK1293" s="5"/>
      <c r="DL1293" s="5"/>
      <c r="DM1293" s="5"/>
      <c r="DN1293" s="5"/>
      <c r="DO1293" s="5"/>
      <c r="DP1293" s="5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  <c r="GV1293" s="1"/>
      <c r="GW1293" s="1"/>
      <c r="GX1293" s="1"/>
      <c r="GY1293" s="1"/>
      <c r="GZ1293" s="1"/>
      <c r="HA1293" s="1"/>
      <c r="HB1293" s="1"/>
      <c r="HC1293" s="1"/>
      <c r="HD1293" s="1"/>
      <c r="HE1293" s="1"/>
      <c r="HF1293" s="1"/>
      <c r="HG1293" s="1"/>
      <c r="HH1293" s="1"/>
      <c r="HI1293" s="1"/>
      <c r="HJ1293" s="1"/>
      <c r="HK1293" s="1"/>
      <c r="HL1293" s="1"/>
      <c r="HM1293" s="1"/>
      <c r="HN1293" s="1"/>
      <c r="HO1293" s="1"/>
      <c r="HP1293" s="1"/>
      <c r="HQ1293" s="1"/>
      <c r="HR1293" s="1"/>
      <c r="HS1293" s="1"/>
      <c r="HT1293" s="1"/>
      <c r="HU1293" s="1"/>
      <c r="HV1293" s="1"/>
      <c r="HW1293" s="1"/>
      <c r="HX1293" s="1"/>
      <c r="HY1293" s="1"/>
      <c r="HZ1293" s="1"/>
      <c r="IA1293" s="1"/>
      <c r="IB1293" s="1"/>
      <c r="IC1293" s="1"/>
      <c r="ID1293" s="1"/>
      <c r="IE1293" s="1"/>
      <c r="IF1293" s="1"/>
      <c r="IG1293" s="1"/>
      <c r="IH1293" s="1"/>
      <c r="II1293" s="1"/>
      <c r="IJ1293" s="1"/>
      <c r="IK1293" s="1"/>
      <c r="IL1293" s="1"/>
      <c r="IM1293" s="1"/>
      <c r="IN1293" s="1"/>
      <c r="IO1293" s="1"/>
      <c r="IP1293" s="1"/>
      <c r="IQ1293" s="1"/>
      <c r="IR1293" s="1"/>
      <c r="IS1293" s="1"/>
      <c r="IT1293" s="1"/>
      <c r="IU1293" s="1"/>
      <c r="IV1293" s="1"/>
      <c r="IW1293" s="1"/>
      <c r="IX1293" s="1"/>
      <c r="IY1293" s="1"/>
      <c r="IZ1293" s="1"/>
      <c r="JA1293" s="1"/>
      <c r="JB1293" s="1"/>
      <c r="JC1293" s="1"/>
      <c r="JD1293" s="1"/>
    </row>
    <row r="1294" s="504" customFormat="true" ht="12.75" hidden="true" customHeight="true" outlineLevel="0" collapsed="false">
      <c r="A1294" s="5"/>
      <c r="B1294" s="813" t="n">
        <f aca="false">B1293+1</f>
        <v>1079</v>
      </c>
      <c r="C1294" s="814" t="n">
        <f aca="false">C1293+D1294</f>
        <v>177013.637520592</v>
      </c>
      <c r="D1294" s="815" t="n">
        <f aca="false">E1294*$E$205*M1294</f>
        <v>249.441380910888</v>
      </c>
      <c r="E1294" s="601" t="n">
        <f aca="false">E1293+$C$204</f>
        <v>15.8194686016545</v>
      </c>
      <c r="F1294" s="816" t="n">
        <f aca="false">F1293+1</f>
        <v>1079</v>
      </c>
      <c r="G1294" s="775" t="n">
        <f aca="false">C1294</f>
        <v>177013.637520592</v>
      </c>
      <c r="H1294" s="817" t="n">
        <f aca="false">1000*(E1294-E1293)</f>
        <v>9.99999999999979</v>
      </c>
      <c r="I1294" s="5"/>
      <c r="J1294" s="818" t="n">
        <f aca="false">1000*(E1294-$E$215)/(B1294-$B$215)</f>
        <v>11.4586374685557</v>
      </c>
      <c r="K1294" s="732" t="n">
        <f aca="false">AVERAGE($E$216:E1294)</f>
        <v>10.4224250428038</v>
      </c>
      <c r="L1294" s="819" t="n">
        <f aca="false">L1293+1</f>
        <v>1079</v>
      </c>
      <c r="M1294" s="820" t="n">
        <f aca="false">IF(B1294&lt;$E$104,$E$105,$E$106)</f>
        <v>3</v>
      </c>
      <c r="N1294" s="821" t="n">
        <f aca="false">IF(B1294&lt;$E$104,$E$105,$E$111)</f>
        <v>2.5</v>
      </c>
      <c r="O1294" s="822" t="n">
        <f aca="false">E1294*$E$205*N1294</f>
        <v>207.86781742574</v>
      </c>
      <c r="P1294" s="823" t="n">
        <f aca="false">P1293+O1294</f>
        <v>147563.04520087</v>
      </c>
      <c r="Q1294" s="606" t="n">
        <f aca="false">Q1293+1</f>
        <v>1079</v>
      </c>
      <c r="R1294" s="824" t="n">
        <f aca="false">R1293-1</f>
        <v>-1079</v>
      </c>
      <c r="S1294" s="5"/>
      <c r="T1294" s="5"/>
      <c r="U1294" s="5"/>
      <c r="V1294" s="10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02"/>
      <c r="AU1294" s="502"/>
      <c r="AV1294" s="606"/>
      <c r="AW1294" s="502"/>
      <c r="AX1294" s="502"/>
      <c r="AY1294" s="502"/>
      <c r="AZ1294" s="502"/>
      <c r="BA1294" s="502"/>
      <c r="BB1294" s="502"/>
      <c r="BC1294" s="502"/>
      <c r="BD1294" s="502"/>
      <c r="BE1294" s="502"/>
      <c r="BF1294" s="502"/>
      <c r="BG1294" s="502"/>
      <c r="BH1294" s="502"/>
      <c r="BI1294" s="502"/>
      <c r="BJ1294" s="502"/>
      <c r="BK1294" s="502"/>
      <c r="BL1294" s="502"/>
      <c r="BM1294" s="502"/>
      <c r="BN1294" s="502"/>
      <c r="BO1294" s="502"/>
      <c r="BP1294" s="5"/>
      <c r="BQ1294" s="5"/>
      <c r="BR1294" s="5"/>
      <c r="BS1294" s="5"/>
      <c r="BT1294" s="5"/>
      <c r="BU1294" s="5"/>
      <c r="BV1294" s="5"/>
      <c r="BW1294" s="5"/>
      <c r="BX1294" s="5"/>
      <c r="BY1294" s="5"/>
      <c r="BZ1294" s="5"/>
      <c r="CA1294" s="5"/>
      <c r="CB1294" s="5"/>
      <c r="CC1294" s="5"/>
      <c r="CD1294" s="5"/>
      <c r="CE1294" s="5"/>
      <c r="CF1294" s="5"/>
      <c r="CG1294" s="5"/>
      <c r="CH1294" s="5"/>
      <c r="CI1294" s="5"/>
      <c r="CJ1294" s="5"/>
      <c r="CK1294" s="5"/>
      <c r="CL1294" s="5"/>
      <c r="CM1294" s="5"/>
      <c r="CN1294" s="5"/>
      <c r="CO1294" s="5"/>
      <c r="CP1294" s="5"/>
      <c r="CQ1294" s="5"/>
      <c r="CR1294" s="5"/>
      <c r="CS1294" s="5"/>
      <c r="CT1294" s="5"/>
      <c r="CU1294" s="5"/>
      <c r="CV1294" s="5"/>
      <c r="CW1294" s="5"/>
      <c r="CX1294" s="5"/>
      <c r="CY1294" s="5"/>
      <c r="CZ1294" s="5"/>
      <c r="DA1294" s="5"/>
      <c r="DB1294" s="5"/>
      <c r="DC1294" s="5"/>
      <c r="DD1294" s="5"/>
      <c r="DE1294" s="5"/>
      <c r="DF1294" s="5"/>
      <c r="DG1294" s="5"/>
      <c r="DH1294" s="5"/>
      <c r="DI1294" s="5"/>
      <c r="DJ1294" s="5"/>
      <c r="DK1294" s="5"/>
      <c r="DL1294" s="5"/>
      <c r="DM1294" s="5"/>
      <c r="DN1294" s="5"/>
      <c r="DO1294" s="5"/>
      <c r="DP1294" s="5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  <c r="GV1294" s="1"/>
      <c r="GW1294" s="1"/>
      <c r="GX1294" s="1"/>
      <c r="GY1294" s="1"/>
      <c r="GZ1294" s="1"/>
      <c r="HA1294" s="1"/>
      <c r="HB1294" s="1"/>
      <c r="HC1294" s="1"/>
      <c r="HD1294" s="1"/>
      <c r="HE1294" s="1"/>
      <c r="HF1294" s="1"/>
      <c r="HG1294" s="1"/>
      <c r="HH1294" s="1"/>
      <c r="HI1294" s="1"/>
      <c r="HJ1294" s="1"/>
      <c r="HK1294" s="1"/>
      <c r="HL1294" s="1"/>
      <c r="HM1294" s="1"/>
      <c r="HN1294" s="1"/>
      <c r="HO1294" s="1"/>
      <c r="HP1294" s="1"/>
      <c r="HQ1294" s="1"/>
      <c r="HR1294" s="1"/>
      <c r="HS1294" s="1"/>
      <c r="HT1294" s="1"/>
      <c r="HU1294" s="1"/>
      <c r="HV1294" s="1"/>
      <c r="HW1294" s="1"/>
      <c r="HX1294" s="1"/>
      <c r="HY1294" s="1"/>
      <c r="HZ1294" s="1"/>
      <c r="IA1294" s="1"/>
      <c r="IB1294" s="1"/>
      <c r="IC1294" s="1"/>
      <c r="ID1294" s="1"/>
      <c r="IE1294" s="1"/>
      <c r="IF1294" s="1"/>
      <c r="IG1294" s="1"/>
      <c r="IH1294" s="1"/>
      <c r="II1294" s="1"/>
      <c r="IJ1294" s="1"/>
      <c r="IK1294" s="1"/>
      <c r="IL1294" s="1"/>
      <c r="IM1294" s="1"/>
      <c r="IN1294" s="1"/>
      <c r="IO1294" s="1"/>
      <c r="IP1294" s="1"/>
      <c r="IQ1294" s="1"/>
      <c r="IR1294" s="1"/>
      <c r="IS1294" s="1"/>
      <c r="IT1294" s="1"/>
      <c r="IU1294" s="1"/>
      <c r="IV1294" s="1"/>
      <c r="IW1294" s="1"/>
      <c r="IX1294" s="1"/>
      <c r="IY1294" s="1"/>
      <c r="IZ1294" s="1"/>
      <c r="JA1294" s="1"/>
      <c r="JB1294" s="1"/>
      <c r="JC1294" s="1"/>
      <c r="JD1294" s="1"/>
    </row>
    <row r="1295" s="504" customFormat="true" ht="12.75" hidden="true" customHeight="true" outlineLevel="0" collapsed="false">
      <c r="A1295" s="5"/>
      <c r="B1295" s="813" t="n">
        <f aca="false">B1294+1</f>
        <v>1080</v>
      </c>
      <c r="C1295" s="814" t="n">
        <f aca="false">C1294+D1295</f>
        <v>177263.236581503</v>
      </c>
      <c r="D1295" s="815" t="n">
        <f aca="false">E1295*$E$205*M1295</f>
        <v>249.599060910888</v>
      </c>
      <c r="E1295" s="601" t="n">
        <f aca="false">E1294+$C$204</f>
        <v>15.8294686016545</v>
      </c>
      <c r="F1295" s="816" t="n">
        <f aca="false">F1294+1</f>
        <v>1080</v>
      </c>
      <c r="G1295" s="775" t="n">
        <f aca="false">C1295</f>
        <v>177263.236581503</v>
      </c>
      <c r="H1295" s="817" t="n">
        <f aca="false">1000*(E1295-E1294)</f>
        <v>9.99999999999979</v>
      </c>
      <c r="I1295" s="5"/>
      <c r="J1295" s="818" t="n">
        <f aca="false">1000*(E1295-$E$215)/(B1295-$B$215)</f>
        <v>11.4572868783071</v>
      </c>
      <c r="K1295" s="732" t="n">
        <f aca="false">AVERAGE($E$216:E1295)</f>
        <v>10.4274315646175</v>
      </c>
      <c r="L1295" s="819" t="n">
        <f aca="false">L1294+1</f>
        <v>1080</v>
      </c>
      <c r="M1295" s="820" t="n">
        <f aca="false">IF(B1295&lt;$E$104,$E$105,$E$106)</f>
        <v>3</v>
      </c>
      <c r="N1295" s="821" t="n">
        <f aca="false">IF(B1295&lt;$E$104,$E$105,$E$111)</f>
        <v>2.5</v>
      </c>
      <c r="O1295" s="822" t="n">
        <f aca="false">E1295*$E$205*N1295</f>
        <v>207.99921742574</v>
      </c>
      <c r="P1295" s="823" t="n">
        <f aca="false">P1294+O1295</f>
        <v>147771.044418296</v>
      </c>
      <c r="Q1295" s="606" t="n">
        <f aca="false">Q1294+1</f>
        <v>1080</v>
      </c>
      <c r="R1295" s="824" t="n">
        <f aca="false">R1294-1</f>
        <v>-1080</v>
      </c>
      <c r="S1295" s="5"/>
      <c r="T1295" s="5"/>
      <c r="U1295" s="5"/>
      <c r="V1295" s="10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02"/>
      <c r="AU1295" s="502"/>
      <c r="AV1295" s="606"/>
      <c r="AW1295" s="502"/>
      <c r="AX1295" s="502"/>
      <c r="AY1295" s="502"/>
      <c r="AZ1295" s="502"/>
      <c r="BA1295" s="502"/>
      <c r="BB1295" s="502"/>
      <c r="BC1295" s="502"/>
      <c r="BD1295" s="502"/>
      <c r="BE1295" s="502"/>
      <c r="BF1295" s="502"/>
      <c r="BG1295" s="502"/>
      <c r="BH1295" s="502"/>
      <c r="BI1295" s="502"/>
      <c r="BJ1295" s="502"/>
      <c r="BK1295" s="502"/>
      <c r="BL1295" s="502"/>
      <c r="BM1295" s="502"/>
      <c r="BN1295" s="502"/>
      <c r="BO1295" s="502"/>
      <c r="BP1295" s="5"/>
      <c r="BQ1295" s="5"/>
      <c r="BR1295" s="5"/>
      <c r="BS1295" s="5"/>
      <c r="BT1295" s="5"/>
      <c r="BU1295" s="5"/>
      <c r="BV1295" s="5"/>
      <c r="BW1295" s="5"/>
      <c r="BX1295" s="5"/>
      <c r="BY1295" s="5"/>
      <c r="BZ1295" s="5"/>
      <c r="CA1295" s="5"/>
      <c r="CB1295" s="5"/>
      <c r="CC1295" s="5"/>
      <c r="CD1295" s="5"/>
      <c r="CE1295" s="5"/>
      <c r="CF1295" s="5"/>
      <c r="CG1295" s="5"/>
      <c r="CH1295" s="5"/>
      <c r="CI1295" s="5"/>
      <c r="CJ1295" s="5"/>
      <c r="CK1295" s="5"/>
      <c r="CL1295" s="5"/>
      <c r="CM1295" s="5"/>
      <c r="CN1295" s="5"/>
      <c r="CO1295" s="5"/>
      <c r="CP1295" s="5"/>
      <c r="CQ1295" s="5"/>
      <c r="CR1295" s="5"/>
      <c r="CS1295" s="5"/>
      <c r="CT1295" s="5"/>
      <c r="CU1295" s="5"/>
      <c r="CV1295" s="5"/>
      <c r="CW1295" s="5"/>
      <c r="CX1295" s="5"/>
      <c r="CY1295" s="5"/>
      <c r="CZ1295" s="5"/>
      <c r="DA1295" s="5"/>
      <c r="DB1295" s="5"/>
      <c r="DC1295" s="5"/>
      <c r="DD1295" s="5"/>
      <c r="DE1295" s="5"/>
      <c r="DF1295" s="5"/>
      <c r="DG1295" s="5"/>
      <c r="DH1295" s="5"/>
      <c r="DI1295" s="5"/>
      <c r="DJ1295" s="5"/>
      <c r="DK1295" s="5"/>
      <c r="DL1295" s="5"/>
      <c r="DM1295" s="5"/>
      <c r="DN1295" s="5"/>
      <c r="DO1295" s="5"/>
      <c r="DP1295" s="5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  <c r="GV1295" s="1"/>
      <c r="GW1295" s="1"/>
      <c r="GX1295" s="1"/>
      <c r="GY1295" s="1"/>
      <c r="GZ1295" s="1"/>
      <c r="HA1295" s="1"/>
      <c r="HB1295" s="1"/>
      <c r="HC1295" s="1"/>
      <c r="HD1295" s="1"/>
      <c r="HE1295" s="1"/>
      <c r="HF1295" s="1"/>
      <c r="HG1295" s="1"/>
      <c r="HH1295" s="1"/>
      <c r="HI1295" s="1"/>
      <c r="HJ1295" s="1"/>
      <c r="HK1295" s="1"/>
      <c r="HL1295" s="1"/>
      <c r="HM1295" s="1"/>
      <c r="HN1295" s="1"/>
      <c r="HO1295" s="1"/>
      <c r="HP1295" s="1"/>
      <c r="HQ1295" s="1"/>
      <c r="HR1295" s="1"/>
      <c r="HS1295" s="1"/>
      <c r="HT1295" s="1"/>
      <c r="HU1295" s="1"/>
      <c r="HV1295" s="1"/>
      <c r="HW1295" s="1"/>
      <c r="HX1295" s="1"/>
      <c r="HY1295" s="1"/>
      <c r="HZ1295" s="1"/>
      <c r="IA1295" s="1"/>
      <c r="IB1295" s="1"/>
      <c r="IC1295" s="1"/>
      <c r="ID1295" s="1"/>
      <c r="IE1295" s="1"/>
      <c r="IF1295" s="1"/>
      <c r="IG1295" s="1"/>
      <c r="IH1295" s="1"/>
      <c r="II1295" s="1"/>
      <c r="IJ1295" s="1"/>
      <c r="IK1295" s="1"/>
      <c r="IL1295" s="1"/>
      <c r="IM1295" s="1"/>
      <c r="IN1295" s="1"/>
      <c r="IO1295" s="1"/>
      <c r="IP1295" s="1"/>
      <c r="IQ1295" s="1"/>
      <c r="IR1295" s="1"/>
      <c r="IS1295" s="1"/>
      <c r="IT1295" s="1"/>
      <c r="IU1295" s="1"/>
      <c r="IV1295" s="1"/>
      <c r="IW1295" s="1"/>
      <c r="IX1295" s="1"/>
      <c r="IY1295" s="1"/>
      <c r="IZ1295" s="1"/>
      <c r="JA1295" s="1"/>
      <c r="JB1295" s="1"/>
      <c r="JC1295" s="1"/>
      <c r="JD1295" s="1"/>
    </row>
    <row r="1296" s="504" customFormat="true" ht="12.75" hidden="true" customHeight="true" outlineLevel="0" collapsed="false">
      <c r="A1296" s="5"/>
      <c r="B1296" s="813" t="n">
        <f aca="false">B1295+1</f>
        <v>1081</v>
      </c>
      <c r="C1296" s="814" t="n">
        <f aca="false">C1295+D1296</f>
        <v>177512.993322414</v>
      </c>
      <c r="D1296" s="815" t="n">
        <f aca="false">E1296*$E$205*M1296</f>
        <v>249.756740910888</v>
      </c>
      <c r="E1296" s="601" t="n">
        <f aca="false">E1295+$C$204</f>
        <v>15.8394686016545</v>
      </c>
      <c r="F1296" s="816" t="n">
        <f aca="false">F1295+1</f>
        <v>1081</v>
      </c>
      <c r="G1296" s="775" t="n">
        <f aca="false">C1296</f>
        <v>177512.993322414</v>
      </c>
      <c r="H1296" s="817" t="n">
        <f aca="false">1000*(E1296-E1295)</f>
        <v>9.99999999999979</v>
      </c>
      <c r="I1296" s="5"/>
      <c r="J1296" s="818" t="n">
        <f aca="false">1000*(E1296-$E$215)/(B1296-$B$215)</f>
        <v>11.4559387868378</v>
      </c>
      <c r="K1296" s="732" t="n">
        <f aca="false">AVERAGE($E$216:E1296)</f>
        <v>10.432438074365</v>
      </c>
      <c r="L1296" s="819" t="n">
        <f aca="false">L1295+1</f>
        <v>1081</v>
      </c>
      <c r="M1296" s="820" t="n">
        <f aca="false">IF(B1296&lt;$E$104,$E$105,$E$106)</f>
        <v>3</v>
      </c>
      <c r="N1296" s="821" t="n">
        <f aca="false">IF(B1296&lt;$E$104,$E$105,$E$111)</f>
        <v>2.5</v>
      </c>
      <c r="O1296" s="822" t="n">
        <f aca="false">E1296*$E$205*N1296</f>
        <v>208.13061742574</v>
      </c>
      <c r="P1296" s="823" t="n">
        <f aca="false">P1295+O1296</f>
        <v>147979.175035721</v>
      </c>
      <c r="Q1296" s="606" t="n">
        <f aca="false">Q1295+1</f>
        <v>1081</v>
      </c>
      <c r="R1296" s="824" t="n">
        <f aca="false">R1295-1</f>
        <v>-1081</v>
      </c>
      <c r="S1296" s="5"/>
      <c r="T1296" s="5"/>
      <c r="U1296" s="5"/>
      <c r="V1296" s="10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02"/>
      <c r="AU1296" s="502"/>
      <c r="AV1296" s="606"/>
      <c r="AW1296" s="502"/>
      <c r="AX1296" s="502"/>
      <c r="AY1296" s="502"/>
      <c r="AZ1296" s="502"/>
      <c r="BA1296" s="502"/>
      <c r="BB1296" s="502"/>
      <c r="BC1296" s="502"/>
      <c r="BD1296" s="502"/>
      <c r="BE1296" s="502"/>
      <c r="BF1296" s="502"/>
      <c r="BG1296" s="502"/>
      <c r="BH1296" s="502"/>
      <c r="BI1296" s="502"/>
      <c r="BJ1296" s="502"/>
      <c r="BK1296" s="502"/>
      <c r="BL1296" s="502"/>
      <c r="BM1296" s="502"/>
      <c r="BN1296" s="502"/>
      <c r="BO1296" s="502"/>
      <c r="BP1296" s="5"/>
      <c r="BQ1296" s="5"/>
      <c r="BR1296" s="5"/>
      <c r="BS1296" s="5"/>
      <c r="BT1296" s="5"/>
      <c r="BU1296" s="5"/>
      <c r="BV1296" s="5"/>
      <c r="BW1296" s="5"/>
      <c r="BX1296" s="5"/>
      <c r="BY1296" s="5"/>
      <c r="BZ1296" s="5"/>
      <c r="CA1296" s="5"/>
      <c r="CB1296" s="5"/>
      <c r="CC1296" s="5"/>
      <c r="CD1296" s="5"/>
      <c r="CE1296" s="5"/>
      <c r="CF1296" s="5"/>
      <c r="CG1296" s="5"/>
      <c r="CH1296" s="5"/>
      <c r="CI1296" s="5"/>
      <c r="CJ1296" s="5"/>
      <c r="CK1296" s="5"/>
      <c r="CL1296" s="5"/>
      <c r="CM1296" s="5"/>
      <c r="CN1296" s="5"/>
      <c r="CO1296" s="5"/>
      <c r="CP1296" s="5"/>
      <c r="CQ1296" s="5"/>
      <c r="CR1296" s="5"/>
      <c r="CS1296" s="5"/>
      <c r="CT1296" s="5"/>
      <c r="CU1296" s="5"/>
      <c r="CV1296" s="5"/>
      <c r="CW1296" s="5"/>
      <c r="CX1296" s="5"/>
      <c r="CY1296" s="5"/>
      <c r="CZ1296" s="5"/>
      <c r="DA1296" s="5"/>
      <c r="DB1296" s="5"/>
      <c r="DC1296" s="5"/>
      <c r="DD1296" s="5"/>
      <c r="DE1296" s="5"/>
      <c r="DF1296" s="5"/>
      <c r="DG1296" s="5"/>
      <c r="DH1296" s="5"/>
      <c r="DI1296" s="5"/>
      <c r="DJ1296" s="5"/>
      <c r="DK1296" s="5"/>
      <c r="DL1296" s="5"/>
      <c r="DM1296" s="5"/>
      <c r="DN1296" s="5"/>
      <c r="DO1296" s="5"/>
      <c r="DP1296" s="5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  <c r="GV1296" s="1"/>
      <c r="GW1296" s="1"/>
      <c r="GX1296" s="1"/>
      <c r="GY1296" s="1"/>
      <c r="GZ1296" s="1"/>
      <c r="HA1296" s="1"/>
      <c r="HB1296" s="1"/>
      <c r="HC1296" s="1"/>
      <c r="HD1296" s="1"/>
      <c r="HE1296" s="1"/>
      <c r="HF1296" s="1"/>
      <c r="HG1296" s="1"/>
      <c r="HH1296" s="1"/>
      <c r="HI1296" s="1"/>
      <c r="HJ1296" s="1"/>
      <c r="HK1296" s="1"/>
      <c r="HL1296" s="1"/>
      <c r="HM1296" s="1"/>
      <c r="HN1296" s="1"/>
      <c r="HO1296" s="1"/>
      <c r="HP1296" s="1"/>
      <c r="HQ1296" s="1"/>
      <c r="HR1296" s="1"/>
      <c r="HS1296" s="1"/>
      <c r="HT1296" s="1"/>
      <c r="HU1296" s="1"/>
      <c r="HV1296" s="1"/>
      <c r="HW1296" s="1"/>
      <c r="HX1296" s="1"/>
      <c r="HY1296" s="1"/>
      <c r="HZ1296" s="1"/>
      <c r="IA1296" s="1"/>
      <c r="IB1296" s="1"/>
      <c r="IC1296" s="1"/>
      <c r="ID1296" s="1"/>
      <c r="IE1296" s="1"/>
      <c r="IF1296" s="1"/>
      <c r="IG1296" s="1"/>
      <c r="IH1296" s="1"/>
      <c r="II1296" s="1"/>
      <c r="IJ1296" s="1"/>
      <c r="IK1296" s="1"/>
      <c r="IL1296" s="1"/>
      <c r="IM1296" s="1"/>
      <c r="IN1296" s="1"/>
      <c r="IO1296" s="1"/>
      <c r="IP1296" s="1"/>
      <c r="IQ1296" s="1"/>
      <c r="IR1296" s="1"/>
      <c r="IS1296" s="1"/>
      <c r="IT1296" s="1"/>
      <c r="IU1296" s="1"/>
      <c r="IV1296" s="1"/>
      <c r="IW1296" s="1"/>
      <c r="IX1296" s="1"/>
      <c r="IY1296" s="1"/>
      <c r="IZ1296" s="1"/>
      <c r="JA1296" s="1"/>
      <c r="JB1296" s="1"/>
      <c r="JC1296" s="1"/>
      <c r="JD1296" s="1"/>
    </row>
    <row r="1297" s="504" customFormat="true" ht="12.75" hidden="true" customHeight="true" outlineLevel="0" collapsed="false">
      <c r="A1297" s="5"/>
      <c r="B1297" s="813" t="n">
        <f aca="false">B1296+1</f>
        <v>1082</v>
      </c>
      <c r="C1297" s="814" t="n">
        <f aca="false">C1296+D1297</f>
        <v>177762.907743325</v>
      </c>
      <c r="D1297" s="815" t="n">
        <f aca="false">E1297*$E$205*M1297</f>
        <v>249.914420910888</v>
      </c>
      <c r="E1297" s="601" t="n">
        <f aca="false">E1296+$C$204</f>
        <v>15.8494686016545</v>
      </c>
      <c r="F1297" s="816" t="n">
        <f aca="false">F1296+1</f>
        <v>1082</v>
      </c>
      <c r="G1297" s="775" t="n">
        <f aca="false">C1297</f>
        <v>177762.907743325</v>
      </c>
      <c r="H1297" s="817" t="n">
        <f aca="false">1000*(E1297-E1296)</f>
        <v>9.99999999999979</v>
      </c>
      <c r="I1297" s="5"/>
      <c r="J1297" s="818" t="n">
        <f aca="false">1000*(E1297-$E$215)/(B1297-$B$215)</f>
        <v>11.4545931872196</v>
      </c>
      <c r="K1297" s="732" t="n">
        <f aca="false">AVERAGE($E$216:E1297)</f>
        <v>10.4374445720797</v>
      </c>
      <c r="L1297" s="819" t="n">
        <f aca="false">L1296+1</f>
        <v>1082</v>
      </c>
      <c r="M1297" s="820" t="n">
        <f aca="false">IF(B1297&lt;$E$104,$E$105,$E$106)</f>
        <v>3</v>
      </c>
      <c r="N1297" s="821" t="n">
        <f aca="false">IF(B1297&lt;$E$104,$E$105,$E$111)</f>
        <v>2.5</v>
      </c>
      <c r="O1297" s="822" t="n">
        <f aca="false">E1297*$E$205*N1297</f>
        <v>208.26201742574</v>
      </c>
      <c r="P1297" s="823" t="n">
        <f aca="false">P1296+O1297</f>
        <v>148187.437053147</v>
      </c>
      <c r="Q1297" s="606" t="n">
        <f aca="false">Q1296+1</f>
        <v>1082</v>
      </c>
      <c r="R1297" s="824" t="n">
        <f aca="false">R1296-1</f>
        <v>-1082</v>
      </c>
      <c r="S1297" s="5"/>
      <c r="T1297" s="5"/>
      <c r="U1297" s="5"/>
      <c r="V1297" s="10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02"/>
      <c r="AU1297" s="502"/>
      <c r="AV1297" s="606"/>
      <c r="AW1297" s="502"/>
      <c r="AX1297" s="502"/>
      <c r="AY1297" s="502"/>
      <c r="AZ1297" s="502"/>
      <c r="BA1297" s="502"/>
      <c r="BB1297" s="502"/>
      <c r="BC1297" s="502"/>
      <c r="BD1297" s="502"/>
      <c r="BE1297" s="502"/>
      <c r="BF1297" s="502"/>
      <c r="BG1297" s="502"/>
      <c r="BH1297" s="502"/>
      <c r="BI1297" s="502"/>
      <c r="BJ1297" s="502"/>
      <c r="BK1297" s="502"/>
      <c r="BL1297" s="502"/>
      <c r="BM1297" s="502"/>
      <c r="BN1297" s="502"/>
      <c r="BO1297" s="502"/>
      <c r="BP1297" s="5"/>
      <c r="BQ1297" s="5"/>
      <c r="BR1297" s="5"/>
      <c r="BS1297" s="5"/>
      <c r="BT1297" s="5"/>
      <c r="BU1297" s="5"/>
      <c r="BV1297" s="5"/>
      <c r="BW1297" s="5"/>
      <c r="BX1297" s="5"/>
      <c r="BY1297" s="5"/>
      <c r="BZ1297" s="5"/>
      <c r="CA1297" s="5"/>
      <c r="CB1297" s="5"/>
      <c r="CC1297" s="5"/>
      <c r="CD1297" s="5"/>
      <c r="CE1297" s="5"/>
      <c r="CF1297" s="5"/>
      <c r="CG1297" s="5"/>
      <c r="CH1297" s="5"/>
      <c r="CI1297" s="5"/>
      <c r="CJ1297" s="5"/>
      <c r="CK1297" s="5"/>
      <c r="CL1297" s="5"/>
      <c r="CM1297" s="5"/>
      <c r="CN1297" s="5"/>
      <c r="CO1297" s="5"/>
      <c r="CP1297" s="5"/>
      <c r="CQ1297" s="5"/>
      <c r="CR1297" s="5"/>
      <c r="CS1297" s="5"/>
      <c r="CT1297" s="5"/>
      <c r="CU1297" s="5"/>
      <c r="CV1297" s="5"/>
      <c r="CW1297" s="5"/>
      <c r="CX1297" s="5"/>
      <c r="CY1297" s="5"/>
      <c r="CZ1297" s="5"/>
      <c r="DA1297" s="5"/>
      <c r="DB1297" s="5"/>
      <c r="DC1297" s="5"/>
      <c r="DD1297" s="5"/>
      <c r="DE1297" s="5"/>
      <c r="DF1297" s="5"/>
      <c r="DG1297" s="5"/>
      <c r="DH1297" s="5"/>
      <c r="DI1297" s="5"/>
      <c r="DJ1297" s="5"/>
      <c r="DK1297" s="5"/>
      <c r="DL1297" s="5"/>
      <c r="DM1297" s="5"/>
      <c r="DN1297" s="5"/>
      <c r="DO1297" s="5"/>
      <c r="DP1297" s="5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  <c r="GV1297" s="1"/>
      <c r="GW1297" s="1"/>
      <c r="GX1297" s="1"/>
      <c r="GY1297" s="1"/>
      <c r="GZ1297" s="1"/>
      <c r="HA1297" s="1"/>
      <c r="HB1297" s="1"/>
      <c r="HC1297" s="1"/>
      <c r="HD1297" s="1"/>
      <c r="HE1297" s="1"/>
      <c r="HF1297" s="1"/>
      <c r="HG1297" s="1"/>
      <c r="HH1297" s="1"/>
      <c r="HI1297" s="1"/>
      <c r="HJ1297" s="1"/>
      <c r="HK1297" s="1"/>
      <c r="HL1297" s="1"/>
      <c r="HM1297" s="1"/>
      <c r="HN1297" s="1"/>
      <c r="HO1297" s="1"/>
      <c r="HP1297" s="1"/>
      <c r="HQ1297" s="1"/>
      <c r="HR1297" s="1"/>
      <c r="HS1297" s="1"/>
      <c r="HT1297" s="1"/>
      <c r="HU1297" s="1"/>
      <c r="HV1297" s="1"/>
      <c r="HW1297" s="1"/>
      <c r="HX1297" s="1"/>
      <c r="HY1297" s="1"/>
      <c r="HZ1297" s="1"/>
      <c r="IA1297" s="1"/>
      <c r="IB1297" s="1"/>
      <c r="IC1297" s="1"/>
      <c r="ID1297" s="1"/>
      <c r="IE1297" s="1"/>
      <c r="IF1297" s="1"/>
      <c r="IG1297" s="1"/>
      <c r="IH1297" s="1"/>
      <c r="II1297" s="1"/>
      <c r="IJ1297" s="1"/>
      <c r="IK1297" s="1"/>
      <c r="IL1297" s="1"/>
      <c r="IM1297" s="1"/>
      <c r="IN1297" s="1"/>
      <c r="IO1297" s="1"/>
      <c r="IP1297" s="1"/>
      <c r="IQ1297" s="1"/>
      <c r="IR1297" s="1"/>
      <c r="IS1297" s="1"/>
      <c r="IT1297" s="1"/>
      <c r="IU1297" s="1"/>
      <c r="IV1297" s="1"/>
      <c r="IW1297" s="1"/>
      <c r="IX1297" s="1"/>
      <c r="IY1297" s="1"/>
      <c r="IZ1297" s="1"/>
      <c r="JA1297" s="1"/>
      <c r="JB1297" s="1"/>
      <c r="JC1297" s="1"/>
      <c r="JD1297" s="1"/>
    </row>
    <row r="1298" s="504" customFormat="true" ht="12.75" hidden="true" customHeight="true" outlineLevel="0" collapsed="false">
      <c r="A1298" s="5"/>
      <c r="B1298" s="813" t="n">
        <f aca="false">B1297+1</f>
        <v>1083</v>
      </c>
      <c r="C1298" s="814" t="n">
        <f aca="false">C1297+D1298</f>
        <v>178012.979844236</v>
      </c>
      <c r="D1298" s="815" t="n">
        <f aca="false">E1298*$E$205*M1298</f>
        <v>250.072100910887</v>
      </c>
      <c r="E1298" s="601" t="n">
        <f aca="false">E1297+$C$204</f>
        <v>15.8594686016545</v>
      </c>
      <c r="F1298" s="816" t="n">
        <f aca="false">F1297+1</f>
        <v>1083</v>
      </c>
      <c r="G1298" s="775" t="n">
        <f aca="false">C1298</f>
        <v>178012.979844236</v>
      </c>
      <c r="H1298" s="817" t="n">
        <f aca="false">1000*(E1298-E1297)</f>
        <v>9.99999999999979</v>
      </c>
      <c r="I1298" s="5"/>
      <c r="J1298" s="818" t="n">
        <f aca="false">1000*(E1298-$E$215)/(B1298-$B$215)</f>
        <v>11.45325007255</v>
      </c>
      <c r="K1298" s="732" t="n">
        <f aca="false">AVERAGE($E$216:E1298)</f>
        <v>10.4424510577949</v>
      </c>
      <c r="L1298" s="819" t="n">
        <f aca="false">L1297+1</f>
        <v>1083</v>
      </c>
      <c r="M1298" s="820" t="n">
        <f aca="false">IF(B1298&lt;$E$104,$E$105,$E$106)</f>
        <v>3</v>
      </c>
      <c r="N1298" s="821" t="n">
        <f aca="false">IF(B1298&lt;$E$104,$E$105,$E$111)</f>
        <v>2.5</v>
      </c>
      <c r="O1298" s="822" t="n">
        <f aca="false">E1298*$E$205*N1298</f>
        <v>208.39341742574</v>
      </c>
      <c r="P1298" s="823" t="n">
        <f aca="false">P1297+O1298</f>
        <v>148395.830470573</v>
      </c>
      <c r="Q1298" s="606" t="n">
        <f aca="false">Q1297+1</f>
        <v>1083</v>
      </c>
      <c r="R1298" s="824" t="n">
        <f aca="false">R1297-1</f>
        <v>-1083</v>
      </c>
      <c r="S1298" s="5"/>
      <c r="T1298" s="5"/>
      <c r="U1298" s="5"/>
      <c r="V1298" s="10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02"/>
      <c r="AU1298" s="502"/>
      <c r="AV1298" s="606"/>
      <c r="AW1298" s="502"/>
      <c r="AX1298" s="502"/>
      <c r="AY1298" s="502"/>
      <c r="AZ1298" s="502"/>
      <c r="BA1298" s="502"/>
      <c r="BB1298" s="502"/>
      <c r="BC1298" s="502"/>
      <c r="BD1298" s="502"/>
      <c r="BE1298" s="502"/>
      <c r="BF1298" s="502"/>
      <c r="BG1298" s="502"/>
      <c r="BH1298" s="502"/>
      <c r="BI1298" s="502"/>
      <c r="BJ1298" s="502"/>
      <c r="BK1298" s="502"/>
      <c r="BL1298" s="502"/>
      <c r="BM1298" s="502"/>
      <c r="BN1298" s="502"/>
      <c r="BO1298" s="502"/>
      <c r="BP1298" s="5"/>
      <c r="BQ1298" s="5"/>
      <c r="BR1298" s="5"/>
      <c r="BS1298" s="5"/>
      <c r="BT1298" s="5"/>
      <c r="BU1298" s="5"/>
      <c r="BV1298" s="5"/>
      <c r="BW1298" s="5"/>
      <c r="BX1298" s="5"/>
      <c r="BY1298" s="5"/>
      <c r="BZ1298" s="5"/>
      <c r="CA1298" s="5"/>
      <c r="CB1298" s="5"/>
      <c r="CC1298" s="5"/>
      <c r="CD1298" s="5"/>
      <c r="CE1298" s="5"/>
      <c r="CF1298" s="5"/>
      <c r="CG1298" s="5"/>
      <c r="CH1298" s="5"/>
      <c r="CI1298" s="5"/>
      <c r="CJ1298" s="5"/>
      <c r="CK1298" s="5"/>
      <c r="CL1298" s="5"/>
      <c r="CM1298" s="5"/>
      <c r="CN1298" s="5"/>
      <c r="CO1298" s="5"/>
      <c r="CP1298" s="5"/>
      <c r="CQ1298" s="5"/>
      <c r="CR1298" s="5"/>
      <c r="CS1298" s="5"/>
      <c r="CT1298" s="5"/>
      <c r="CU1298" s="5"/>
      <c r="CV1298" s="5"/>
      <c r="CW1298" s="5"/>
      <c r="CX1298" s="5"/>
      <c r="CY1298" s="5"/>
      <c r="CZ1298" s="5"/>
      <c r="DA1298" s="5"/>
      <c r="DB1298" s="5"/>
      <c r="DC1298" s="5"/>
      <c r="DD1298" s="5"/>
      <c r="DE1298" s="5"/>
      <c r="DF1298" s="5"/>
      <c r="DG1298" s="5"/>
      <c r="DH1298" s="5"/>
      <c r="DI1298" s="5"/>
      <c r="DJ1298" s="5"/>
      <c r="DK1298" s="5"/>
      <c r="DL1298" s="5"/>
      <c r="DM1298" s="5"/>
      <c r="DN1298" s="5"/>
      <c r="DO1298" s="5"/>
      <c r="DP1298" s="5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  <c r="GV1298" s="1"/>
      <c r="GW1298" s="1"/>
      <c r="GX1298" s="1"/>
      <c r="GY1298" s="1"/>
      <c r="GZ1298" s="1"/>
      <c r="HA1298" s="1"/>
      <c r="HB1298" s="1"/>
      <c r="HC1298" s="1"/>
      <c r="HD1298" s="1"/>
      <c r="HE1298" s="1"/>
      <c r="HF1298" s="1"/>
      <c r="HG1298" s="1"/>
      <c r="HH1298" s="1"/>
      <c r="HI1298" s="1"/>
      <c r="HJ1298" s="1"/>
      <c r="HK1298" s="1"/>
      <c r="HL1298" s="1"/>
      <c r="HM1298" s="1"/>
      <c r="HN1298" s="1"/>
      <c r="HO1298" s="1"/>
      <c r="HP1298" s="1"/>
      <c r="HQ1298" s="1"/>
      <c r="HR1298" s="1"/>
      <c r="HS1298" s="1"/>
      <c r="HT1298" s="1"/>
      <c r="HU1298" s="1"/>
      <c r="HV1298" s="1"/>
      <c r="HW1298" s="1"/>
      <c r="HX1298" s="1"/>
      <c r="HY1298" s="1"/>
      <c r="HZ1298" s="1"/>
      <c r="IA1298" s="1"/>
      <c r="IB1298" s="1"/>
      <c r="IC1298" s="1"/>
      <c r="ID1298" s="1"/>
      <c r="IE1298" s="1"/>
      <c r="IF1298" s="1"/>
      <c r="IG1298" s="1"/>
      <c r="IH1298" s="1"/>
      <c r="II1298" s="1"/>
      <c r="IJ1298" s="1"/>
      <c r="IK1298" s="1"/>
      <c r="IL1298" s="1"/>
      <c r="IM1298" s="1"/>
      <c r="IN1298" s="1"/>
      <c r="IO1298" s="1"/>
      <c r="IP1298" s="1"/>
      <c r="IQ1298" s="1"/>
      <c r="IR1298" s="1"/>
      <c r="IS1298" s="1"/>
      <c r="IT1298" s="1"/>
      <c r="IU1298" s="1"/>
      <c r="IV1298" s="1"/>
      <c r="IW1298" s="1"/>
      <c r="IX1298" s="1"/>
      <c r="IY1298" s="1"/>
      <c r="IZ1298" s="1"/>
      <c r="JA1298" s="1"/>
      <c r="JB1298" s="1"/>
      <c r="JC1298" s="1"/>
      <c r="JD1298" s="1"/>
    </row>
    <row r="1299" s="504" customFormat="true" ht="12.75" hidden="true" customHeight="true" outlineLevel="0" collapsed="false">
      <c r="A1299" s="5"/>
      <c r="B1299" s="813" t="n">
        <f aca="false">B1298+1</f>
        <v>1084</v>
      </c>
      <c r="C1299" s="814" t="n">
        <f aca="false">C1298+D1299</f>
        <v>178263.209625147</v>
      </c>
      <c r="D1299" s="815" t="n">
        <f aca="false">E1299*$E$205*M1299</f>
        <v>250.229780910888</v>
      </c>
      <c r="E1299" s="601" t="n">
        <f aca="false">E1298+$C$204</f>
        <v>15.8694686016545</v>
      </c>
      <c r="F1299" s="816" t="n">
        <f aca="false">F1298+1</f>
        <v>1084</v>
      </c>
      <c r="G1299" s="775" t="n">
        <f aca="false">C1299</f>
        <v>178263.209625147</v>
      </c>
      <c r="H1299" s="817" t="n">
        <f aca="false">1000*(E1299-E1298)</f>
        <v>9.99999999999979</v>
      </c>
      <c r="I1299" s="5"/>
      <c r="J1299" s="818" t="n">
        <f aca="false">1000*(E1299-$E$215)/(B1299-$B$215)</f>
        <v>11.4519094359517</v>
      </c>
      <c r="K1299" s="732" t="n">
        <f aca="false">AVERAGE($E$216:E1299)</f>
        <v>10.4474575315439</v>
      </c>
      <c r="L1299" s="819" t="n">
        <f aca="false">L1298+1</f>
        <v>1084</v>
      </c>
      <c r="M1299" s="820" t="n">
        <f aca="false">IF(B1299&lt;$E$104,$E$105,$E$106)</f>
        <v>3</v>
      </c>
      <c r="N1299" s="821" t="n">
        <f aca="false">IF(B1299&lt;$E$104,$E$105,$E$111)</f>
        <v>2.5</v>
      </c>
      <c r="O1299" s="822" t="n">
        <f aca="false">E1299*$E$205*N1299</f>
        <v>208.52481742574</v>
      </c>
      <c r="P1299" s="823" t="n">
        <f aca="false">P1298+O1299</f>
        <v>148604.355287999</v>
      </c>
      <c r="Q1299" s="606" t="n">
        <f aca="false">Q1298+1</f>
        <v>1084</v>
      </c>
      <c r="R1299" s="824" t="n">
        <f aca="false">R1298-1</f>
        <v>-1084</v>
      </c>
      <c r="S1299" s="5"/>
      <c r="T1299" s="5"/>
      <c r="U1299" s="5"/>
      <c r="V1299" s="10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02"/>
      <c r="AU1299" s="502"/>
      <c r="AV1299" s="606"/>
      <c r="AW1299" s="502"/>
      <c r="AX1299" s="502"/>
      <c r="AY1299" s="502"/>
      <c r="AZ1299" s="502"/>
      <c r="BA1299" s="502"/>
      <c r="BB1299" s="502"/>
      <c r="BC1299" s="502"/>
      <c r="BD1299" s="502"/>
      <c r="BE1299" s="502"/>
      <c r="BF1299" s="502"/>
      <c r="BG1299" s="502"/>
      <c r="BH1299" s="502"/>
      <c r="BI1299" s="502"/>
      <c r="BJ1299" s="502"/>
      <c r="BK1299" s="502"/>
      <c r="BL1299" s="502"/>
      <c r="BM1299" s="502"/>
      <c r="BN1299" s="502"/>
      <c r="BO1299" s="502"/>
      <c r="BP1299" s="5"/>
      <c r="BQ1299" s="5"/>
      <c r="BR1299" s="5"/>
      <c r="BS1299" s="5"/>
      <c r="BT1299" s="5"/>
      <c r="BU1299" s="5"/>
      <c r="BV1299" s="5"/>
      <c r="BW1299" s="5"/>
      <c r="BX1299" s="5"/>
      <c r="BY1299" s="5"/>
      <c r="BZ1299" s="5"/>
      <c r="CA1299" s="5"/>
      <c r="CB1299" s="5"/>
      <c r="CC1299" s="5"/>
      <c r="CD1299" s="5"/>
      <c r="CE1299" s="5"/>
      <c r="CF1299" s="5"/>
      <c r="CG1299" s="5"/>
      <c r="CH1299" s="5"/>
      <c r="CI1299" s="5"/>
      <c r="CJ1299" s="5"/>
      <c r="CK1299" s="5"/>
      <c r="CL1299" s="5"/>
      <c r="CM1299" s="5"/>
      <c r="CN1299" s="5"/>
      <c r="CO1299" s="5"/>
      <c r="CP1299" s="5"/>
      <c r="CQ1299" s="5"/>
      <c r="CR1299" s="5"/>
      <c r="CS1299" s="5"/>
      <c r="CT1299" s="5"/>
      <c r="CU1299" s="5"/>
      <c r="CV1299" s="5"/>
      <c r="CW1299" s="5"/>
      <c r="CX1299" s="5"/>
      <c r="CY1299" s="5"/>
      <c r="CZ1299" s="5"/>
      <c r="DA1299" s="5"/>
      <c r="DB1299" s="5"/>
      <c r="DC1299" s="5"/>
      <c r="DD1299" s="5"/>
      <c r="DE1299" s="5"/>
      <c r="DF1299" s="5"/>
      <c r="DG1299" s="5"/>
      <c r="DH1299" s="5"/>
      <c r="DI1299" s="5"/>
      <c r="DJ1299" s="5"/>
      <c r="DK1299" s="5"/>
      <c r="DL1299" s="5"/>
      <c r="DM1299" s="5"/>
      <c r="DN1299" s="5"/>
      <c r="DO1299" s="5"/>
      <c r="DP1299" s="5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  <c r="GV1299" s="1"/>
      <c r="GW1299" s="1"/>
      <c r="GX1299" s="1"/>
      <c r="GY1299" s="1"/>
      <c r="GZ1299" s="1"/>
      <c r="HA1299" s="1"/>
      <c r="HB1299" s="1"/>
      <c r="HC1299" s="1"/>
      <c r="HD1299" s="1"/>
      <c r="HE1299" s="1"/>
      <c r="HF1299" s="1"/>
      <c r="HG1299" s="1"/>
      <c r="HH1299" s="1"/>
      <c r="HI1299" s="1"/>
      <c r="HJ1299" s="1"/>
      <c r="HK1299" s="1"/>
      <c r="HL1299" s="1"/>
      <c r="HM1299" s="1"/>
      <c r="HN1299" s="1"/>
      <c r="HO1299" s="1"/>
      <c r="HP1299" s="1"/>
      <c r="HQ1299" s="1"/>
      <c r="HR1299" s="1"/>
      <c r="HS1299" s="1"/>
      <c r="HT1299" s="1"/>
      <c r="HU1299" s="1"/>
      <c r="HV1299" s="1"/>
      <c r="HW1299" s="1"/>
      <c r="HX1299" s="1"/>
      <c r="HY1299" s="1"/>
      <c r="HZ1299" s="1"/>
      <c r="IA1299" s="1"/>
      <c r="IB1299" s="1"/>
      <c r="IC1299" s="1"/>
      <c r="ID1299" s="1"/>
      <c r="IE1299" s="1"/>
      <c r="IF1299" s="1"/>
      <c r="IG1299" s="1"/>
      <c r="IH1299" s="1"/>
      <c r="II1299" s="1"/>
      <c r="IJ1299" s="1"/>
      <c r="IK1299" s="1"/>
      <c r="IL1299" s="1"/>
      <c r="IM1299" s="1"/>
      <c r="IN1299" s="1"/>
      <c r="IO1299" s="1"/>
      <c r="IP1299" s="1"/>
      <c r="IQ1299" s="1"/>
      <c r="IR1299" s="1"/>
      <c r="IS1299" s="1"/>
      <c r="IT1299" s="1"/>
      <c r="IU1299" s="1"/>
      <c r="IV1299" s="1"/>
      <c r="IW1299" s="1"/>
      <c r="IX1299" s="1"/>
      <c r="IY1299" s="1"/>
      <c r="IZ1299" s="1"/>
      <c r="JA1299" s="1"/>
      <c r="JB1299" s="1"/>
      <c r="JC1299" s="1"/>
      <c r="JD1299" s="1"/>
    </row>
    <row r="1300" s="504" customFormat="true" ht="12.75" hidden="true" customHeight="true" outlineLevel="0" collapsed="false">
      <c r="A1300" s="5"/>
      <c r="B1300" s="813" t="n">
        <f aca="false">B1299+1</f>
        <v>1085</v>
      </c>
      <c r="C1300" s="814" t="n">
        <f aca="false">C1299+D1300</f>
        <v>178513.597086058</v>
      </c>
      <c r="D1300" s="815" t="n">
        <f aca="false">E1300*$E$205*M1300</f>
        <v>250.387460910887</v>
      </c>
      <c r="E1300" s="601" t="n">
        <f aca="false">E1299+$C$204</f>
        <v>15.8794686016545</v>
      </c>
      <c r="F1300" s="816" t="n">
        <f aca="false">F1299+1</f>
        <v>1085</v>
      </c>
      <c r="G1300" s="775" t="n">
        <f aca="false">C1300</f>
        <v>178513.597086058</v>
      </c>
      <c r="H1300" s="817" t="n">
        <f aca="false">1000*(E1300-E1299)</f>
        <v>9.99999999999979</v>
      </c>
      <c r="I1300" s="5"/>
      <c r="J1300" s="818" t="n">
        <f aca="false">1000*(E1300-$E$215)/(B1300-$B$215)</f>
        <v>11.4505712705729</v>
      </c>
      <c r="K1300" s="732" t="n">
        <f aca="false">AVERAGE($E$216:E1300)</f>
        <v>10.4524639933596</v>
      </c>
      <c r="L1300" s="819" t="n">
        <f aca="false">L1299+1</f>
        <v>1085</v>
      </c>
      <c r="M1300" s="820" t="n">
        <f aca="false">IF(B1300&lt;$E$104,$E$105,$E$106)</f>
        <v>3</v>
      </c>
      <c r="N1300" s="821" t="n">
        <f aca="false">IF(B1300&lt;$E$104,$E$105,$E$111)</f>
        <v>2.5</v>
      </c>
      <c r="O1300" s="822" t="n">
        <f aca="false">E1300*$E$205*N1300</f>
        <v>208.65621742574</v>
      </c>
      <c r="P1300" s="823" t="n">
        <f aca="false">P1299+O1300</f>
        <v>148813.011505424</v>
      </c>
      <c r="Q1300" s="606" t="n">
        <f aca="false">Q1299+1</f>
        <v>1085</v>
      </c>
      <c r="R1300" s="824" t="n">
        <f aca="false">R1299-1</f>
        <v>-1085</v>
      </c>
      <c r="S1300" s="5"/>
      <c r="T1300" s="5"/>
      <c r="U1300" s="5"/>
      <c r="V1300" s="10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02"/>
      <c r="AU1300" s="502"/>
      <c r="AV1300" s="606"/>
      <c r="AW1300" s="502"/>
      <c r="AX1300" s="502"/>
      <c r="AY1300" s="502"/>
      <c r="AZ1300" s="502"/>
      <c r="BA1300" s="502"/>
      <c r="BB1300" s="502"/>
      <c r="BC1300" s="502"/>
      <c r="BD1300" s="502"/>
      <c r="BE1300" s="502"/>
      <c r="BF1300" s="502"/>
      <c r="BG1300" s="502"/>
      <c r="BH1300" s="502"/>
      <c r="BI1300" s="502"/>
      <c r="BJ1300" s="502"/>
      <c r="BK1300" s="502"/>
      <c r="BL1300" s="502"/>
      <c r="BM1300" s="502"/>
      <c r="BN1300" s="502"/>
      <c r="BO1300" s="502"/>
      <c r="BP1300" s="5"/>
      <c r="BQ1300" s="5"/>
      <c r="BR1300" s="5"/>
      <c r="BS1300" s="5"/>
      <c r="BT1300" s="5"/>
      <c r="BU1300" s="5"/>
      <c r="BV1300" s="5"/>
      <c r="BW1300" s="5"/>
      <c r="BX1300" s="5"/>
      <c r="BY1300" s="5"/>
      <c r="BZ1300" s="5"/>
      <c r="CA1300" s="5"/>
      <c r="CB1300" s="5"/>
      <c r="CC1300" s="5"/>
      <c r="CD1300" s="5"/>
      <c r="CE1300" s="5"/>
      <c r="CF1300" s="5"/>
      <c r="CG1300" s="5"/>
      <c r="CH1300" s="5"/>
      <c r="CI1300" s="5"/>
      <c r="CJ1300" s="5"/>
      <c r="CK1300" s="5"/>
      <c r="CL1300" s="5"/>
      <c r="CM1300" s="5"/>
      <c r="CN1300" s="5"/>
      <c r="CO1300" s="5"/>
      <c r="CP1300" s="5"/>
      <c r="CQ1300" s="5"/>
      <c r="CR1300" s="5"/>
      <c r="CS1300" s="5"/>
      <c r="CT1300" s="5"/>
      <c r="CU1300" s="5"/>
      <c r="CV1300" s="5"/>
      <c r="CW1300" s="5"/>
      <c r="CX1300" s="5"/>
      <c r="CY1300" s="5"/>
      <c r="CZ1300" s="5"/>
      <c r="DA1300" s="5"/>
      <c r="DB1300" s="5"/>
      <c r="DC1300" s="5"/>
      <c r="DD1300" s="5"/>
      <c r="DE1300" s="5"/>
      <c r="DF1300" s="5"/>
      <c r="DG1300" s="5"/>
      <c r="DH1300" s="5"/>
      <c r="DI1300" s="5"/>
      <c r="DJ1300" s="5"/>
      <c r="DK1300" s="5"/>
      <c r="DL1300" s="5"/>
      <c r="DM1300" s="5"/>
      <c r="DN1300" s="5"/>
      <c r="DO1300" s="5"/>
      <c r="DP1300" s="5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  <c r="GV1300" s="1"/>
      <c r="GW1300" s="1"/>
      <c r="GX1300" s="1"/>
      <c r="GY1300" s="1"/>
      <c r="GZ1300" s="1"/>
      <c r="HA1300" s="1"/>
      <c r="HB1300" s="1"/>
      <c r="HC1300" s="1"/>
      <c r="HD1300" s="1"/>
      <c r="HE1300" s="1"/>
      <c r="HF1300" s="1"/>
      <c r="HG1300" s="1"/>
      <c r="HH1300" s="1"/>
      <c r="HI1300" s="1"/>
      <c r="HJ1300" s="1"/>
      <c r="HK1300" s="1"/>
      <c r="HL1300" s="1"/>
      <c r="HM1300" s="1"/>
      <c r="HN1300" s="1"/>
      <c r="HO1300" s="1"/>
      <c r="HP1300" s="1"/>
      <c r="HQ1300" s="1"/>
      <c r="HR1300" s="1"/>
      <c r="HS1300" s="1"/>
      <c r="HT1300" s="1"/>
      <c r="HU1300" s="1"/>
      <c r="HV1300" s="1"/>
      <c r="HW1300" s="1"/>
      <c r="HX1300" s="1"/>
      <c r="HY1300" s="1"/>
      <c r="HZ1300" s="1"/>
      <c r="IA1300" s="1"/>
      <c r="IB1300" s="1"/>
      <c r="IC1300" s="1"/>
      <c r="ID1300" s="1"/>
      <c r="IE1300" s="1"/>
      <c r="IF1300" s="1"/>
      <c r="IG1300" s="1"/>
      <c r="IH1300" s="1"/>
      <c r="II1300" s="1"/>
      <c r="IJ1300" s="1"/>
      <c r="IK1300" s="1"/>
      <c r="IL1300" s="1"/>
      <c r="IM1300" s="1"/>
      <c r="IN1300" s="1"/>
      <c r="IO1300" s="1"/>
      <c r="IP1300" s="1"/>
      <c r="IQ1300" s="1"/>
      <c r="IR1300" s="1"/>
      <c r="IS1300" s="1"/>
      <c r="IT1300" s="1"/>
      <c r="IU1300" s="1"/>
      <c r="IV1300" s="1"/>
      <c r="IW1300" s="1"/>
      <c r="IX1300" s="1"/>
      <c r="IY1300" s="1"/>
      <c r="IZ1300" s="1"/>
      <c r="JA1300" s="1"/>
      <c r="JB1300" s="1"/>
      <c r="JC1300" s="1"/>
      <c r="JD1300" s="1"/>
    </row>
    <row r="1301" s="504" customFormat="true" ht="12.75" hidden="true" customHeight="true" outlineLevel="0" collapsed="false">
      <c r="A1301" s="5"/>
      <c r="B1301" s="813" t="n">
        <f aca="false">B1300+1</f>
        <v>1086</v>
      </c>
      <c r="C1301" s="814" t="n">
        <f aca="false">C1300+D1301</f>
        <v>178764.142226969</v>
      </c>
      <c r="D1301" s="815" t="n">
        <f aca="false">E1301*$E$205*M1301</f>
        <v>250.545140910888</v>
      </c>
      <c r="E1301" s="601" t="n">
        <f aca="false">E1300+$C$204</f>
        <v>15.8894686016545</v>
      </c>
      <c r="F1301" s="816" t="n">
        <f aca="false">F1300+1</f>
        <v>1086</v>
      </c>
      <c r="G1301" s="775" t="n">
        <f aca="false">C1301</f>
        <v>178764.142226969</v>
      </c>
      <c r="H1301" s="817" t="n">
        <f aca="false">1000*(E1301-E1300)</f>
        <v>9.99999999999979</v>
      </c>
      <c r="I1301" s="5"/>
      <c r="J1301" s="818" t="n">
        <f aca="false">1000*(E1301-$E$215)/(B1301-$B$215)</f>
        <v>11.4492355695871</v>
      </c>
      <c r="K1301" s="732" t="n">
        <f aca="false">AVERAGE($E$216:E1301)</f>
        <v>10.4574704432752</v>
      </c>
      <c r="L1301" s="819" t="n">
        <f aca="false">L1300+1</f>
        <v>1086</v>
      </c>
      <c r="M1301" s="820" t="n">
        <f aca="false">IF(B1301&lt;$E$104,$E$105,$E$106)</f>
        <v>3</v>
      </c>
      <c r="N1301" s="821" t="n">
        <f aca="false">IF(B1301&lt;$E$104,$E$105,$E$111)</f>
        <v>2.5</v>
      </c>
      <c r="O1301" s="822" t="n">
        <f aca="false">E1301*$E$205*N1301</f>
        <v>208.78761742574</v>
      </c>
      <c r="P1301" s="823" t="n">
        <f aca="false">P1300+O1301</f>
        <v>149021.79912285</v>
      </c>
      <c r="Q1301" s="606" t="n">
        <f aca="false">Q1300+1</f>
        <v>1086</v>
      </c>
      <c r="R1301" s="824" t="n">
        <f aca="false">R1300-1</f>
        <v>-1086</v>
      </c>
      <c r="S1301" s="5"/>
      <c r="T1301" s="5"/>
      <c r="U1301" s="5"/>
      <c r="V1301" s="10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02"/>
      <c r="AU1301" s="502"/>
      <c r="AV1301" s="606"/>
      <c r="AW1301" s="502"/>
      <c r="AX1301" s="502"/>
      <c r="AY1301" s="502"/>
      <c r="AZ1301" s="502"/>
      <c r="BA1301" s="502"/>
      <c r="BB1301" s="502"/>
      <c r="BC1301" s="502"/>
      <c r="BD1301" s="502"/>
      <c r="BE1301" s="502"/>
      <c r="BF1301" s="502"/>
      <c r="BG1301" s="502"/>
      <c r="BH1301" s="502"/>
      <c r="BI1301" s="502"/>
      <c r="BJ1301" s="502"/>
      <c r="BK1301" s="502"/>
      <c r="BL1301" s="502"/>
      <c r="BM1301" s="502"/>
      <c r="BN1301" s="502"/>
      <c r="BO1301" s="502"/>
      <c r="BP1301" s="5"/>
      <c r="BQ1301" s="5"/>
      <c r="BR1301" s="5"/>
      <c r="BS1301" s="5"/>
      <c r="BT1301" s="5"/>
      <c r="BU1301" s="5"/>
      <c r="BV1301" s="5"/>
      <c r="BW1301" s="5"/>
      <c r="BX1301" s="5"/>
      <c r="BY1301" s="5"/>
      <c r="BZ1301" s="5"/>
      <c r="CA1301" s="5"/>
      <c r="CB1301" s="5"/>
      <c r="CC1301" s="5"/>
      <c r="CD1301" s="5"/>
      <c r="CE1301" s="5"/>
      <c r="CF1301" s="5"/>
      <c r="CG1301" s="5"/>
      <c r="CH1301" s="5"/>
      <c r="CI1301" s="5"/>
      <c r="CJ1301" s="5"/>
      <c r="CK1301" s="5"/>
      <c r="CL1301" s="5"/>
      <c r="CM1301" s="5"/>
      <c r="CN1301" s="5"/>
      <c r="CO1301" s="5"/>
      <c r="CP1301" s="5"/>
      <c r="CQ1301" s="5"/>
      <c r="CR1301" s="5"/>
      <c r="CS1301" s="5"/>
      <c r="CT1301" s="5"/>
      <c r="CU1301" s="5"/>
      <c r="CV1301" s="5"/>
      <c r="CW1301" s="5"/>
      <c r="CX1301" s="5"/>
      <c r="CY1301" s="5"/>
      <c r="CZ1301" s="5"/>
      <c r="DA1301" s="5"/>
      <c r="DB1301" s="5"/>
      <c r="DC1301" s="5"/>
      <c r="DD1301" s="5"/>
      <c r="DE1301" s="5"/>
      <c r="DF1301" s="5"/>
      <c r="DG1301" s="5"/>
      <c r="DH1301" s="5"/>
      <c r="DI1301" s="5"/>
      <c r="DJ1301" s="5"/>
      <c r="DK1301" s="5"/>
      <c r="DL1301" s="5"/>
      <c r="DM1301" s="5"/>
      <c r="DN1301" s="5"/>
      <c r="DO1301" s="5"/>
      <c r="DP1301" s="5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  <c r="GV1301" s="1"/>
      <c r="GW1301" s="1"/>
      <c r="GX1301" s="1"/>
      <c r="GY1301" s="1"/>
      <c r="GZ1301" s="1"/>
      <c r="HA1301" s="1"/>
      <c r="HB1301" s="1"/>
      <c r="HC1301" s="1"/>
      <c r="HD1301" s="1"/>
      <c r="HE1301" s="1"/>
      <c r="HF1301" s="1"/>
      <c r="HG1301" s="1"/>
      <c r="HH1301" s="1"/>
      <c r="HI1301" s="1"/>
      <c r="HJ1301" s="1"/>
      <c r="HK1301" s="1"/>
      <c r="HL1301" s="1"/>
      <c r="HM1301" s="1"/>
      <c r="HN1301" s="1"/>
      <c r="HO1301" s="1"/>
      <c r="HP1301" s="1"/>
      <c r="HQ1301" s="1"/>
      <c r="HR1301" s="1"/>
      <c r="HS1301" s="1"/>
      <c r="HT1301" s="1"/>
      <c r="HU1301" s="1"/>
      <c r="HV1301" s="1"/>
      <c r="HW1301" s="1"/>
      <c r="HX1301" s="1"/>
      <c r="HY1301" s="1"/>
      <c r="HZ1301" s="1"/>
      <c r="IA1301" s="1"/>
      <c r="IB1301" s="1"/>
      <c r="IC1301" s="1"/>
      <c r="ID1301" s="1"/>
      <c r="IE1301" s="1"/>
      <c r="IF1301" s="1"/>
      <c r="IG1301" s="1"/>
      <c r="IH1301" s="1"/>
      <c r="II1301" s="1"/>
      <c r="IJ1301" s="1"/>
      <c r="IK1301" s="1"/>
      <c r="IL1301" s="1"/>
      <c r="IM1301" s="1"/>
      <c r="IN1301" s="1"/>
      <c r="IO1301" s="1"/>
      <c r="IP1301" s="1"/>
      <c r="IQ1301" s="1"/>
      <c r="IR1301" s="1"/>
      <c r="IS1301" s="1"/>
      <c r="IT1301" s="1"/>
      <c r="IU1301" s="1"/>
      <c r="IV1301" s="1"/>
      <c r="IW1301" s="1"/>
      <c r="IX1301" s="1"/>
      <c r="IY1301" s="1"/>
      <c r="IZ1301" s="1"/>
      <c r="JA1301" s="1"/>
      <c r="JB1301" s="1"/>
      <c r="JC1301" s="1"/>
      <c r="JD1301" s="1"/>
    </row>
    <row r="1302" s="504" customFormat="true" ht="12.75" hidden="true" customHeight="true" outlineLevel="0" collapsed="false">
      <c r="A1302" s="5"/>
      <c r="B1302" s="813" t="n">
        <f aca="false">B1301+1</f>
        <v>1087</v>
      </c>
      <c r="C1302" s="814" t="n">
        <f aca="false">C1301+D1302</f>
        <v>179014.84504788</v>
      </c>
      <c r="D1302" s="815" t="n">
        <f aca="false">E1302*$E$205*M1302</f>
        <v>250.702820910888</v>
      </c>
      <c r="E1302" s="601" t="n">
        <f aca="false">E1301+$C$204</f>
        <v>15.8994686016545</v>
      </c>
      <c r="F1302" s="816" t="n">
        <f aca="false">F1301+1</f>
        <v>1087</v>
      </c>
      <c r="G1302" s="775" t="n">
        <f aca="false">C1302</f>
        <v>179014.84504788</v>
      </c>
      <c r="H1302" s="817" t="n">
        <f aca="false">1000*(E1302-E1301)</f>
        <v>9.99999999999979</v>
      </c>
      <c r="I1302" s="5"/>
      <c r="J1302" s="818" t="n">
        <f aca="false">1000*(E1302-$E$215)/(B1302-$B$215)</f>
        <v>11.4479023261928</v>
      </c>
      <c r="K1302" s="732" t="n">
        <f aca="false">AVERAGE($E$216:E1302)</f>
        <v>10.4624768813234</v>
      </c>
      <c r="L1302" s="819" t="n">
        <f aca="false">L1301+1</f>
        <v>1087</v>
      </c>
      <c r="M1302" s="820" t="n">
        <f aca="false">IF(B1302&lt;$E$104,$E$105,$E$106)</f>
        <v>3</v>
      </c>
      <c r="N1302" s="821" t="n">
        <f aca="false">IF(B1302&lt;$E$104,$E$105,$E$111)</f>
        <v>2.5</v>
      </c>
      <c r="O1302" s="822" t="n">
        <f aca="false">E1302*$E$205*N1302</f>
        <v>208.91901742574</v>
      </c>
      <c r="P1302" s="823" t="n">
        <f aca="false">P1301+O1302</f>
        <v>149230.718140276</v>
      </c>
      <c r="Q1302" s="606" t="n">
        <f aca="false">Q1301+1</f>
        <v>1087</v>
      </c>
      <c r="R1302" s="824" t="n">
        <f aca="false">R1301-1</f>
        <v>-1087</v>
      </c>
      <c r="S1302" s="5"/>
      <c r="T1302" s="5"/>
      <c r="U1302" s="5"/>
      <c r="V1302" s="10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02"/>
      <c r="AU1302" s="502"/>
      <c r="AV1302" s="606"/>
      <c r="AW1302" s="502"/>
      <c r="AX1302" s="502"/>
      <c r="AY1302" s="502"/>
      <c r="AZ1302" s="502"/>
      <c r="BA1302" s="502"/>
      <c r="BB1302" s="502"/>
      <c r="BC1302" s="502"/>
      <c r="BD1302" s="502"/>
      <c r="BE1302" s="502"/>
      <c r="BF1302" s="502"/>
      <c r="BG1302" s="502"/>
      <c r="BH1302" s="502"/>
      <c r="BI1302" s="502"/>
      <c r="BJ1302" s="502"/>
      <c r="BK1302" s="502"/>
      <c r="BL1302" s="502"/>
      <c r="BM1302" s="502"/>
      <c r="BN1302" s="502"/>
      <c r="BO1302" s="502"/>
      <c r="BP1302" s="5"/>
      <c r="BQ1302" s="5"/>
      <c r="BR1302" s="5"/>
      <c r="BS1302" s="5"/>
      <c r="BT1302" s="5"/>
      <c r="BU1302" s="5"/>
      <c r="BV1302" s="5"/>
      <c r="BW1302" s="5"/>
      <c r="BX1302" s="5"/>
      <c r="BY1302" s="5"/>
      <c r="BZ1302" s="5"/>
      <c r="CA1302" s="5"/>
      <c r="CB1302" s="5"/>
      <c r="CC1302" s="5"/>
      <c r="CD1302" s="5"/>
      <c r="CE1302" s="5"/>
      <c r="CF1302" s="5"/>
      <c r="CG1302" s="5"/>
      <c r="CH1302" s="5"/>
      <c r="CI1302" s="5"/>
      <c r="CJ1302" s="5"/>
      <c r="CK1302" s="5"/>
      <c r="CL1302" s="5"/>
      <c r="CM1302" s="5"/>
      <c r="CN1302" s="5"/>
      <c r="CO1302" s="5"/>
      <c r="CP1302" s="5"/>
      <c r="CQ1302" s="5"/>
      <c r="CR1302" s="5"/>
      <c r="CS1302" s="5"/>
      <c r="CT1302" s="5"/>
      <c r="CU1302" s="5"/>
      <c r="CV1302" s="5"/>
      <c r="CW1302" s="5"/>
      <c r="CX1302" s="5"/>
      <c r="CY1302" s="5"/>
      <c r="CZ1302" s="5"/>
      <c r="DA1302" s="5"/>
      <c r="DB1302" s="5"/>
      <c r="DC1302" s="5"/>
      <c r="DD1302" s="5"/>
      <c r="DE1302" s="5"/>
      <c r="DF1302" s="5"/>
      <c r="DG1302" s="5"/>
      <c r="DH1302" s="5"/>
      <c r="DI1302" s="5"/>
      <c r="DJ1302" s="5"/>
      <c r="DK1302" s="5"/>
      <c r="DL1302" s="5"/>
      <c r="DM1302" s="5"/>
      <c r="DN1302" s="5"/>
      <c r="DO1302" s="5"/>
      <c r="DP1302" s="5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  <c r="GV1302" s="1"/>
      <c r="GW1302" s="1"/>
      <c r="GX1302" s="1"/>
      <c r="GY1302" s="1"/>
      <c r="GZ1302" s="1"/>
      <c r="HA1302" s="1"/>
      <c r="HB1302" s="1"/>
      <c r="HC1302" s="1"/>
      <c r="HD1302" s="1"/>
      <c r="HE1302" s="1"/>
      <c r="HF1302" s="1"/>
      <c r="HG1302" s="1"/>
      <c r="HH1302" s="1"/>
      <c r="HI1302" s="1"/>
      <c r="HJ1302" s="1"/>
      <c r="HK1302" s="1"/>
      <c r="HL1302" s="1"/>
      <c r="HM1302" s="1"/>
      <c r="HN1302" s="1"/>
      <c r="HO1302" s="1"/>
      <c r="HP1302" s="1"/>
      <c r="HQ1302" s="1"/>
      <c r="HR1302" s="1"/>
      <c r="HS1302" s="1"/>
      <c r="HT1302" s="1"/>
      <c r="HU1302" s="1"/>
      <c r="HV1302" s="1"/>
      <c r="HW1302" s="1"/>
      <c r="HX1302" s="1"/>
      <c r="HY1302" s="1"/>
      <c r="HZ1302" s="1"/>
      <c r="IA1302" s="1"/>
      <c r="IB1302" s="1"/>
      <c r="IC1302" s="1"/>
      <c r="ID1302" s="1"/>
      <c r="IE1302" s="1"/>
      <c r="IF1302" s="1"/>
      <c r="IG1302" s="1"/>
      <c r="IH1302" s="1"/>
      <c r="II1302" s="1"/>
      <c r="IJ1302" s="1"/>
      <c r="IK1302" s="1"/>
      <c r="IL1302" s="1"/>
      <c r="IM1302" s="1"/>
      <c r="IN1302" s="1"/>
      <c r="IO1302" s="1"/>
      <c r="IP1302" s="1"/>
      <c r="IQ1302" s="1"/>
      <c r="IR1302" s="1"/>
      <c r="IS1302" s="1"/>
      <c r="IT1302" s="1"/>
      <c r="IU1302" s="1"/>
      <c r="IV1302" s="1"/>
      <c r="IW1302" s="1"/>
      <c r="IX1302" s="1"/>
      <c r="IY1302" s="1"/>
      <c r="IZ1302" s="1"/>
      <c r="JA1302" s="1"/>
      <c r="JB1302" s="1"/>
      <c r="JC1302" s="1"/>
      <c r="JD1302" s="1"/>
    </row>
    <row r="1303" s="504" customFormat="true" ht="12.75" hidden="true" customHeight="true" outlineLevel="0" collapsed="false">
      <c r="A1303" s="5"/>
      <c r="B1303" s="813" t="n">
        <f aca="false">B1302+1</f>
        <v>1088</v>
      </c>
      <c r="C1303" s="814" t="n">
        <f aca="false">C1302+D1303</f>
        <v>179265.70554879</v>
      </c>
      <c r="D1303" s="815" t="n">
        <f aca="false">E1303*$E$205*M1303</f>
        <v>250.860500910888</v>
      </c>
      <c r="E1303" s="601" t="n">
        <f aca="false">E1302+$C$204</f>
        <v>15.9094686016545</v>
      </c>
      <c r="F1303" s="816" t="n">
        <f aca="false">F1302+1</f>
        <v>1088</v>
      </c>
      <c r="G1303" s="775" t="n">
        <f aca="false">C1303</f>
        <v>179265.70554879</v>
      </c>
      <c r="H1303" s="817" t="n">
        <f aca="false">1000*(E1303-E1302)</f>
        <v>9.99999999999979</v>
      </c>
      <c r="I1303" s="5"/>
      <c r="J1303" s="818" t="n">
        <f aca="false">1000*(E1303-$E$215)/(B1303-$B$215)</f>
        <v>11.4465715336136</v>
      </c>
      <c r="K1303" s="732" t="n">
        <f aca="false">AVERAGE($E$216:E1303)</f>
        <v>10.4674833075369</v>
      </c>
      <c r="L1303" s="819" t="n">
        <f aca="false">L1302+1</f>
        <v>1088</v>
      </c>
      <c r="M1303" s="820" t="n">
        <f aca="false">IF(B1303&lt;$E$104,$E$105,$E$106)</f>
        <v>3</v>
      </c>
      <c r="N1303" s="821" t="n">
        <f aca="false">IF(B1303&lt;$E$104,$E$105,$E$111)</f>
        <v>2.5</v>
      </c>
      <c r="O1303" s="822" t="n">
        <f aca="false">E1303*$E$205*N1303</f>
        <v>209.05041742574</v>
      </c>
      <c r="P1303" s="823" t="n">
        <f aca="false">P1302+O1303</f>
        <v>149439.768557702</v>
      </c>
      <c r="Q1303" s="606" t="n">
        <f aca="false">Q1302+1</f>
        <v>1088</v>
      </c>
      <c r="R1303" s="824" t="n">
        <f aca="false">R1302-1</f>
        <v>-1088</v>
      </c>
      <c r="S1303" s="5"/>
      <c r="T1303" s="5"/>
      <c r="U1303" s="5"/>
      <c r="V1303" s="10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02"/>
      <c r="AU1303" s="502"/>
      <c r="AV1303" s="606"/>
      <c r="AW1303" s="502"/>
      <c r="AX1303" s="502"/>
      <c r="AY1303" s="502"/>
      <c r="AZ1303" s="502"/>
      <c r="BA1303" s="502"/>
      <c r="BB1303" s="502"/>
      <c r="BC1303" s="502"/>
      <c r="BD1303" s="502"/>
      <c r="BE1303" s="502"/>
      <c r="BF1303" s="502"/>
      <c r="BG1303" s="502"/>
      <c r="BH1303" s="502"/>
      <c r="BI1303" s="502"/>
      <c r="BJ1303" s="502"/>
      <c r="BK1303" s="502"/>
      <c r="BL1303" s="502"/>
      <c r="BM1303" s="502"/>
      <c r="BN1303" s="502"/>
      <c r="BO1303" s="502"/>
      <c r="BP1303" s="5"/>
      <c r="BQ1303" s="5"/>
      <c r="BR1303" s="5"/>
      <c r="BS1303" s="5"/>
      <c r="BT1303" s="5"/>
      <c r="BU1303" s="5"/>
      <c r="BV1303" s="5"/>
      <c r="BW1303" s="5"/>
      <c r="BX1303" s="5"/>
      <c r="BY1303" s="5"/>
      <c r="BZ1303" s="5"/>
      <c r="CA1303" s="5"/>
      <c r="CB1303" s="5"/>
      <c r="CC1303" s="5"/>
      <c r="CD1303" s="5"/>
      <c r="CE1303" s="5"/>
      <c r="CF1303" s="5"/>
      <c r="CG1303" s="5"/>
      <c r="CH1303" s="5"/>
      <c r="CI1303" s="5"/>
      <c r="CJ1303" s="5"/>
      <c r="CK1303" s="5"/>
      <c r="CL1303" s="5"/>
      <c r="CM1303" s="5"/>
      <c r="CN1303" s="5"/>
      <c r="CO1303" s="5"/>
      <c r="CP1303" s="5"/>
      <c r="CQ1303" s="5"/>
      <c r="CR1303" s="5"/>
      <c r="CS1303" s="5"/>
      <c r="CT1303" s="5"/>
      <c r="CU1303" s="5"/>
      <c r="CV1303" s="5"/>
      <c r="CW1303" s="5"/>
      <c r="CX1303" s="5"/>
      <c r="CY1303" s="5"/>
      <c r="CZ1303" s="5"/>
      <c r="DA1303" s="5"/>
      <c r="DB1303" s="5"/>
      <c r="DC1303" s="5"/>
      <c r="DD1303" s="5"/>
      <c r="DE1303" s="5"/>
      <c r="DF1303" s="5"/>
      <c r="DG1303" s="5"/>
      <c r="DH1303" s="5"/>
      <c r="DI1303" s="5"/>
      <c r="DJ1303" s="5"/>
      <c r="DK1303" s="5"/>
      <c r="DL1303" s="5"/>
      <c r="DM1303" s="5"/>
      <c r="DN1303" s="5"/>
      <c r="DO1303" s="5"/>
      <c r="DP1303" s="5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  <c r="GV1303" s="1"/>
      <c r="GW1303" s="1"/>
      <c r="GX1303" s="1"/>
      <c r="GY1303" s="1"/>
      <c r="GZ1303" s="1"/>
      <c r="HA1303" s="1"/>
      <c r="HB1303" s="1"/>
      <c r="HC1303" s="1"/>
      <c r="HD1303" s="1"/>
      <c r="HE1303" s="1"/>
      <c r="HF1303" s="1"/>
      <c r="HG1303" s="1"/>
      <c r="HH1303" s="1"/>
      <c r="HI1303" s="1"/>
      <c r="HJ1303" s="1"/>
      <c r="HK1303" s="1"/>
      <c r="HL1303" s="1"/>
      <c r="HM1303" s="1"/>
      <c r="HN1303" s="1"/>
      <c r="HO1303" s="1"/>
      <c r="HP1303" s="1"/>
      <c r="HQ1303" s="1"/>
      <c r="HR1303" s="1"/>
      <c r="HS1303" s="1"/>
      <c r="HT1303" s="1"/>
      <c r="HU1303" s="1"/>
      <c r="HV1303" s="1"/>
      <c r="HW1303" s="1"/>
      <c r="HX1303" s="1"/>
      <c r="HY1303" s="1"/>
      <c r="HZ1303" s="1"/>
      <c r="IA1303" s="1"/>
      <c r="IB1303" s="1"/>
      <c r="IC1303" s="1"/>
      <c r="ID1303" s="1"/>
      <c r="IE1303" s="1"/>
      <c r="IF1303" s="1"/>
      <c r="IG1303" s="1"/>
      <c r="IH1303" s="1"/>
      <c r="II1303" s="1"/>
      <c r="IJ1303" s="1"/>
      <c r="IK1303" s="1"/>
      <c r="IL1303" s="1"/>
      <c r="IM1303" s="1"/>
      <c r="IN1303" s="1"/>
      <c r="IO1303" s="1"/>
      <c r="IP1303" s="1"/>
      <c r="IQ1303" s="1"/>
      <c r="IR1303" s="1"/>
      <c r="IS1303" s="1"/>
      <c r="IT1303" s="1"/>
      <c r="IU1303" s="1"/>
      <c r="IV1303" s="1"/>
      <c r="IW1303" s="1"/>
      <c r="IX1303" s="1"/>
      <c r="IY1303" s="1"/>
      <c r="IZ1303" s="1"/>
      <c r="JA1303" s="1"/>
      <c r="JB1303" s="1"/>
      <c r="JC1303" s="1"/>
      <c r="JD1303" s="1"/>
    </row>
    <row r="1304" s="504" customFormat="true" ht="12.75" hidden="true" customHeight="true" outlineLevel="0" collapsed="false">
      <c r="A1304" s="5"/>
      <c r="B1304" s="813" t="n">
        <f aca="false">B1303+1</f>
        <v>1089</v>
      </c>
      <c r="C1304" s="814" t="n">
        <f aca="false">C1303+D1304</f>
        <v>179516.723729701</v>
      </c>
      <c r="D1304" s="815" t="n">
        <f aca="false">E1304*$E$205*M1304</f>
        <v>251.018180910888</v>
      </c>
      <c r="E1304" s="601" t="n">
        <f aca="false">E1303+$C$204</f>
        <v>15.9194686016545</v>
      </c>
      <c r="F1304" s="816" t="n">
        <f aca="false">F1303+1</f>
        <v>1089</v>
      </c>
      <c r="G1304" s="775" t="n">
        <f aca="false">C1304</f>
        <v>179516.723729701</v>
      </c>
      <c r="H1304" s="817" t="n">
        <f aca="false">1000*(E1304-E1303)</f>
        <v>9.99999999999979</v>
      </c>
      <c r="I1304" s="5"/>
      <c r="J1304" s="818" t="n">
        <f aca="false">1000*(E1304-$E$215)/(B1304-$B$215)</f>
        <v>11.4452431850979</v>
      </c>
      <c r="K1304" s="732" t="n">
        <f aca="false">AVERAGE($E$216:E1304)</f>
        <v>10.4724897219484</v>
      </c>
      <c r="L1304" s="819" t="n">
        <f aca="false">L1303+1</f>
        <v>1089</v>
      </c>
      <c r="M1304" s="820" t="n">
        <f aca="false">IF(B1304&lt;$E$104,$E$105,$E$106)</f>
        <v>3</v>
      </c>
      <c r="N1304" s="821" t="n">
        <f aca="false">IF(B1304&lt;$E$104,$E$105,$E$111)</f>
        <v>2.5</v>
      </c>
      <c r="O1304" s="822" t="n">
        <f aca="false">E1304*$E$205*N1304</f>
        <v>209.18181742574</v>
      </c>
      <c r="P1304" s="823" t="n">
        <f aca="false">P1303+O1304</f>
        <v>149648.950375127</v>
      </c>
      <c r="Q1304" s="606" t="n">
        <f aca="false">Q1303+1</f>
        <v>1089</v>
      </c>
      <c r="R1304" s="824" t="n">
        <f aca="false">R1303-1</f>
        <v>-1089</v>
      </c>
      <c r="S1304" s="5"/>
      <c r="T1304" s="5"/>
      <c r="U1304" s="5"/>
      <c r="V1304" s="10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02"/>
      <c r="AU1304" s="502"/>
      <c r="AV1304" s="606"/>
      <c r="AW1304" s="502"/>
      <c r="AX1304" s="502"/>
      <c r="AY1304" s="502"/>
      <c r="AZ1304" s="502"/>
      <c r="BA1304" s="502"/>
      <c r="BB1304" s="502"/>
      <c r="BC1304" s="502"/>
      <c r="BD1304" s="502"/>
      <c r="BE1304" s="502"/>
      <c r="BF1304" s="502"/>
      <c r="BG1304" s="502"/>
      <c r="BH1304" s="502"/>
      <c r="BI1304" s="502"/>
      <c r="BJ1304" s="502"/>
      <c r="BK1304" s="502"/>
      <c r="BL1304" s="502"/>
      <c r="BM1304" s="502"/>
      <c r="BN1304" s="502"/>
      <c r="BO1304" s="502"/>
      <c r="BP1304" s="5"/>
      <c r="BQ1304" s="5"/>
      <c r="BR1304" s="5"/>
      <c r="BS1304" s="5"/>
      <c r="BT1304" s="5"/>
      <c r="BU1304" s="5"/>
      <c r="BV1304" s="5"/>
      <c r="BW1304" s="5"/>
      <c r="BX1304" s="5"/>
      <c r="BY1304" s="5"/>
      <c r="BZ1304" s="5"/>
      <c r="CA1304" s="5"/>
      <c r="CB1304" s="5"/>
      <c r="CC1304" s="5"/>
      <c r="CD1304" s="5"/>
      <c r="CE1304" s="5"/>
      <c r="CF1304" s="5"/>
      <c r="CG1304" s="5"/>
      <c r="CH1304" s="5"/>
      <c r="CI1304" s="5"/>
      <c r="CJ1304" s="5"/>
      <c r="CK1304" s="5"/>
      <c r="CL1304" s="5"/>
      <c r="CM1304" s="5"/>
      <c r="CN1304" s="5"/>
      <c r="CO1304" s="5"/>
      <c r="CP1304" s="5"/>
      <c r="CQ1304" s="5"/>
      <c r="CR1304" s="5"/>
      <c r="CS1304" s="5"/>
      <c r="CT1304" s="5"/>
      <c r="CU1304" s="5"/>
      <c r="CV1304" s="5"/>
      <c r="CW1304" s="5"/>
      <c r="CX1304" s="5"/>
      <c r="CY1304" s="5"/>
      <c r="CZ1304" s="5"/>
      <c r="DA1304" s="5"/>
      <c r="DB1304" s="5"/>
      <c r="DC1304" s="5"/>
      <c r="DD1304" s="5"/>
      <c r="DE1304" s="5"/>
      <c r="DF1304" s="5"/>
      <c r="DG1304" s="5"/>
      <c r="DH1304" s="5"/>
      <c r="DI1304" s="5"/>
      <c r="DJ1304" s="5"/>
      <c r="DK1304" s="5"/>
      <c r="DL1304" s="5"/>
      <c r="DM1304" s="5"/>
      <c r="DN1304" s="5"/>
      <c r="DO1304" s="5"/>
      <c r="DP1304" s="5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  <c r="GV1304" s="1"/>
      <c r="GW1304" s="1"/>
      <c r="GX1304" s="1"/>
      <c r="GY1304" s="1"/>
      <c r="GZ1304" s="1"/>
      <c r="HA1304" s="1"/>
      <c r="HB1304" s="1"/>
      <c r="HC1304" s="1"/>
      <c r="HD1304" s="1"/>
      <c r="HE1304" s="1"/>
      <c r="HF1304" s="1"/>
      <c r="HG1304" s="1"/>
      <c r="HH1304" s="1"/>
      <c r="HI1304" s="1"/>
      <c r="HJ1304" s="1"/>
      <c r="HK1304" s="1"/>
      <c r="HL1304" s="1"/>
      <c r="HM1304" s="1"/>
      <c r="HN1304" s="1"/>
      <c r="HO1304" s="1"/>
      <c r="HP1304" s="1"/>
      <c r="HQ1304" s="1"/>
      <c r="HR1304" s="1"/>
      <c r="HS1304" s="1"/>
      <c r="HT1304" s="1"/>
      <c r="HU1304" s="1"/>
      <c r="HV1304" s="1"/>
      <c r="HW1304" s="1"/>
      <c r="HX1304" s="1"/>
      <c r="HY1304" s="1"/>
      <c r="HZ1304" s="1"/>
      <c r="IA1304" s="1"/>
      <c r="IB1304" s="1"/>
      <c r="IC1304" s="1"/>
      <c r="ID1304" s="1"/>
      <c r="IE1304" s="1"/>
      <c r="IF1304" s="1"/>
      <c r="IG1304" s="1"/>
      <c r="IH1304" s="1"/>
      <c r="II1304" s="1"/>
      <c r="IJ1304" s="1"/>
      <c r="IK1304" s="1"/>
      <c r="IL1304" s="1"/>
      <c r="IM1304" s="1"/>
      <c r="IN1304" s="1"/>
      <c r="IO1304" s="1"/>
      <c r="IP1304" s="1"/>
      <c r="IQ1304" s="1"/>
      <c r="IR1304" s="1"/>
      <c r="IS1304" s="1"/>
      <c r="IT1304" s="1"/>
      <c r="IU1304" s="1"/>
      <c r="IV1304" s="1"/>
      <c r="IW1304" s="1"/>
      <c r="IX1304" s="1"/>
      <c r="IY1304" s="1"/>
      <c r="IZ1304" s="1"/>
      <c r="JA1304" s="1"/>
      <c r="JB1304" s="1"/>
      <c r="JC1304" s="1"/>
      <c r="JD1304" s="1"/>
    </row>
    <row r="1305" s="504" customFormat="true" ht="12.75" hidden="true" customHeight="true" outlineLevel="0" collapsed="false">
      <c r="A1305" s="5"/>
      <c r="B1305" s="813" t="n">
        <f aca="false">B1304+1</f>
        <v>1090</v>
      </c>
      <c r="C1305" s="814" t="n">
        <f aca="false">C1304+D1305</f>
        <v>179767.899590612</v>
      </c>
      <c r="D1305" s="815" t="n">
        <f aca="false">E1305*$E$205*M1305</f>
        <v>251.175860910888</v>
      </c>
      <c r="E1305" s="601" t="n">
        <f aca="false">E1304+$C$204</f>
        <v>15.9294686016545</v>
      </c>
      <c r="F1305" s="816" t="n">
        <f aca="false">F1304+1</f>
        <v>1090</v>
      </c>
      <c r="G1305" s="775" t="n">
        <f aca="false">C1305</f>
        <v>179767.899590612</v>
      </c>
      <c r="H1305" s="817" t="n">
        <f aca="false">1000*(E1305-E1304)</f>
        <v>9.99999999999979</v>
      </c>
      <c r="I1305" s="5"/>
      <c r="J1305" s="818" t="n">
        <f aca="false">1000*(E1305-$E$215)/(B1305-$B$215)</f>
        <v>11.4439172739189</v>
      </c>
      <c r="K1305" s="732" t="n">
        <f aca="false">AVERAGE($E$216:E1305)</f>
        <v>10.4774961245904</v>
      </c>
      <c r="L1305" s="819" t="n">
        <f aca="false">L1304+1</f>
        <v>1090</v>
      </c>
      <c r="M1305" s="820" t="n">
        <f aca="false">IF(B1305&lt;$E$104,$E$105,$E$106)</f>
        <v>3</v>
      </c>
      <c r="N1305" s="821" t="n">
        <f aca="false">IF(B1305&lt;$E$104,$E$105,$E$111)</f>
        <v>2.5</v>
      </c>
      <c r="O1305" s="822" t="n">
        <f aca="false">E1305*$E$205*N1305</f>
        <v>209.31321742574</v>
      </c>
      <c r="P1305" s="823" t="n">
        <f aca="false">P1304+O1305</f>
        <v>149858.263592553</v>
      </c>
      <c r="Q1305" s="606" t="n">
        <f aca="false">Q1304+1</f>
        <v>1090</v>
      </c>
      <c r="R1305" s="824" t="n">
        <f aca="false">R1304-1</f>
        <v>-1090</v>
      </c>
      <c r="S1305" s="5"/>
      <c r="T1305" s="5"/>
      <c r="U1305" s="5"/>
      <c r="V1305" s="10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02"/>
      <c r="AU1305" s="502"/>
      <c r="AV1305" s="606"/>
      <c r="AW1305" s="502"/>
      <c r="AX1305" s="502"/>
      <c r="AY1305" s="502"/>
      <c r="AZ1305" s="502"/>
      <c r="BA1305" s="502"/>
      <c r="BB1305" s="502"/>
      <c r="BC1305" s="502"/>
      <c r="BD1305" s="502"/>
      <c r="BE1305" s="502"/>
      <c r="BF1305" s="502"/>
      <c r="BG1305" s="502"/>
      <c r="BH1305" s="502"/>
      <c r="BI1305" s="502"/>
      <c r="BJ1305" s="502"/>
      <c r="BK1305" s="502"/>
      <c r="BL1305" s="502"/>
      <c r="BM1305" s="502"/>
      <c r="BN1305" s="502"/>
      <c r="BO1305" s="502"/>
      <c r="BP1305" s="5"/>
      <c r="BQ1305" s="5"/>
      <c r="BR1305" s="5"/>
      <c r="BS1305" s="5"/>
      <c r="BT1305" s="5"/>
      <c r="BU1305" s="5"/>
      <c r="BV1305" s="5"/>
      <c r="BW1305" s="5"/>
      <c r="BX1305" s="5"/>
      <c r="BY1305" s="5"/>
      <c r="BZ1305" s="5"/>
      <c r="CA1305" s="5"/>
      <c r="CB1305" s="5"/>
      <c r="CC1305" s="5"/>
      <c r="CD1305" s="5"/>
      <c r="CE1305" s="5"/>
      <c r="CF1305" s="5"/>
      <c r="CG1305" s="5"/>
      <c r="CH1305" s="5"/>
      <c r="CI1305" s="5"/>
      <c r="CJ1305" s="5"/>
      <c r="CK1305" s="5"/>
      <c r="CL1305" s="5"/>
      <c r="CM1305" s="5"/>
      <c r="CN1305" s="5"/>
      <c r="CO1305" s="5"/>
      <c r="CP1305" s="5"/>
      <c r="CQ1305" s="5"/>
      <c r="CR1305" s="5"/>
      <c r="CS1305" s="5"/>
      <c r="CT1305" s="5"/>
      <c r="CU1305" s="5"/>
      <c r="CV1305" s="5"/>
      <c r="CW1305" s="5"/>
      <c r="CX1305" s="5"/>
      <c r="CY1305" s="5"/>
      <c r="CZ1305" s="5"/>
      <c r="DA1305" s="5"/>
      <c r="DB1305" s="5"/>
      <c r="DC1305" s="5"/>
      <c r="DD1305" s="5"/>
      <c r="DE1305" s="5"/>
      <c r="DF1305" s="5"/>
      <c r="DG1305" s="5"/>
      <c r="DH1305" s="5"/>
      <c r="DI1305" s="5"/>
      <c r="DJ1305" s="5"/>
      <c r="DK1305" s="5"/>
      <c r="DL1305" s="5"/>
      <c r="DM1305" s="5"/>
      <c r="DN1305" s="5"/>
      <c r="DO1305" s="5"/>
      <c r="DP1305" s="5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  <c r="GV1305" s="1"/>
      <c r="GW1305" s="1"/>
      <c r="GX1305" s="1"/>
      <c r="GY1305" s="1"/>
      <c r="GZ1305" s="1"/>
      <c r="HA1305" s="1"/>
      <c r="HB1305" s="1"/>
      <c r="HC1305" s="1"/>
      <c r="HD1305" s="1"/>
      <c r="HE1305" s="1"/>
      <c r="HF1305" s="1"/>
      <c r="HG1305" s="1"/>
      <c r="HH1305" s="1"/>
      <c r="HI1305" s="1"/>
      <c r="HJ1305" s="1"/>
      <c r="HK1305" s="1"/>
      <c r="HL1305" s="1"/>
      <c r="HM1305" s="1"/>
      <c r="HN1305" s="1"/>
      <c r="HO1305" s="1"/>
      <c r="HP1305" s="1"/>
      <c r="HQ1305" s="1"/>
      <c r="HR1305" s="1"/>
      <c r="HS1305" s="1"/>
      <c r="HT1305" s="1"/>
      <c r="HU1305" s="1"/>
      <c r="HV1305" s="1"/>
      <c r="HW1305" s="1"/>
      <c r="HX1305" s="1"/>
      <c r="HY1305" s="1"/>
      <c r="HZ1305" s="1"/>
      <c r="IA1305" s="1"/>
      <c r="IB1305" s="1"/>
      <c r="IC1305" s="1"/>
      <c r="ID1305" s="1"/>
      <c r="IE1305" s="1"/>
      <c r="IF1305" s="1"/>
      <c r="IG1305" s="1"/>
      <c r="IH1305" s="1"/>
      <c r="II1305" s="1"/>
      <c r="IJ1305" s="1"/>
      <c r="IK1305" s="1"/>
      <c r="IL1305" s="1"/>
      <c r="IM1305" s="1"/>
      <c r="IN1305" s="1"/>
      <c r="IO1305" s="1"/>
      <c r="IP1305" s="1"/>
      <c r="IQ1305" s="1"/>
      <c r="IR1305" s="1"/>
      <c r="IS1305" s="1"/>
      <c r="IT1305" s="1"/>
      <c r="IU1305" s="1"/>
      <c r="IV1305" s="1"/>
      <c r="IW1305" s="1"/>
      <c r="IX1305" s="1"/>
      <c r="IY1305" s="1"/>
      <c r="IZ1305" s="1"/>
      <c r="JA1305" s="1"/>
      <c r="JB1305" s="1"/>
      <c r="JC1305" s="1"/>
      <c r="JD1305" s="1"/>
    </row>
    <row r="1306" s="504" customFormat="true" ht="12.75" hidden="true" customHeight="true" outlineLevel="0" collapsed="false">
      <c r="A1306" s="5"/>
      <c r="B1306" s="813" t="n">
        <f aca="false">B1305+1</f>
        <v>1091</v>
      </c>
      <c r="C1306" s="814" t="n">
        <f aca="false">C1305+D1306</f>
        <v>180019.233131523</v>
      </c>
      <c r="D1306" s="815" t="n">
        <f aca="false">E1306*$E$205*M1306</f>
        <v>251.333540910887</v>
      </c>
      <c r="E1306" s="601" t="n">
        <f aca="false">E1305+$C$204</f>
        <v>15.9394686016545</v>
      </c>
      <c r="F1306" s="816" t="n">
        <f aca="false">F1305+1</f>
        <v>1091</v>
      </c>
      <c r="G1306" s="775" t="n">
        <f aca="false">C1306</f>
        <v>180019.233131523</v>
      </c>
      <c r="H1306" s="817" t="n">
        <f aca="false">1000*(E1306-E1305)</f>
        <v>9.99999999999979</v>
      </c>
      <c r="I1306" s="5"/>
      <c r="J1306" s="818" t="n">
        <f aca="false">1000*(E1306-$E$215)/(B1306-$B$215)</f>
        <v>11.4425937933745</v>
      </c>
      <c r="K1306" s="732" t="n">
        <f aca="false">AVERAGE($E$216:E1306)</f>
        <v>10.4825025154951</v>
      </c>
      <c r="L1306" s="819" t="n">
        <f aca="false">L1305+1</f>
        <v>1091</v>
      </c>
      <c r="M1306" s="820" t="n">
        <f aca="false">IF(B1306&lt;$E$104,$E$105,$E$106)</f>
        <v>3</v>
      </c>
      <c r="N1306" s="821" t="n">
        <f aca="false">IF(B1306&lt;$E$104,$E$105,$E$111)</f>
        <v>2.5</v>
      </c>
      <c r="O1306" s="822" t="n">
        <f aca="false">E1306*$E$205*N1306</f>
        <v>209.44461742574</v>
      </c>
      <c r="P1306" s="823" t="n">
        <f aca="false">P1305+O1306</f>
        <v>150067.708209979</v>
      </c>
      <c r="Q1306" s="606" t="n">
        <f aca="false">Q1305+1</f>
        <v>1091</v>
      </c>
      <c r="R1306" s="824" t="n">
        <f aca="false">R1305-1</f>
        <v>-1091</v>
      </c>
      <c r="S1306" s="5"/>
      <c r="T1306" s="5"/>
      <c r="U1306" s="5"/>
      <c r="V1306" s="10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02"/>
      <c r="AU1306" s="502"/>
      <c r="AV1306" s="606"/>
      <c r="AW1306" s="502"/>
      <c r="AX1306" s="502"/>
      <c r="AY1306" s="502"/>
      <c r="AZ1306" s="502"/>
      <c r="BA1306" s="502"/>
      <c r="BB1306" s="502"/>
      <c r="BC1306" s="502"/>
      <c r="BD1306" s="502"/>
      <c r="BE1306" s="502"/>
      <c r="BF1306" s="502"/>
      <c r="BG1306" s="502"/>
      <c r="BH1306" s="502"/>
      <c r="BI1306" s="502"/>
      <c r="BJ1306" s="502"/>
      <c r="BK1306" s="502"/>
      <c r="BL1306" s="502"/>
      <c r="BM1306" s="502"/>
      <c r="BN1306" s="502"/>
      <c r="BO1306" s="502"/>
      <c r="BP1306" s="5"/>
      <c r="BQ1306" s="5"/>
      <c r="BR1306" s="5"/>
      <c r="BS1306" s="5"/>
      <c r="BT1306" s="5"/>
      <c r="BU1306" s="5"/>
      <c r="BV1306" s="5"/>
      <c r="BW1306" s="5"/>
      <c r="BX1306" s="5"/>
      <c r="BY1306" s="5"/>
      <c r="BZ1306" s="5"/>
      <c r="CA1306" s="5"/>
      <c r="CB1306" s="5"/>
      <c r="CC1306" s="5"/>
      <c r="CD1306" s="5"/>
      <c r="CE1306" s="5"/>
      <c r="CF1306" s="5"/>
      <c r="CG1306" s="5"/>
      <c r="CH1306" s="5"/>
      <c r="CI1306" s="5"/>
      <c r="CJ1306" s="5"/>
      <c r="CK1306" s="5"/>
      <c r="CL1306" s="5"/>
      <c r="CM1306" s="5"/>
      <c r="CN1306" s="5"/>
      <c r="CO1306" s="5"/>
      <c r="CP1306" s="5"/>
      <c r="CQ1306" s="5"/>
      <c r="CR1306" s="5"/>
      <c r="CS1306" s="5"/>
      <c r="CT1306" s="5"/>
      <c r="CU1306" s="5"/>
      <c r="CV1306" s="5"/>
      <c r="CW1306" s="5"/>
      <c r="CX1306" s="5"/>
      <c r="CY1306" s="5"/>
      <c r="CZ1306" s="5"/>
      <c r="DA1306" s="5"/>
      <c r="DB1306" s="5"/>
      <c r="DC1306" s="5"/>
      <c r="DD1306" s="5"/>
      <c r="DE1306" s="5"/>
      <c r="DF1306" s="5"/>
      <c r="DG1306" s="5"/>
      <c r="DH1306" s="5"/>
      <c r="DI1306" s="5"/>
      <c r="DJ1306" s="5"/>
      <c r="DK1306" s="5"/>
      <c r="DL1306" s="5"/>
      <c r="DM1306" s="5"/>
      <c r="DN1306" s="5"/>
      <c r="DO1306" s="5"/>
      <c r="DP1306" s="5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  <c r="GV1306" s="1"/>
      <c r="GW1306" s="1"/>
      <c r="GX1306" s="1"/>
      <c r="GY1306" s="1"/>
      <c r="GZ1306" s="1"/>
      <c r="HA1306" s="1"/>
      <c r="HB1306" s="1"/>
      <c r="HC1306" s="1"/>
      <c r="HD1306" s="1"/>
      <c r="HE1306" s="1"/>
      <c r="HF1306" s="1"/>
      <c r="HG1306" s="1"/>
      <c r="HH1306" s="1"/>
      <c r="HI1306" s="1"/>
      <c r="HJ1306" s="1"/>
      <c r="HK1306" s="1"/>
      <c r="HL1306" s="1"/>
      <c r="HM1306" s="1"/>
      <c r="HN1306" s="1"/>
      <c r="HO1306" s="1"/>
      <c r="HP1306" s="1"/>
      <c r="HQ1306" s="1"/>
      <c r="HR1306" s="1"/>
      <c r="HS1306" s="1"/>
      <c r="HT1306" s="1"/>
      <c r="HU1306" s="1"/>
      <c r="HV1306" s="1"/>
      <c r="HW1306" s="1"/>
      <c r="HX1306" s="1"/>
      <c r="HY1306" s="1"/>
      <c r="HZ1306" s="1"/>
      <c r="IA1306" s="1"/>
      <c r="IB1306" s="1"/>
      <c r="IC1306" s="1"/>
      <c r="ID1306" s="1"/>
      <c r="IE1306" s="1"/>
      <c r="IF1306" s="1"/>
      <c r="IG1306" s="1"/>
      <c r="IH1306" s="1"/>
      <c r="II1306" s="1"/>
      <c r="IJ1306" s="1"/>
      <c r="IK1306" s="1"/>
      <c r="IL1306" s="1"/>
      <c r="IM1306" s="1"/>
      <c r="IN1306" s="1"/>
      <c r="IO1306" s="1"/>
      <c r="IP1306" s="1"/>
      <c r="IQ1306" s="1"/>
      <c r="IR1306" s="1"/>
      <c r="IS1306" s="1"/>
      <c r="IT1306" s="1"/>
      <c r="IU1306" s="1"/>
      <c r="IV1306" s="1"/>
      <c r="IW1306" s="1"/>
      <c r="IX1306" s="1"/>
      <c r="IY1306" s="1"/>
      <c r="IZ1306" s="1"/>
      <c r="JA1306" s="1"/>
      <c r="JB1306" s="1"/>
      <c r="JC1306" s="1"/>
      <c r="JD1306" s="1"/>
    </row>
    <row r="1307" s="504" customFormat="true" ht="12.75" hidden="true" customHeight="true" outlineLevel="0" collapsed="false">
      <c r="A1307" s="5"/>
      <c r="B1307" s="813" t="n">
        <f aca="false">B1306+1</f>
        <v>1092</v>
      </c>
      <c r="C1307" s="814" t="n">
        <f aca="false">C1306+D1307</f>
        <v>180270.724352434</v>
      </c>
      <c r="D1307" s="815" t="n">
        <f aca="false">E1307*$E$205*M1307</f>
        <v>251.491220910887</v>
      </c>
      <c r="E1307" s="601" t="n">
        <f aca="false">E1306+$C$204</f>
        <v>15.9494686016545</v>
      </c>
      <c r="F1307" s="816" t="n">
        <f aca="false">F1306+1</f>
        <v>1092</v>
      </c>
      <c r="G1307" s="775" t="n">
        <f aca="false">C1307</f>
        <v>180270.724352434</v>
      </c>
      <c r="H1307" s="817" t="n">
        <f aca="false">1000*(E1307-E1306)</f>
        <v>9.99999999999979</v>
      </c>
      <c r="I1307" s="5"/>
      <c r="J1307" s="818" t="n">
        <f aca="false">1000*(E1307-$E$215)/(B1307-$B$215)</f>
        <v>11.4412727367872</v>
      </c>
      <c r="K1307" s="732" t="n">
        <f aca="false">AVERAGE($E$216:E1307)</f>
        <v>10.4875088946949</v>
      </c>
      <c r="L1307" s="819" t="n">
        <f aca="false">L1306+1</f>
        <v>1092</v>
      </c>
      <c r="M1307" s="820" t="n">
        <f aca="false">IF(B1307&lt;$E$104,$E$105,$E$106)</f>
        <v>3</v>
      </c>
      <c r="N1307" s="821" t="n">
        <f aca="false">IF(B1307&lt;$E$104,$E$105,$E$111)</f>
        <v>2.5</v>
      </c>
      <c r="O1307" s="822" t="n">
        <f aca="false">E1307*$E$205*N1307</f>
        <v>209.57601742574</v>
      </c>
      <c r="P1307" s="823" t="n">
        <f aca="false">P1306+O1307</f>
        <v>150277.284227405</v>
      </c>
      <c r="Q1307" s="606" t="n">
        <f aca="false">Q1306+1</f>
        <v>1092</v>
      </c>
      <c r="R1307" s="824" t="n">
        <f aca="false">R1306-1</f>
        <v>-1092</v>
      </c>
      <c r="S1307" s="5"/>
      <c r="T1307" s="5"/>
      <c r="U1307" s="5"/>
      <c r="V1307" s="10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02"/>
      <c r="AU1307" s="502"/>
      <c r="AV1307" s="606"/>
      <c r="AW1307" s="502"/>
      <c r="AX1307" s="502"/>
      <c r="AY1307" s="502"/>
      <c r="AZ1307" s="502"/>
      <c r="BA1307" s="502"/>
      <c r="BB1307" s="502"/>
      <c r="BC1307" s="502"/>
      <c r="BD1307" s="502"/>
      <c r="BE1307" s="502"/>
      <c r="BF1307" s="502"/>
      <c r="BG1307" s="502"/>
      <c r="BH1307" s="502"/>
      <c r="BI1307" s="502"/>
      <c r="BJ1307" s="502"/>
      <c r="BK1307" s="502"/>
      <c r="BL1307" s="502"/>
      <c r="BM1307" s="502"/>
      <c r="BN1307" s="502"/>
      <c r="BO1307" s="502"/>
      <c r="BP1307" s="5"/>
      <c r="BQ1307" s="5"/>
      <c r="BR1307" s="5"/>
      <c r="BS1307" s="5"/>
      <c r="BT1307" s="5"/>
      <c r="BU1307" s="5"/>
      <c r="BV1307" s="5"/>
      <c r="BW1307" s="5"/>
      <c r="BX1307" s="5"/>
      <c r="BY1307" s="5"/>
      <c r="BZ1307" s="5"/>
      <c r="CA1307" s="5"/>
      <c r="CB1307" s="5"/>
      <c r="CC1307" s="5"/>
      <c r="CD1307" s="5"/>
      <c r="CE1307" s="5"/>
      <c r="CF1307" s="5"/>
      <c r="CG1307" s="5"/>
      <c r="CH1307" s="5"/>
      <c r="CI1307" s="5"/>
      <c r="CJ1307" s="5"/>
      <c r="CK1307" s="5"/>
      <c r="CL1307" s="5"/>
      <c r="CM1307" s="5"/>
      <c r="CN1307" s="5"/>
      <c r="CO1307" s="5"/>
      <c r="CP1307" s="5"/>
      <c r="CQ1307" s="5"/>
      <c r="CR1307" s="5"/>
      <c r="CS1307" s="5"/>
      <c r="CT1307" s="5"/>
      <c r="CU1307" s="5"/>
      <c r="CV1307" s="5"/>
      <c r="CW1307" s="5"/>
      <c r="CX1307" s="5"/>
      <c r="CY1307" s="5"/>
      <c r="CZ1307" s="5"/>
      <c r="DA1307" s="5"/>
      <c r="DB1307" s="5"/>
      <c r="DC1307" s="5"/>
      <c r="DD1307" s="5"/>
      <c r="DE1307" s="5"/>
      <c r="DF1307" s="5"/>
      <c r="DG1307" s="5"/>
      <c r="DH1307" s="5"/>
      <c r="DI1307" s="5"/>
      <c r="DJ1307" s="5"/>
      <c r="DK1307" s="5"/>
      <c r="DL1307" s="5"/>
      <c r="DM1307" s="5"/>
      <c r="DN1307" s="5"/>
      <c r="DO1307" s="5"/>
      <c r="DP1307" s="5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  <c r="GV1307" s="1"/>
      <c r="GW1307" s="1"/>
      <c r="GX1307" s="1"/>
      <c r="GY1307" s="1"/>
      <c r="GZ1307" s="1"/>
      <c r="HA1307" s="1"/>
      <c r="HB1307" s="1"/>
      <c r="HC1307" s="1"/>
      <c r="HD1307" s="1"/>
      <c r="HE1307" s="1"/>
      <c r="HF1307" s="1"/>
      <c r="HG1307" s="1"/>
      <c r="HH1307" s="1"/>
      <c r="HI1307" s="1"/>
      <c r="HJ1307" s="1"/>
      <c r="HK1307" s="1"/>
      <c r="HL1307" s="1"/>
      <c r="HM1307" s="1"/>
      <c r="HN1307" s="1"/>
      <c r="HO1307" s="1"/>
      <c r="HP1307" s="1"/>
      <c r="HQ1307" s="1"/>
      <c r="HR1307" s="1"/>
      <c r="HS1307" s="1"/>
      <c r="HT1307" s="1"/>
      <c r="HU1307" s="1"/>
      <c r="HV1307" s="1"/>
      <c r="HW1307" s="1"/>
      <c r="HX1307" s="1"/>
      <c r="HY1307" s="1"/>
      <c r="HZ1307" s="1"/>
      <c r="IA1307" s="1"/>
      <c r="IB1307" s="1"/>
      <c r="IC1307" s="1"/>
      <c r="ID1307" s="1"/>
      <c r="IE1307" s="1"/>
      <c r="IF1307" s="1"/>
      <c r="IG1307" s="1"/>
      <c r="IH1307" s="1"/>
      <c r="II1307" s="1"/>
      <c r="IJ1307" s="1"/>
      <c r="IK1307" s="1"/>
      <c r="IL1307" s="1"/>
      <c r="IM1307" s="1"/>
      <c r="IN1307" s="1"/>
      <c r="IO1307" s="1"/>
      <c r="IP1307" s="1"/>
      <c r="IQ1307" s="1"/>
      <c r="IR1307" s="1"/>
      <c r="IS1307" s="1"/>
      <c r="IT1307" s="1"/>
      <c r="IU1307" s="1"/>
      <c r="IV1307" s="1"/>
      <c r="IW1307" s="1"/>
      <c r="IX1307" s="1"/>
      <c r="IY1307" s="1"/>
      <c r="IZ1307" s="1"/>
      <c r="JA1307" s="1"/>
      <c r="JB1307" s="1"/>
      <c r="JC1307" s="1"/>
      <c r="JD1307" s="1"/>
    </row>
    <row r="1308" s="504" customFormat="true" ht="12.75" hidden="true" customHeight="true" outlineLevel="0" collapsed="false">
      <c r="A1308" s="5"/>
      <c r="B1308" s="813" t="n">
        <f aca="false">B1307+1</f>
        <v>1093</v>
      </c>
      <c r="C1308" s="814" t="n">
        <f aca="false">C1307+D1308</f>
        <v>180522.373253345</v>
      </c>
      <c r="D1308" s="815" t="n">
        <f aca="false">E1308*$E$205*M1308</f>
        <v>251.648900910887</v>
      </c>
      <c r="E1308" s="601" t="n">
        <f aca="false">E1307+$C$204</f>
        <v>15.9594686016545</v>
      </c>
      <c r="F1308" s="816" t="n">
        <f aca="false">F1307+1</f>
        <v>1093</v>
      </c>
      <c r="G1308" s="775" t="n">
        <f aca="false">C1308</f>
        <v>180522.373253345</v>
      </c>
      <c r="H1308" s="817" t="n">
        <f aca="false">1000*(E1308-E1307)</f>
        <v>9.99999999999979</v>
      </c>
      <c r="I1308" s="5"/>
      <c r="J1308" s="818" t="n">
        <f aca="false">1000*(E1308-$E$215)/(B1308-$B$215)</f>
        <v>11.4399540975038</v>
      </c>
      <c r="K1308" s="732" t="n">
        <f aca="false">AVERAGE($E$216:E1308)</f>
        <v>10.4925152622218</v>
      </c>
      <c r="L1308" s="819" t="n">
        <f aca="false">L1307+1</f>
        <v>1093</v>
      </c>
      <c r="M1308" s="820" t="n">
        <f aca="false">IF(B1308&lt;$E$104,$E$105,$E$106)</f>
        <v>3</v>
      </c>
      <c r="N1308" s="821" t="n">
        <f aca="false">IF(B1308&lt;$E$104,$E$105,$E$111)</f>
        <v>2.5</v>
      </c>
      <c r="O1308" s="822" t="n">
        <f aca="false">E1308*$E$205*N1308</f>
        <v>209.70741742574</v>
      </c>
      <c r="P1308" s="823" t="n">
        <f aca="false">P1307+O1308</f>
        <v>150486.99164483</v>
      </c>
      <c r="Q1308" s="606" t="n">
        <f aca="false">Q1307+1</f>
        <v>1093</v>
      </c>
      <c r="R1308" s="824" t="n">
        <f aca="false">R1307-1</f>
        <v>-1093</v>
      </c>
      <c r="S1308" s="5"/>
      <c r="T1308" s="5"/>
      <c r="U1308" s="5"/>
      <c r="V1308" s="10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02"/>
      <c r="AU1308" s="502"/>
      <c r="AV1308" s="606"/>
      <c r="AW1308" s="502"/>
      <c r="AX1308" s="502"/>
      <c r="AY1308" s="502"/>
      <c r="AZ1308" s="502"/>
      <c r="BA1308" s="502"/>
      <c r="BB1308" s="502"/>
      <c r="BC1308" s="502"/>
      <c r="BD1308" s="502"/>
      <c r="BE1308" s="502"/>
      <c r="BF1308" s="502"/>
      <c r="BG1308" s="502"/>
      <c r="BH1308" s="502"/>
      <c r="BI1308" s="502"/>
      <c r="BJ1308" s="502"/>
      <c r="BK1308" s="502"/>
      <c r="BL1308" s="502"/>
      <c r="BM1308" s="502"/>
      <c r="BN1308" s="502"/>
      <c r="BO1308" s="502"/>
      <c r="BP1308" s="5"/>
      <c r="BQ1308" s="5"/>
      <c r="BR1308" s="5"/>
      <c r="BS1308" s="5"/>
      <c r="BT1308" s="5"/>
      <c r="BU1308" s="5"/>
      <c r="BV1308" s="5"/>
      <c r="BW1308" s="5"/>
      <c r="BX1308" s="5"/>
      <c r="BY1308" s="5"/>
      <c r="BZ1308" s="5"/>
      <c r="CA1308" s="5"/>
      <c r="CB1308" s="5"/>
      <c r="CC1308" s="5"/>
      <c r="CD1308" s="5"/>
      <c r="CE1308" s="5"/>
      <c r="CF1308" s="5"/>
      <c r="CG1308" s="5"/>
      <c r="CH1308" s="5"/>
      <c r="CI1308" s="5"/>
      <c r="CJ1308" s="5"/>
      <c r="CK1308" s="5"/>
      <c r="CL1308" s="5"/>
      <c r="CM1308" s="5"/>
      <c r="CN1308" s="5"/>
      <c r="CO1308" s="5"/>
      <c r="CP1308" s="5"/>
      <c r="CQ1308" s="5"/>
      <c r="CR1308" s="5"/>
      <c r="CS1308" s="5"/>
      <c r="CT1308" s="5"/>
      <c r="CU1308" s="5"/>
      <c r="CV1308" s="5"/>
      <c r="CW1308" s="5"/>
      <c r="CX1308" s="5"/>
      <c r="CY1308" s="5"/>
      <c r="CZ1308" s="5"/>
      <c r="DA1308" s="5"/>
      <c r="DB1308" s="5"/>
      <c r="DC1308" s="5"/>
      <c r="DD1308" s="5"/>
      <c r="DE1308" s="5"/>
      <c r="DF1308" s="5"/>
      <c r="DG1308" s="5"/>
      <c r="DH1308" s="5"/>
      <c r="DI1308" s="5"/>
      <c r="DJ1308" s="5"/>
      <c r="DK1308" s="5"/>
      <c r="DL1308" s="5"/>
      <c r="DM1308" s="5"/>
      <c r="DN1308" s="5"/>
      <c r="DO1308" s="5"/>
      <c r="DP1308" s="5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  <c r="GV1308" s="1"/>
      <c r="GW1308" s="1"/>
      <c r="GX1308" s="1"/>
      <c r="GY1308" s="1"/>
      <c r="GZ1308" s="1"/>
      <c r="HA1308" s="1"/>
      <c r="HB1308" s="1"/>
      <c r="HC1308" s="1"/>
      <c r="HD1308" s="1"/>
      <c r="HE1308" s="1"/>
      <c r="HF1308" s="1"/>
      <c r="HG1308" s="1"/>
      <c r="HH1308" s="1"/>
      <c r="HI1308" s="1"/>
      <c r="HJ1308" s="1"/>
      <c r="HK1308" s="1"/>
      <c r="HL1308" s="1"/>
      <c r="HM1308" s="1"/>
      <c r="HN1308" s="1"/>
      <c r="HO1308" s="1"/>
      <c r="HP1308" s="1"/>
      <c r="HQ1308" s="1"/>
      <c r="HR1308" s="1"/>
      <c r="HS1308" s="1"/>
      <c r="HT1308" s="1"/>
      <c r="HU1308" s="1"/>
      <c r="HV1308" s="1"/>
      <c r="HW1308" s="1"/>
      <c r="HX1308" s="1"/>
      <c r="HY1308" s="1"/>
      <c r="HZ1308" s="1"/>
      <c r="IA1308" s="1"/>
      <c r="IB1308" s="1"/>
      <c r="IC1308" s="1"/>
      <c r="ID1308" s="1"/>
      <c r="IE1308" s="1"/>
      <c r="IF1308" s="1"/>
      <c r="IG1308" s="1"/>
      <c r="IH1308" s="1"/>
      <c r="II1308" s="1"/>
      <c r="IJ1308" s="1"/>
      <c r="IK1308" s="1"/>
      <c r="IL1308" s="1"/>
      <c r="IM1308" s="1"/>
      <c r="IN1308" s="1"/>
      <c r="IO1308" s="1"/>
      <c r="IP1308" s="1"/>
      <c r="IQ1308" s="1"/>
      <c r="IR1308" s="1"/>
      <c r="IS1308" s="1"/>
      <c r="IT1308" s="1"/>
      <c r="IU1308" s="1"/>
      <c r="IV1308" s="1"/>
      <c r="IW1308" s="1"/>
      <c r="IX1308" s="1"/>
      <c r="IY1308" s="1"/>
      <c r="IZ1308" s="1"/>
      <c r="JA1308" s="1"/>
      <c r="JB1308" s="1"/>
      <c r="JC1308" s="1"/>
      <c r="JD1308" s="1"/>
    </row>
    <row r="1309" s="504" customFormat="true" ht="12.75" hidden="true" customHeight="true" outlineLevel="0" collapsed="false">
      <c r="A1309" s="5"/>
      <c r="B1309" s="813" t="n">
        <f aca="false">B1308+1</f>
        <v>1094</v>
      </c>
      <c r="C1309" s="814" t="n">
        <f aca="false">C1308+D1309</f>
        <v>180774.179834256</v>
      </c>
      <c r="D1309" s="815" t="n">
        <f aca="false">E1309*$E$205*M1309</f>
        <v>251.806580910887</v>
      </c>
      <c r="E1309" s="601" t="n">
        <f aca="false">E1308+$C$204</f>
        <v>15.9694686016545</v>
      </c>
      <c r="F1309" s="816" t="n">
        <f aca="false">F1308+1</f>
        <v>1094</v>
      </c>
      <c r="G1309" s="775" t="n">
        <f aca="false">C1309</f>
        <v>180774.179834256</v>
      </c>
      <c r="H1309" s="817" t="n">
        <f aca="false">1000*(E1309-E1308)</f>
        <v>9.99999999999979</v>
      </c>
      <c r="I1309" s="5"/>
      <c r="J1309" s="818" t="n">
        <f aca="false">1000*(E1309-$E$215)/(B1309-$B$215)</f>
        <v>11.4386378688954</v>
      </c>
      <c r="K1309" s="732" t="n">
        <f aca="false">AVERAGE($E$216:E1309)</f>
        <v>10.497521618108</v>
      </c>
      <c r="L1309" s="819" t="n">
        <f aca="false">L1308+1</f>
        <v>1094</v>
      </c>
      <c r="M1309" s="820" t="n">
        <f aca="false">IF(B1309&lt;$E$104,$E$105,$E$106)</f>
        <v>3</v>
      </c>
      <c r="N1309" s="821" t="n">
        <f aca="false">IF(B1309&lt;$E$104,$E$105,$E$111)</f>
        <v>2.5</v>
      </c>
      <c r="O1309" s="822" t="n">
        <f aca="false">E1309*$E$205*N1309</f>
        <v>209.83881742574</v>
      </c>
      <c r="P1309" s="823" t="n">
        <f aca="false">P1308+O1309</f>
        <v>150696.830462256</v>
      </c>
      <c r="Q1309" s="606" t="n">
        <f aca="false">Q1308+1</f>
        <v>1094</v>
      </c>
      <c r="R1309" s="824" t="n">
        <f aca="false">R1308-1</f>
        <v>-1094</v>
      </c>
      <c r="S1309" s="5"/>
      <c r="T1309" s="5"/>
      <c r="U1309" s="5"/>
      <c r="V1309" s="10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02"/>
      <c r="AU1309" s="502"/>
      <c r="AV1309" s="606"/>
      <c r="AW1309" s="502"/>
      <c r="AX1309" s="502"/>
      <c r="AY1309" s="502"/>
      <c r="AZ1309" s="502"/>
      <c r="BA1309" s="502"/>
      <c r="BB1309" s="502"/>
      <c r="BC1309" s="502"/>
      <c r="BD1309" s="502"/>
      <c r="BE1309" s="502"/>
      <c r="BF1309" s="502"/>
      <c r="BG1309" s="502"/>
      <c r="BH1309" s="502"/>
      <c r="BI1309" s="502"/>
      <c r="BJ1309" s="502"/>
      <c r="BK1309" s="502"/>
      <c r="BL1309" s="502"/>
      <c r="BM1309" s="502"/>
      <c r="BN1309" s="502"/>
      <c r="BO1309" s="502"/>
      <c r="BP1309" s="5"/>
      <c r="BQ1309" s="5"/>
      <c r="BR1309" s="5"/>
      <c r="BS1309" s="5"/>
      <c r="BT1309" s="5"/>
      <c r="BU1309" s="5"/>
      <c r="BV1309" s="5"/>
      <c r="BW1309" s="5"/>
      <c r="BX1309" s="5"/>
      <c r="BY1309" s="5"/>
      <c r="BZ1309" s="5"/>
      <c r="CA1309" s="5"/>
      <c r="CB1309" s="5"/>
      <c r="CC1309" s="5"/>
      <c r="CD1309" s="5"/>
      <c r="CE1309" s="5"/>
      <c r="CF1309" s="5"/>
      <c r="CG1309" s="5"/>
      <c r="CH1309" s="5"/>
      <c r="CI1309" s="5"/>
      <c r="CJ1309" s="5"/>
      <c r="CK1309" s="5"/>
      <c r="CL1309" s="5"/>
      <c r="CM1309" s="5"/>
      <c r="CN1309" s="5"/>
      <c r="CO1309" s="5"/>
      <c r="CP1309" s="5"/>
      <c r="CQ1309" s="5"/>
      <c r="CR1309" s="5"/>
      <c r="CS1309" s="5"/>
      <c r="CT1309" s="5"/>
      <c r="CU1309" s="5"/>
      <c r="CV1309" s="5"/>
      <c r="CW1309" s="5"/>
      <c r="CX1309" s="5"/>
      <c r="CY1309" s="5"/>
      <c r="CZ1309" s="5"/>
      <c r="DA1309" s="5"/>
      <c r="DB1309" s="5"/>
      <c r="DC1309" s="5"/>
      <c r="DD1309" s="5"/>
      <c r="DE1309" s="5"/>
      <c r="DF1309" s="5"/>
      <c r="DG1309" s="5"/>
      <c r="DH1309" s="5"/>
      <c r="DI1309" s="5"/>
      <c r="DJ1309" s="5"/>
      <c r="DK1309" s="5"/>
      <c r="DL1309" s="5"/>
      <c r="DM1309" s="5"/>
      <c r="DN1309" s="5"/>
      <c r="DO1309" s="5"/>
      <c r="DP1309" s="5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  <c r="GV1309" s="1"/>
      <c r="GW1309" s="1"/>
      <c r="GX1309" s="1"/>
      <c r="GY1309" s="1"/>
      <c r="GZ1309" s="1"/>
      <c r="HA1309" s="1"/>
      <c r="HB1309" s="1"/>
      <c r="HC1309" s="1"/>
      <c r="HD1309" s="1"/>
      <c r="HE1309" s="1"/>
      <c r="HF1309" s="1"/>
      <c r="HG1309" s="1"/>
      <c r="HH1309" s="1"/>
      <c r="HI1309" s="1"/>
      <c r="HJ1309" s="1"/>
      <c r="HK1309" s="1"/>
      <c r="HL1309" s="1"/>
      <c r="HM1309" s="1"/>
      <c r="HN1309" s="1"/>
      <c r="HO1309" s="1"/>
      <c r="HP1309" s="1"/>
      <c r="HQ1309" s="1"/>
      <c r="HR1309" s="1"/>
      <c r="HS1309" s="1"/>
      <c r="HT1309" s="1"/>
      <c r="HU1309" s="1"/>
      <c r="HV1309" s="1"/>
      <c r="HW1309" s="1"/>
      <c r="HX1309" s="1"/>
      <c r="HY1309" s="1"/>
      <c r="HZ1309" s="1"/>
      <c r="IA1309" s="1"/>
      <c r="IB1309" s="1"/>
      <c r="IC1309" s="1"/>
      <c r="ID1309" s="1"/>
      <c r="IE1309" s="1"/>
      <c r="IF1309" s="1"/>
      <c r="IG1309" s="1"/>
      <c r="IH1309" s="1"/>
      <c r="II1309" s="1"/>
      <c r="IJ1309" s="1"/>
      <c r="IK1309" s="1"/>
      <c r="IL1309" s="1"/>
      <c r="IM1309" s="1"/>
      <c r="IN1309" s="1"/>
      <c r="IO1309" s="1"/>
      <c r="IP1309" s="1"/>
      <c r="IQ1309" s="1"/>
      <c r="IR1309" s="1"/>
      <c r="IS1309" s="1"/>
      <c r="IT1309" s="1"/>
      <c r="IU1309" s="1"/>
      <c r="IV1309" s="1"/>
      <c r="IW1309" s="1"/>
      <c r="IX1309" s="1"/>
      <c r="IY1309" s="1"/>
      <c r="IZ1309" s="1"/>
      <c r="JA1309" s="1"/>
      <c r="JB1309" s="1"/>
      <c r="JC1309" s="1"/>
      <c r="JD1309" s="1"/>
    </row>
    <row r="1310" s="504" customFormat="true" ht="12.75" hidden="true" customHeight="true" outlineLevel="0" collapsed="false">
      <c r="A1310" s="5"/>
      <c r="B1310" s="813" t="n">
        <f aca="false">B1309+1</f>
        <v>1095</v>
      </c>
      <c r="C1310" s="814" t="n">
        <f aca="false">C1309+D1310</f>
        <v>181026.144095167</v>
      </c>
      <c r="D1310" s="815" t="n">
        <f aca="false">E1310*$E$205*M1310</f>
        <v>251.964260910887</v>
      </c>
      <c r="E1310" s="601" t="n">
        <f aca="false">E1309+$C$204</f>
        <v>15.9794686016545</v>
      </c>
      <c r="F1310" s="816" t="n">
        <f aca="false">F1309+1</f>
        <v>1095</v>
      </c>
      <c r="G1310" s="775" t="n">
        <f aca="false">C1310</f>
        <v>181026.144095167</v>
      </c>
      <c r="H1310" s="817" t="n">
        <f aca="false">1000*(E1310-E1309)</f>
        <v>9.99999999999979</v>
      </c>
      <c r="I1310" s="5"/>
      <c r="J1310" s="818" t="n">
        <f aca="false">1000*(E1310-$E$215)/(B1310-$B$215)</f>
        <v>11.4373240443576</v>
      </c>
      <c r="K1310" s="732" t="n">
        <f aca="false">AVERAGE($E$216:E1310)</f>
        <v>10.5025279623852</v>
      </c>
      <c r="L1310" s="819" t="n">
        <f aca="false">L1309+1</f>
        <v>1095</v>
      </c>
      <c r="M1310" s="820" t="n">
        <f aca="false">IF(B1310&lt;$E$104,$E$105,$E$106)</f>
        <v>3</v>
      </c>
      <c r="N1310" s="821" t="n">
        <f aca="false">IF(B1310&lt;$E$104,$E$105,$E$111)</f>
        <v>2.5</v>
      </c>
      <c r="O1310" s="822" t="n">
        <f aca="false">E1310*$E$205*N1310</f>
        <v>209.97021742574</v>
      </c>
      <c r="P1310" s="823" t="n">
        <f aca="false">P1309+O1310</f>
        <v>150906.800679682</v>
      </c>
      <c r="Q1310" s="606" t="n">
        <f aca="false">Q1309+1</f>
        <v>1095</v>
      </c>
      <c r="R1310" s="824" t="n">
        <f aca="false">R1309-1</f>
        <v>-1095</v>
      </c>
      <c r="S1310" s="5"/>
      <c r="T1310" s="5"/>
      <c r="U1310" s="5"/>
      <c r="V1310" s="10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02"/>
      <c r="AU1310" s="502"/>
      <c r="AV1310" s="606"/>
      <c r="AW1310" s="502"/>
      <c r="AX1310" s="502"/>
      <c r="AY1310" s="502"/>
      <c r="AZ1310" s="502"/>
      <c r="BA1310" s="502"/>
      <c r="BB1310" s="502"/>
      <c r="BC1310" s="502"/>
      <c r="BD1310" s="502"/>
      <c r="BE1310" s="502"/>
      <c r="BF1310" s="502"/>
      <c r="BG1310" s="502"/>
      <c r="BH1310" s="502"/>
      <c r="BI1310" s="502"/>
      <c r="BJ1310" s="502"/>
      <c r="BK1310" s="502"/>
      <c r="BL1310" s="502"/>
      <c r="BM1310" s="502"/>
      <c r="BN1310" s="502"/>
      <c r="BO1310" s="502"/>
      <c r="BP1310" s="5"/>
      <c r="BQ1310" s="5"/>
      <c r="BR1310" s="5"/>
      <c r="BS1310" s="5"/>
      <c r="BT1310" s="5"/>
      <c r="BU1310" s="5"/>
      <c r="BV1310" s="5"/>
      <c r="BW1310" s="5"/>
      <c r="BX1310" s="5"/>
      <c r="BY1310" s="5"/>
      <c r="BZ1310" s="5"/>
      <c r="CA1310" s="5"/>
      <c r="CB1310" s="5"/>
      <c r="CC1310" s="5"/>
      <c r="CD1310" s="5"/>
      <c r="CE1310" s="5"/>
      <c r="CF1310" s="5"/>
      <c r="CG1310" s="5"/>
      <c r="CH1310" s="5"/>
      <c r="CI1310" s="5"/>
      <c r="CJ1310" s="5"/>
      <c r="CK1310" s="5"/>
      <c r="CL1310" s="5"/>
      <c r="CM1310" s="5"/>
      <c r="CN1310" s="5"/>
      <c r="CO1310" s="5"/>
      <c r="CP1310" s="5"/>
      <c r="CQ1310" s="5"/>
      <c r="CR1310" s="5"/>
      <c r="CS1310" s="5"/>
      <c r="CT1310" s="5"/>
      <c r="CU1310" s="5"/>
      <c r="CV1310" s="5"/>
      <c r="CW1310" s="5"/>
      <c r="CX1310" s="5"/>
      <c r="CY1310" s="5"/>
      <c r="CZ1310" s="5"/>
      <c r="DA1310" s="5"/>
      <c r="DB1310" s="5"/>
      <c r="DC1310" s="5"/>
      <c r="DD1310" s="5"/>
      <c r="DE1310" s="5"/>
      <c r="DF1310" s="5"/>
      <c r="DG1310" s="5"/>
      <c r="DH1310" s="5"/>
      <c r="DI1310" s="5"/>
      <c r="DJ1310" s="5"/>
      <c r="DK1310" s="5"/>
      <c r="DL1310" s="5"/>
      <c r="DM1310" s="5"/>
      <c r="DN1310" s="5"/>
      <c r="DO1310" s="5"/>
      <c r="DP1310" s="5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  <c r="GV1310" s="1"/>
      <c r="GW1310" s="1"/>
      <c r="GX1310" s="1"/>
      <c r="GY1310" s="1"/>
      <c r="GZ1310" s="1"/>
      <c r="HA1310" s="1"/>
      <c r="HB1310" s="1"/>
      <c r="HC1310" s="1"/>
      <c r="HD1310" s="1"/>
      <c r="HE1310" s="1"/>
      <c r="HF1310" s="1"/>
      <c r="HG1310" s="1"/>
      <c r="HH1310" s="1"/>
      <c r="HI1310" s="1"/>
      <c r="HJ1310" s="1"/>
      <c r="HK1310" s="1"/>
      <c r="HL1310" s="1"/>
      <c r="HM1310" s="1"/>
      <c r="HN1310" s="1"/>
      <c r="HO1310" s="1"/>
      <c r="HP1310" s="1"/>
      <c r="HQ1310" s="1"/>
      <c r="HR1310" s="1"/>
      <c r="HS1310" s="1"/>
      <c r="HT1310" s="1"/>
      <c r="HU1310" s="1"/>
      <c r="HV1310" s="1"/>
      <c r="HW1310" s="1"/>
      <c r="HX1310" s="1"/>
      <c r="HY1310" s="1"/>
      <c r="HZ1310" s="1"/>
      <c r="IA1310" s="1"/>
      <c r="IB1310" s="1"/>
      <c r="IC1310" s="1"/>
      <c r="ID1310" s="1"/>
      <c r="IE1310" s="1"/>
      <c r="IF1310" s="1"/>
      <c r="IG1310" s="1"/>
      <c r="IH1310" s="1"/>
      <c r="II1310" s="1"/>
      <c r="IJ1310" s="1"/>
      <c r="IK1310" s="1"/>
      <c r="IL1310" s="1"/>
      <c r="IM1310" s="1"/>
      <c r="IN1310" s="1"/>
      <c r="IO1310" s="1"/>
      <c r="IP1310" s="1"/>
      <c r="IQ1310" s="1"/>
      <c r="IR1310" s="1"/>
      <c r="IS1310" s="1"/>
      <c r="IT1310" s="1"/>
      <c r="IU1310" s="1"/>
      <c r="IV1310" s="1"/>
      <c r="IW1310" s="1"/>
      <c r="IX1310" s="1"/>
      <c r="IY1310" s="1"/>
      <c r="IZ1310" s="1"/>
      <c r="JA1310" s="1"/>
      <c r="JB1310" s="1"/>
      <c r="JC1310" s="1"/>
      <c r="JD1310" s="1"/>
    </row>
    <row r="1311" s="504" customFormat="true" ht="12.75" hidden="true" customHeight="true" outlineLevel="0" collapsed="false">
      <c r="A1311" s="5"/>
      <c r="B1311" s="813" t="n">
        <f aca="false">B1310+1</f>
        <v>1096</v>
      </c>
      <c r="C1311" s="814" t="n">
        <f aca="false">C1310+D1311</f>
        <v>181278.266036078</v>
      </c>
      <c r="D1311" s="815" t="n">
        <f aca="false">E1311*$E$205*M1311</f>
        <v>252.121940910887</v>
      </c>
      <c r="E1311" s="601" t="n">
        <f aca="false">E1310+$C$204</f>
        <v>15.9894686016545</v>
      </c>
      <c r="F1311" s="816" t="n">
        <f aca="false">F1310+1</f>
        <v>1096</v>
      </c>
      <c r="G1311" s="775" t="n">
        <f aca="false">C1311</f>
        <v>181278.266036078</v>
      </c>
      <c r="H1311" s="817" t="n">
        <f aca="false">1000*(E1311-E1310)</f>
        <v>9.99999999999979</v>
      </c>
      <c r="I1311" s="5"/>
      <c r="J1311" s="818" t="n">
        <f aca="false">1000*(E1311-$E$215)/(B1311-$B$215)</f>
        <v>11.4360126173099</v>
      </c>
      <c r="K1311" s="732" t="n">
        <f aca="false">AVERAGE($E$216:E1311)</f>
        <v>10.5075342950852</v>
      </c>
      <c r="L1311" s="819" t="n">
        <f aca="false">L1310+1</f>
        <v>1096</v>
      </c>
      <c r="M1311" s="820" t="n">
        <f aca="false">IF(B1311&lt;$E$104,$E$105,$E$106)</f>
        <v>3</v>
      </c>
      <c r="N1311" s="821" t="n">
        <f aca="false">IF(B1311&lt;$E$104,$E$105,$E$111)</f>
        <v>2.5</v>
      </c>
      <c r="O1311" s="822" t="n">
        <f aca="false">E1311*$E$205*N1311</f>
        <v>210.10161742574</v>
      </c>
      <c r="P1311" s="823" t="n">
        <f aca="false">P1310+O1311</f>
        <v>151116.902297108</v>
      </c>
      <c r="Q1311" s="606" t="n">
        <f aca="false">Q1310+1</f>
        <v>1096</v>
      </c>
      <c r="R1311" s="824" t="n">
        <f aca="false">R1310-1</f>
        <v>-1096</v>
      </c>
      <c r="S1311" s="5"/>
      <c r="T1311" s="5"/>
      <c r="U1311" s="5"/>
      <c r="V1311" s="10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02"/>
      <c r="AU1311" s="502"/>
      <c r="AV1311" s="606"/>
      <c r="AW1311" s="502"/>
      <c r="AX1311" s="502"/>
      <c r="AY1311" s="502"/>
      <c r="AZ1311" s="502"/>
      <c r="BA1311" s="502"/>
      <c r="BB1311" s="502"/>
      <c r="BC1311" s="502"/>
      <c r="BD1311" s="502"/>
      <c r="BE1311" s="502"/>
      <c r="BF1311" s="502"/>
      <c r="BG1311" s="502"/>
      <c r="BH1311" s="502"/>
      <c r="BI1311" s="502"/>
      <c r="BJ1311" s="502"/>
      <c r="BK1311" s="502"/>
      <c r="BL1311" s="502"/>
      <c r="BM1311" s="502"/>
      <c r="BN1311" s="502"/>
      <c r="BO1311" s="502"/>
      <c r="BP1311" s="5"/>
      <c r="BQ1311" s="5"/>
      <c r="BR1311" s="5"/>
      <c r="BS1311" s="5"/>
      <c r="BT1311" s="5"/>
      <c r="BU1311" s="5"/>
      <c r="BV1311" s="5"/>
      <c r="BW1311" s="5"/>
      <c r="BX1311" s="5"/>
      <c r="BY1311" s="5"/>
      <c r="BZ1311" s="5"/>
      <c r="CA1311" s="5"/>
      <c r="CB1311" s="5"/>
      <c r="CC1311" s="5"/>
      <c r="CD1311" s="5"/>
      <c r="CE1311" s="5"/>
      <c r="CF1311" s="5"/>
      <c r="CG1311" s="5"/>
      <c r="CH1311" s="5"/>
      <c r="CI1311" s="5"/>
      <c r="CJ1311" s="5"/>
      <c r="CK1311" s="5"/>
      <c r="CL1311" s="5"/>
      <c r="CM1311" s="5"/>
      <c r="CN1311" s="5"/>
      <c r="CO1311" s="5"/>
      <c r="CP1311" s="5"/>
      <c r="CQ1311" s="5"/>
      <c r="CR1311" s="5"/>
      <c r="CS1311" s="5"/>
      <c r="CT1311" s="5"/>
      <c r="CU1311" s="5"/>
      <c r="CV1311" s="5"/>
      <c r="CW1311" s="5"/>
      <c r="CX1311" s="5"/>
      <c r="CY1311" s="5"/>
      <c r="CZ1311" s="5"/>
      <c r="DA1311" s="5"/>
      <c r="DB1311" s="5"/>
      <c r="DC1311" s="5"/>
      <c r="DD1311" s="5"/>
      <c r="DE1311" s="5"/>
      <c r="DF1311" s="5"/>
      <c r="DG1311" s="5"/>
      <c r="DH1311" s="5"/>
      <c r="DI1311" s="5"/>
      <c r="DJ1311" s="5"/>
      <c r="DK1311" s="5"/>
      <c r="DL1311" s="5"/>
      <c r="DM1311" s="5"/>
      <c r="DN1311" s="5"/>
      <c r="DO1311" s="5"/>
      <c r="DP1311" s="5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  <c r="GV1311" s="1"/>
      <c r="GW1311" s="1"/>
      <c r="GX1311" s="1"/>
      <c r="GY1311" s="1"/>
      <c r="GZ1311" s="1"/>
      <c r="HA1311" s="1"/>
      <c r="HB1311" s="1"/>
      <c r="HC1311" s="1"/>
      <c r="HD1311" s="1"/>
      <c r="HE1311" s="1"/>
      <c r="HF1311" s="1"/>
      <c r="HG1311" s="1"/>
      <c r="HH1311" s="1"/>
      <c r="HI1311" s="1"/>
      <c r="HJ1311" s="1"/>
      <c r="HK1311" s="1"/>
      <c r="HL1311" s="1"/>
      <c r="HM1311" s="1"/>
      <c r="HN1311" s="1"/>
      <c r="HO1311" s="1"/>
      <c r="HP1311" s="1"/>
      <c r="HQ1311" s="1"/>
      <c r="HR1311" s="1"/>
      <c r="HS1311" s="1"/>
      <c r="HT1311" s="1"/>
      <c r="HU1311" s="1"/>
      <c r="HV1311" s="1"/>
      <c r="HW1311" s="1"/>
      <c r="HX1311" s="1"/>
      <c r="HY1311" s="1"/>
      <c r="HZ1311" s="1"/>
      <c r="IA1311" s="1"/>
      <c r="IB1311" s="1"/>
      <c r="IC1311" s="1"/>
      <c r="ID1311" s="1"/>
      <c r="IE1311" s="1"/>
      <c r="IF1311" s="1"/>
      <c r="IG1311" s="1"/>
      <c r="IH1311" s="1"/>
      <c r="II1311" s="1"/>
      <c r="IJ1311" s="1"/>
      <c r="IK1311" s="1"/>
      <c r="IL1311" s="1"/>
      <c r="IM1311" s="1"/>
      <c r="IN1311" s="1"/>
      <c r="IO1311" s="1"/>
      <c r="IP1311" s="1"/>
      <c r="IQ1311" s="1"/>
      <c r="IR1311" s="1"/>
      <c r="IS1311" s="1"/>
      <c r="IT1311" s="1"/>
      <c r="IU1311" s="1"/>
      <c r="IV1311" s="1"/>
      <c r="IW1311" s="1"/>
      <c r="IX1311" s="1"/>
      <c r="IY1311" s="1"/>
      <c r="IZ1311" s="1"/>
      <c r="JA1311" s="1"/>
      <c r="JB1311" s="1"/>
      <c r="JC1311" s="1"/>
      <c r="JD1311" s="1"/>
    </row>
    <row r="1312" s="504" customFormat="true" ht="12.75" hidden="true" customHeight="true" outlineLevel="0" collapsed="false">
      <c r="A1312" s="5"/>
      <c r="B1312" s="813" t="n">
        <f aca="false">B1311+1</f>
        <v>1097</v>
      </c>
      <c r="C1312" s="814" t="n">
        <f aca="false">C1311+D1312</f>
        <v>181530.545656988</v>
      </c>
      <c r="D1312" s="815" t="n">
        <f aca="false">E1312*$E$205*M1312</f>
        <v>252.279620910887</v>
      </c>
      <c r="E1312" s="601" t="n">
        <f aca="false">E1311+$C$204</f>
        <v>15.9994686016545</v>
      </c>
      <c r="F1312" s="816" t="n">
        <f aca="false">F1311+1</f>
        <v>1097</v>
      </c>
      <c r="G1312" s="775" t="n">
        <f aca="false">C1312</f>
        <v>181530.545656988</v>
      </c>
      <c r="H1312" s="817" t="n">
        <f aca="false">1000*(E1312-E1311)</f>
        <v>9.99999999999979</v>
      </c>
      <c r="I1312" s="5"/>
      <c r="J1312" s="818" t="n">
        <f aca="false">1000*(E1312-$E$215)/(B1312-$B$215)</f>
        <v>11.4347035811956</v>
      </c>
      <c r="K1312" s="732" t="n">
        <f aca="false">AVERAGE($E$216:E1312)</f>
        <v>10.5125406162398</v>
      </c>
      <c r="L1312" s="819" t="n">
        <f aca="false">L1311+1</f>
        <v>1097</v>
      </c>
      <c r="M1312" s="820" t="n">
        <f aca="false">IF(B1312&lt;$E$104,$E$105,$E$106)</f>
        <v>3</v>
      </c>
      <c r="N1312" s="821" t="n">
        <f aca="false">IF(B1312&lt;$E$104,$E$105,$E$111)</f>
        <v>2.5</v>
      </c>
      <c r="O1312" s="822" t="n">
        <f aca="false">E1312*$E$205*N1312</f>
        <v>210.23301742574</v>
      </c>
      <c r="P1312" s="823" t="n">
        <f aca="false">P1311+O1312</f>
        <v>151327.135314533</v>
      </c>
      <c r="Q1312" s="606" t="n">
        <f aca="false">Q1311+1</f>
        <v>1097</v>
      </c>
      <c r="R1312" s="824" t="n">
        <f aca="false">R1311-1</f>
        <v>-1097</v>
      </c>
      <c r="S1312" s="5"/>
      <c r="T1312" s="5"/>
      <c r="U1312" s="5"/>
      <c r="V1312" s="10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02"/>
      <c r="AU1312" s="502"/>
      <c r="AV1312" s="606"/>
      <c r="AW1312" s="502"/>
      <c r="AX1312" s="502"/>
      <c r="AY1312" s="502"/>
      <c r="AZ1312" s="502"/>
      <c r="BA1312" s="502"/>
      <c r="BB1312" s="502"/>
      <c r="BC1312" s="502"/>
      <c r="BD1312" s="502"/>
      <c r="BE1312" s="502"/>
      <c r="BF1312" s="502"/>
      <c r="BG1312" s="502"/>
      <c r="BH1312" s="502"/>
      <c r="BI1312" s="502"/>
      <c r="BJ1312" s="502"/>
      <c r="BK1312" s="502"/>
      <c r="BL1312" s="502"/>
      <c r="BM1312" s="502"/>
      <c r="BN1312" s="502"/>
      <c r="BO1312" s="502"/>
      <c r="BP1312" s="5"/>
      <c r="BQ1312" s="5"/>
      <c r="BR1312" s="5"/>
      <c r="BS1312" s="5"/>
      <c r="BT1312" s="5"/>
      <c r="BU1312" s="5"/>
      <c r="BV1312" s="5"/>
      <c r="BW1312" s="5"/>
      <c r="BX1312" s="5"/>
      <c r="BY1312" s="5"/>
      <c r="BZ1312" s="5"/>
      <c r="CA1312" s="5"/>
      <c r="CB1312" s="5"/>
      <c r="CC1312" s="5"/>
      <c r="CD1312" s="5"/>
      <c r="CE1312" s="5"/>
      <c r="CF1312" s="5"/>
      <c r="CG1312" s="5"/>
      <c r="CH1312" s="5"/>
      <c r="CI1312" s="5"/>
      <c r="CJ1312" s="5"/>
      <c r="CK1312" s="5"/>
      <c r="CL1312" s="5"/>
      <c r="CM1312" s="5"/>
      <c r="CN1312" s="5"/>
      <c r="CO1312" s="5"/>
      <c r="CP1312" s="5"/>
      <c r="CQ1312" s="5"/>
      <c r="CR1312" s="5"/>
      <c r="CS1312" s="5"/>
      <c r="CT1312" s="5"/>
      <c r="CU1312" s="5"/>
      <c r="CV1312" s="5"/>
      <c r="CW1312" s="5"/>
      <c r="CX1312" s="5"/>
      <c r="CY1312" s="5"/>
      <c r="CZ1312" s="5"/>
      <c r="DA1312" s="5"/>
      <c r="DB1312" s="5"/>
      <c r="DC1312" s="5"/>
      <c r="DD1312" s="5"/>
      <c r="DE1312" s="5"/>
      <c r="DF1312" s="5"/>
      <c r="DG1312" s="5"/>
      <c r="DH1312" s="5"/>
      <c r="DI1312" s="5"/>
      <c r="DJ1312" s="5"/>
      <c r="DK1312" s="5"/>
      <c r="DL1312" s="5"/>
      <c r="DM1312" s="5"/>
      <c r="DN1312" s="5"/>
      <c r="DO1312" s="5"/>
      <c r="DP1312" s="5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  <c r="GV1312" s="1"/>
      <c r="GW1312" s="1"/>
      <c r="GX1312" s="1"/>
      <c r="GY1312" s="1"/>
      <c r="GZ1312" s="1"/>
      <c r="HA1312" s="1"/>
      <c r="HB1312" s="1"/>
      <c r="HC1312" s="1"/>
      <c r="HD1312" s="1"/>
      <c r="HE1312" s="1"/>
      <c r="HF1312" s="1"/>
      <c r="HG1312" s="1"/>
      <c r="HH1312" s="1"/>
      <c r="HI1312" s="1"/>
      <c r="HJ1312" s="1"/>
      <c r="HK1312" s="1"/>
      <c r="HL1312" s="1"/>
      <c r="HM1312" s="1"/>
      <c r="HN1312" s="1"/>
      <c r="HO1312" s="1"/>
      <c r="HP1312" s="1"/>
      <c r="HQ1312" s="1"/>
      <c r="HR1312" s="1"/>
      <c r="HS1312" s="1"/>
      <c r="HT1312" s="1"/>
      <c r="HU1312" s="1"/>
      <c r="HV1312" s="1"/>
      <c r="HW1312" s="1"/>
      <c r="HX1312" s="1"/>
      <c r="HY1312" s="1"/>
      <c r="HZ1312" s="1"/>
      <c r="IA1312" s="1"/>
      <c r="IB1312" s="1"/>
      <c r="IC1312" s="1"/>
      <c r="ID1312" s="1"/>
      <c r="IE1312" s="1"/>
      <c r="IF1312" s="1"/>
      <c r="IG1312" s="1"/>
      <c r="IH1312" s="1"/>
      <c r="II1312" s="1"/>
      <c r="IJ1312" s="1"/>
      <c r="IK1312" s="1"/>
      <c r="IL1312" s="1"/>
      <c r="IM1312" s="1"/>
      <c r="IN1312" s="1"/>
      <c r="IO1312" s="1"/>
      <c r="IP1312" s="1"/>
      <c r="IQ1312" s="1"/>
      <c r="IR1312" s="1"/>
      <c r="IS1312" s="1"/>
      <c r="IT1312" s="1"/>
      <c r="IU1312" s="1"/>
      <c r="IV1312" s="1"/>
      <c r="IW1312" s="1"/>
      <c r="IX1312" s="1"/>
      <c r="IY1312" s="1"/>
      <c r="IZ1312" s="1"/>
      <c r="JA1312" s="1"/>
      <c r="JB1312" s="1"/>
      <c r="JC1312" s="1"/>
      <c r="JD1312" s="1"/>
    </row>
    <row r="1313" s="504" customFormat="true" ht="12.75" hidden="true" customHeight="true" outlineLevel="0" collapsed="false">
      <c r="A1313" s="5"/>
      <c r="B1313" s="813" t="n">
        <f aca="false">B1312+1</f>
        <v>1098</v>
      </c>
      <c r="C1313" s="814" t="n">
        <f aca="false">C1312+D1313</f>
        <v>181782.982957899</v>
      </c>
      <c r="D1313" s="815" t="n">
        <f aca="false">E1313*$E$205*M1313</f>
        <v>252.437300910888</v>
      </c>
      <c r="E1313" s="601" t="n">
        <f aca="false">E1312+$C$204</f>
        <v>16.0094686016545</v>
      </c>
      <c r="F1313" s="816" t="n">
        <f aca="false">F1312+1</f>
        <v>1098</v>
      </c>
      <c r="G1313" s="775" t="n">
        <f aca="false">C1313</f>
        <v>181782.982957899</v>
      </c>
      <c r="H1313" s="817" t="n">
        <f aca="false">1000*(E1313-E1312)</f>
        <v>10.0000000000016</v>
      </c>
      <c r="I1313" s="5"/>
      <c r="J1313" s="818" t="n">
        <f aca="false">1000*(E1313-$E$215)/(B1313-$B$215)</f>
        <v>11.4333969294823</v>
      </c>
      <c r="K1313" s="732" t="n">
        <f aca="false">AVERAGE($E$216:E1313)</f>
        <v>10.5175469258804</v>
      </c>
      <c r="L1313" s="819" t="n">
        <f aca="false">L1312+1</f>
        <v>1098</v>
      </c>
      <c r="M1313" s="820" t="n">
        <f aca="false">IF(B1313&lt;$E$104,$E$105,$E$106)</f>
        <v>3</v>
      </c>
      <c r="N1313" s="821" t="n">
        <f aca="false">IF(B1313&lt;$E$104,$E$105,$E$111)</f>
        <v>2.5</v>
      </c>
      <c r="O1313" s="822" t="n">
        <f aca="false">E1313*$E$205*N1313</f>
        <v>210.36441742574</v>
      </c>
      <c r="P1313" s="823" t="n">
        <f aca="false">P1312+O1313</f>
        <v>151537.499731959</v>
      </c>
      <c r="Q1313" s="606" t="n">
        <f aca="false">Q1312+1</f>
        <v>1098</v>
      </c>
      <c r="R1313" s="824" t="n">
        <f aca="false">R1312-1</f>
        <v>-1098</v>
      </c>
      <c r="S1313" s="5"/>
      <c r="T1313" s="5"/>
      <c r="U1313" s="5"/>
      <c r="V1313" s="10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02"/>
      <c r="AU1313" s="502"/>
      <c r="AV1313" s="606"/>
      <c r="AW1313" s="502"/>
      <c r="AX1313" s="502"/>
      <c r="AY1313" s="502"/>
      <c r="AZ1313" s="502"/>
      <c r="BA1313" s="502"/>
      <c r="BB1313" s="502"/>
      <c r="BC1313" s="502"/>
      <c r="BD1313" s="502"/>
      <c r="BE1313" s="502"/>
      <c r="BF1313" s="502"/>
      <c r="BG1313" s="502"/>
      <c r="BH1313" s="502"/>
      <c r="BI1313" s="502"/>
      <c r="BJ1313" s="502"/>
      <c r="BK1313" s="502"/>
      <c r="BL1313" s="502"/>
      <c r="BM1313" s="502"/>
      <c r="BN1313" s="502"/>
      <c r="BO1313" s="502"/>
      <c r="BP1313" s="5"/>
      <c r="BQ1313" s="5"/>
      <c r="BR1313" s="5"/>
      <c r="BS1313" s="5"/>
      <c r="BT1313" s="5"/>
      <c r="BU1313" s="5"/>
      <c r="BV1313" s="5"/>
      <c r="BW1313" s="5"/>
      <c r="BX1313" s="5"/>
      <c r="BY1313" s="5"/>
      <c r="BZ1313" s="5"/>
      <c r="CA1313" s="5"/>
      <c r="CB1313" s="5"/>
      <c r="CC1313" s="5"/>
      <c r="CD1313" s="5"/>
      <c r="CE1313" s="5"/>
      <c r="CF1313" s="5"/>
      <c r="CG1313" s="5"/>
      <c r="CH1313" s="5"/>
      <c r="CI1313" s="5"/>
      <c r="CJ1313" s="5"/>
      <c r="CK1313" s="5"/>
      <c r="CL1313" s="5"/>
      <c r="CM1313" s="5"/>
      <c r="CN1313" s="5"/>
      <c r="CO1313" s="5"/>
      <c r="CP1313" s="5"/>
      <c r="CQ1313" s="5"/>
      <c r="CR1313" s="5"/>
      <c r="CS1313" s="5"/>
      <c r="CT1313" s="5"/>
      <c r="CU1313" s="5"/>
      <c r="CV1313" s="5"/>
      <c r="CW1313" s="5"/>
      <c r="CX1313" s="5"/>
      <c r="CY1313" s="5"/>
      <c r="CZ1313" s="5"/>
      <c r="DA1313" s="5"/>
      <c r="DB1313" s="5"/>
      <c r="DC1313" s="5"/>
      <c r="DD1313" s="5"/>
      <c r="DE1313" s="5"/>
      <c r="DF1313" s="5"/>
      <c r="DG1313" s="5"/>
      <c r="DH1313" s="5"/>
      <c r="DI1313" s="5"/>
      <c r="DJ1313" s="5"/>
      <c r="DK1313" s="5"/>
      <c r="DL1313" s="5"/>
      <c r="DM1313" s="5"/>
      <c r="DN1313" s="5"/>
      <c r="DO1313" s="5"/>
      <c r="DP1313" s="5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  <c r="GV1313" s="1"/>
      <c r="GW1313" s="1"/>
      <c r="GX1313" s="1"/>
      <c r="GY1313" s="1"/>
      <c r="GZ1313" s="1"/>
      <c r="HA1313" s="1"/>
      <c r="HB1313" s="1"/>
      <c r="HC1313" s="1"/>
      <c r="HD1313" s="1"/>
      <c r="HE1313" s="1"/>
      <c r="HF1313" s="1"/>
      <c r="HG1313" s="1"/>
      <c r="HH1313" s="1"/>
      <c r="HI1313" s="1"/>
      <c r="HJ1313" s="1"/>
      <c r="HK1313" s="1"/>
      <c r="HL1313" s="1"/>
      <c r="HM1313" s="1"/>
      <c r="HN1313" s="1"/>
      <c r="HO1313" s="1"/>
      <c r="HP1313" s="1"/>
      <c r="HQ1313" s="1"/>
      <c r="HR1313" s="1"/>
      <c r="HS1313" s="1"/>
      <c r="HT1313" s="1"/>
      <c r="HU1313" s="1"/>
      <c r="HV1313" s="1"/>
      <c r="HW1313" s="1"/>
      <c r="HX1313" s="1"/>
      <c r="HY1313" s="1"/>
      <c r="HZ1313" s="1"/>
      <c r="IA1313" s="1"/>
      <c r="IB1313" s="1"/>
      <c r="IC1313" s="1"/>
      <c r="ID1313" s="1"/>
      <c r="IE1313" s="1"/>
      <c r="IF1313" s="1"/>
      <c r="IG1313" s="1"/>
      <c r="IH1313" s="1"/>
      <c r="II1313" s="1"/>
      <c r="IJ1313" s="1"/>
      <c r="IK1313" s="1"/>
      <c r="IL1313" s="1"/>
      <c r="IM1313" s="1"/>
      <c r="IN1313" s="1"/>
      <c r="IO1313" s="1"/>
      <c r="IP1313" s="1"/>
      <c r="IQ1313" s="1"/>
      <c r="IR1313" s="1"/>
      <c r="IS1313" s="1"/>
      <c r="IT1313" s="1"/>
      <c r="IU1313" s="1"/>
      <c r="IV1313" s="1"/>
      <c r="IW1313" s="1"/>
      <c r="IX1313" s="1"/>
      <c r="IY1313" s="1"/>
      <c r="IZ1313" s="1"/>
      <c r="JA1313" s="1"/>
      <c r="JB1313" s="1"/>
      <c r="JC1313" s="1"/>
      <c r="JD1313" s="1"/>
    </row>
    <row r="1314" s="504" customFormat="true" ht="12.75" hidden="true" customHeight="true" outlineLevel="0" collapsed="false">
      <c r="A1314" s="5"/>
      <c r="B1314" s="813" t="n">
        <f aca="false">B1313+1</f>
        <v>1099</v>
      </c>
      <c r="C1314" s="814" t="n">
        <f aca="false">C1313+D1314</f>
        <v>182035.57793881</v>
      </c>
      <c r="D1314" s="815" t="n">
        <f aca="false">E1314*$E$205*M1314</f>
        <v>252.594980910887</v>
      </c>
      <c r="E1314" s="601" t="n">
        <f aca="false">E1313+$C$204</f>
        <v>16.0194686016545</v>
      </c>
      <c r="F1314" s="816" t="n">
        <f aca="false">F1313+1</f>
        <v>1099</v>
      </c>
      <c r="G1314" s="775" t="n">
        <f aca="false">C1314</f>
        <v>182035.57793881</v>
      </c>
      <c r="H1314" s="817" t="n">
        <f aca="false">1000*(E1314-E1313)</f>
        <v>10.0000000000016</v>
      </c>
      <c r="I1314" s="5"/>
      <c r="J1314" s="818" t="n">
        <f aca="false">1000*(E1314-$E$215)/(B1314-$B$215)</f>
        <v>11.4320926556612</v>
      </c>
      <c r="K1314" s="732" t="n">
        <f aca="false">AVERAGE($E$216:E1314)</f>
        <v>10.5225532240386</v>
      </c>
      <c r="L1314" s="819" t="n">
        <f aca="false">L1313+1</f>
        <v>1099</v>
      </c>
      <c r="M1314" s="820" t="n">
        <f aca="false">IF(B1314&lt;$E$104,$E$105,$E$106)</f>
        <v>3</v>
      </c>
      <c r="N1314" s="821" t="n">
        <f aca="false">IF(B1314&lt;$E$104,$E$105,$E$111)</f>
        <v>2.5</v>
      </c>
      <c r="O1314" s="822" t="n">
        <f aca="false">E1314*$E$205*N1314</f>
        <v>210.49581742574</v>
      </c>
      <c r="P1314" s="823" t="n">
        <f aca="false">P1313+O1314</f>
        <v>151747.995549385</v>
      </c>
      <c r="Q1314" s="606" t="n">
        <f aca="false">Q1313+1</f>
        <v>1099</v>
      </c>
      <c r="R1314" s="824" t="n">
        <f aca="false">R1313-1</f>
        <v>-1099</v>
      </c>
      <c r="S1314" s="5"/>
      <c r="T1314" s="5"/>
      <c r="U1314" s="5"/>
      <c r="V1314" s="10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02"/>
      <c r="AU1314" s="502"/>
      <c r="AV1314" s="606"/>
      <c r="AW1314" s="502"/>
      <c r="AX1314" s="502"/>
      <c r="AY1314" s="502"/>
      <c r="AZ1314" s="502"/>
      <c r="BA1314" s="502"/>
      <c r="BB1314" s="502"/>
      <c r="BC1314" s="502"/>
      <c r="BD1314" s="502"/>
      <c r="BE1314" s="502"/>
      <c r="BF1314" s="502"/>
      <c r="BG1314" s="502"/>
      <c r="BH1314" s="502"/>
      <c r="BI1314" s="502"/>
      <c r="BJ1314" s="502"/>
      <c r="BK1314" s="502"/>
      <c r="BL1314" s="502"/>
      <c r="BM1314" s="502"/>
      <c r="BN1314" s="502"/>
      <c r="BO1314" s="502"/>
      <c r="BP1314" s="5"/>
      <c r="BQ1314" s="5"/>
      <c r="BR1314" s="5"/>
      <c r="BS1314" s="5"/>
      <c r="BT1314" s="5"/>
      <c r="BU1314" s="5"/>
      <c r="BV1314" s="5"/>
      <c r="BW1314" s="5"/>
      <c r="BX1314" s="5"/>
      <c r="BY1314" s="5"/>
      <c r="BZ1314" s="5"/>
      <c r="CA1314" s="5"/>
      <c r="CB1314" s="5"/>
      <c r="CC1314" s="5"/>
      <c r="CD1314" s="5"/>
      <c r="CE1314" s="5"/>
      <c r="CF1314" s="5"/>
      <c r="CG1314" s="5"/>
      <c r="CH1314" s="5"/>
      <c r="CI1314" s="5"/>
      <c r="CJ1314" s="5"/>
      <c r="CK1314" s="5"/>
      <c r="CL1314" s="5"/>
      <c r="CM1314" s="5"/>
      <c r="CN1314" s="5"/>
      <c r="CO1314" s="5"/>
      <c r="CP1314" s="5"/>
      <c r="CQ1314" s="5"/>
      <c r="CR1314" s="5"/>
      <c r="CS1314" s="5"/>
      <c r="CT1314" s="5"/>
      <c r="CU1314" s="5"/>
      <c r="CV1314" s="5"/>
      <c r="CW1314" s="5"/>
      <c r="CX1314" s="5"/>
      <c r="CY1314" s="5"/>
      <c r="CZ1314" s="5"/>
      <c r="DA1314" s="5"/>
      <c r="DB1314" s="5"/>
      <c r="DC1314" s="5"/>
      <c r="DD1314" s="5"/>
      <c r="DE1314" s="5"/>
      <c r="DF1314" s="5"/>
      <c r="DG1314" s="5"/>
      <c r="DH1314" s="5"/>
      <c r="DI1314" s="5"/>
      <c r="DJ1314" s="5"/>
      <c r="DK1314" s="5"/>
      <c r="DL1314" s="5"/>
      <c r="DM1314" s="5"/>
      <c r="DN1314" s="5"/>
      <c r="DO1314" s="5"/>
      <c r="DP1314" s="5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  <c r="GV1314" s="1"/>
      <c r="GW1314" s="1"/>
      <c r="GX1314" s="1"/>
      <c r="GY1314" s="1"/>
      <c r="GZ1314" s="1"/>
      <c r="HA1314" s="1"/>
      <c r="HB1314" s="1"/>
      <c r="HC1314" s="1"/>
      <c r="HD1314" s="1"/>
      <c r="HE1314" s="1"/>
      <c r="HF1314" s="1"/>
      <c r="HG1314" s="1"/>
      <c r="HH1314" s="1"/>
      <c r="HI1314" s="1"/>
      <c r="HJ1314" s="1"/>
      <c r="HK1314" s="1"/>
      <c r="HL1314" s="1"/>
      <c r="HM1314" s="1"/>
      <c r="HN1314" s="1"/>
      <c r="HO1314" s="1"/>
      <c r="HP1314" s="1"/>
      <c r="HQ1314" s="1"/>
      <c r="HR1314" s="1"/>
      <c r="HS1314" s="1"/>
      <c r="HT1314" s="1"/>
      <c r="HU1314" s="1"/>
      <c r="HV1314" s="1"/>
      <c r="HW1314" s="1"/>
      <c r="HX1314" s="1"/>
      <c r="HY1314" s="1"/>
      <c r="HZ1314" s="1"/>
      <c r="IA1314" s="1"/>
      <c r="IB1314" s="1"/>
      <c r="IC1314" s="1"/>
      <c r="ID1314" s="1"/>
      <c r="IE1314" s="1"/>
      <c r="IF1314" s="1"/>
      <c r="IG1314" s="1"/>
      <c r="IH1314" s="1"/>
      <c r="II1314" s="1"/>
      <c r="IJ1314" s="1"/>
      <c r="IK1314" s="1"/>
      <c r="IL1314" s="1"/>
      <c r="IM1314" s="1"/>
      <c r="IN1314" s="1"/>
      <c r="IO1314" s="1"/>
      <c r="IP1314" s="1"/>
      <c r="IQ1314" s="1"/>
      <c r="IR1314" s="1"/>
      <c r="IS1314" s="1"/>
      <c r="IT1314" s="1"/>
      <c r="IU1314" s="1"/>
      <c r="IV1314" s="1"/>
      <c r="IW1314" s="1"/>
      <c r="IX1314" s="1"/>
      <c r="IY1314" s="1"/>
      <c r="IZ1314" s="1"/>
      <c r="JA1314" s="1"/>
      <c r="JB1314" s="1"/>
      <c r="JC1314" s="1"/>
      <c r="JD1314" s="1"/>
    </row>
    <row r="1315" s="504" customFormat="true" ht="12.75" hidden="true" customHeight="true" outlineLevel="0" collapsed="false">
      <c r="A1315" s="11"/>
      <c r="B1315" s="827" t="n">
        <f aca="false">B1314+1</f>
        <v>1100</v>
      </c>
      <c r="C1315" s="768" t="n">
        <f aca="false">C1314+D1315</f>
        <v>182288.330599721</v>
      </c>
      <c r="D1315" s="828" t="n">
        <f aca="false">E1315*$E$205*M1315</f>
        <v>252.752660910888</v>
      </c>
      <c r="E1315" s="787" t="n">
        <f aca="false">E1314+$C$204</f>
        <v>16.0294686016545</v>
      </c>
      <c r="F1315" s="829" t="n">
        <f aca="false">F1314+1</f>
        <v>1100</v>
      </c>
      <c r="G1315" s="830" t="n">
        <f aca="false">C1315</f>
        <v>182288.330599721</v>
      </c>
      <c r="H1315" s="831" t="n">
        <f aca="false">1000*(E1315-E1314)</f>
        <v>10.0000000000016</v>
      </c>
      <c r="I1315" s="785"/>
      <c r="J1315" s="832" t="n">
        <f aca="false">1000*(E1315-$E$215)/(B1315-$B$215)</f>
        <v>11.4307907532469</v>
      </c>
      <c r="K1315" s="787" t="n">
        <f aca="false">AVERAGE($E$216:E1315)</f>
        <v>10.5275595107455</v>
      </c>
      <c r="L1315" s="833" t="n">
        <f aca="false">L1314+1</f>
        <v>1100</v>
      </c>
      <c r="M1315" s="834" t="n">
        <f aca="false">IF(B1315&lt;$E$104,$E$105,$E$106)</f>
        <v>3</v>
      </c>
      <c r="N1315" s="835" t="n">
        <f aca="false">IF(B1315&lt;$E$104,$E$105,$E$111)</f>
        <v>2.5</v>
      </c>
      <c r="O1315" s="836" t="n">
        <f aca="false">E1315*$E$205*N1315</f>
        <v>210.62721742574</v>
      </c>
      <c r="P1315" s="837" t="n">
        <f aca="false">P1314+O1315</f>
        <v>151958.62276681</v>
      </c>
      <c r="Q1315" s="742" t="n">
        <f aca="false">Q1314+1</f>
        <v>1100</v>
      </c>
      <c r="R1315" s="838" t="n">
        <f aca="false">R1314-1</f>
        <v>-1100</v>
      </c>
      <c r="S1315" s="5"/>
      <c r="T1315" s="5"/>
      <c r="U1315" s="5"/>
      <c r="V1315" s="10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02"/>
      <c r="AU1315" s="502"/>
      <c r="AV1315" s="606"/>
      <c r="AW1315" s="502"/>
      <c r="AX1315" s="502"/>
      <c r="AY1315" s="502"/>
      <c r="AZ1315" s="502"/>
      <c r="BA1315" s="502"/>
      <c r="BB1315" s="502"/>
      <c r="BC1315" s="502"/>
      <c r="BD1315" s="502"/>
      <c r="BE1315" s="502"/>
      <c r="BF1315" s="502"/>
      <c r="BG1315" s="502"/>
      <c r="BH1315" s="502"/>
      <c r="BI1315" s="502"/>
      <c r="BJ1315" s="502"/>
      <c r="BK1315" s="502"/>
      <c r="BL1315" s="502"/>
      <c r="BM1315" s="502"/>
      <c r="BN1315" s="502"/>
      <c r="BO1315" s="502"/>
      <c r="BP1315" s="5"/>
      <c r="BQ1315" s="5"/>
      <c r="BR1315" s="5"/>
      <c r="BS1315" s="5"/>
      <c r="BT1315" s="5"/>
      <c r="BU1315" s="5"/>
      <c r="BV1315" s="5"/>
      <c r="BW1315" s="5"/>
      <c r="BX1315" s="5"/>
      <c r="BY1315" s="5"/>
      <c r="BZ1315" s="5"/>
      <c r="CA1315" s="5"/>
      <c r="CB1315" s="5"/>
      <c r="CC1315" s="5"/>
      <c r="CD1315" s="5"/>
      <c r="CE1315" s="5"/>
      <c r="CF1315" s="5"/>
      <c r="CG1315" s="5"/>
      <c r="CH1315" s="5"/>
      <c r="CI1315" s="5"/>
      <c r="CJ1315" s="5"/>
      <c r="CK1315" s="5"/>
      <c r="CL1315" s="5"/>
      <c r="CM1315" s="5"/>
      <c r="CN1315" s="5"/>
      <c r="CO1315" s="5"/>
      <c r="CP1315" s="5"/>
      <c r="CQ1315" s="5"/>
      <c r="CR1315" s="5"/>
      <c r="CS1315" s="5"/>
      <c r="CT1315" s="5"/>
      <c r="CU1315" s="5"/>
      <c r="CV1315" s="5"/>
      <c r="CW1315" s="5"/>
      <c r="CX1315" s="5"/>
      <c r="CY1315" s="5"/>
      <c r="CZ1315" s="5"/>
      <c r="DA1315" s="5"/>
      <c r="DB1315" s="5"/>
      <c r="DC1315" s="5"/>
      <c r="DD1315" s="5"/>
      <c r="DE1315" s="5"/>
      <c r="DF1315" s="5"/>
      <c r="DG1315" s="5"/>
      <c r="DH1315" s="5"/>
      <c r="DI1315" s="5"/>
      <c r="DJ1315" s="5"/>
      <c r="DK1315" s="5"/>
      <c r="DL1315" s="5"/>
      <c r="DM1315" s="5"/>
      <c r="DN1315" s="5"/>
      <c r="DO1315" s="5"/>
      <c r="DP1315" s="5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  <c r="GV1315" s="1"/>
      <c r="GW1315" s="1"/>
      <c r="GX1315" s="1"/>
      <c r="GY1315" s="1"/>
      <c r="GZ1315" s="1"/>
      <c r="HA1315" s="1"/>
      <c r="HB1315" s="1"/>
      <c r="HC1315" s="1"/>
      <c r="HD1315" s="1"/>
      <c r="HE1315" s="1"/>
      <c r="HF1315" s="1"/>
      <c r="HG1315" s="1"/>
      <c r="HH1315" s="1"/>
      <c r="HI1315" s="1"/>
      <c r="HJ1315" s="1"/>
      <c r="HK1315" s="1"/>
      <c r="HL1315" s="1"/>
      <c r="HM1315" s="1"/>
      <c r="HN1315" s="1"/>
      <c r="HO1315" s="1"/>
      <c r="HP1315" s="1"/>
      <c r="HQ1315" s="1"/>
      <c r="HR1315" s="1"/>
      <c r="HS1315" s="1"/>
      <c r="HT1315" s="1"/>
      <c r="HU1315" s="1"/>
      <c r="HV1315" s="1"/>
      <c r="HW1315" s="1"/>
      <c r="HX1315" s="1"/>
      <c r="HY1315" s="1"/>
      <c r="HZ1315" s="1"/>
      <c r="IA1315" s="1"/>
      <c r="IB1315" s="1"/>
      <c r="IC1315" s="1"/>
      <c r="ID1315" s="1"/>
      <c r="IE1315" s="1"/>
      <c r="IF1315" s="1"/>
      <c r="IG1315" s="1"/>
      <c r="IH1315" s="1"/>
      <c r="II1315" s="1"/>
      <c r="IJ1315" s="1"/>
      <c r="IK1315" s="1"/>
      <c r="IL1315" s="1"/>
      <c r="IM1315" s="1"/>
      <c r="IN1315" s="1"/>
      <c r="IO1315" s="1"/>
      <c r="IP1315" s="1"/>
      <c r="IQ1315" s="1"/>
      <c r="IR1315" s="1"/>
      <c r="IS1315" s="1"/>
      <c r="IT1315" s="1"/>
      <c r="IU1315" s="1"/>
      <c r="IV1315" s="1"/>
      <c r="IW1315" s="1"/>
      <c r="IX1315" s="1"/>
      <c r="IY1315" s="1"/>
      <c r="IZ1315" s="1"/>
      <c r="JA1315" s="1"/>
      <c r="JB1315" s="1"/>
      <c r="JC1315" s="1"/>
      <c r="JD1315" s="1"/>
    </row>
    <row r="1316" s="504" customFormat="true" ht="12.75" hidden="true" customHeight="true" outlineLevel="0" collapsed="false">
      <c r="A1316" s="793"/>
      <c r="B1316" s="827" t="n">
        <f aca="false">B1315+1</f>
        <v>1101</v>
      </c>
      <c r="C1316" s="768" t="n">
        <f aca="false">C1315+D1316</f>
        <v>182541.240940632</v>
      </c>
      <c r="D1316" s="828" t="n">
        <f aca="false">E1316*$E$205*M1316</f>
        <v>252.910340910888</v>
      </c>
      <c r="E1316" s="787" t="n">
        <f aca="false">E1315+$C$204</f>
        <v>16.0394686016545</v>
      </c>
      <c r="F1316" s="829" t="n">
        <f aca="false">F1315+1</f>
        <v>1101</v>
      </c>
      <c r="G1316" s="830" t="n">
        <f aca="false">C1316</f>
        <v>182541.240940632</v>
      </c>
      <c r="H1316" s="831" t="n">
        <f aca="false">1000*(E1316-E1315)</f>
        <v>10.0000000000016</v>
      </c>
      <c r="I1316" s="785"/>
      <c r="J1316" s="832" t="n">
        <f aca="false">1000*(E1316-$E$215)/(B1316-$B$215)</f>
        <v>11.429491215778</v>
      </c>
      <c r="K1316" s="787" t="n">
        <f aca="false">AVERAGE($E$216:E1316)</f>
        <v>10.5325657860324</v>
      </c>
      <c r="L1316" s="833" t="n">
        <f aca="false">L1315+1</f>
        <v>1101</v>
      </c>
      <c r="M1316" s="834" t="n">
        <f aca="false">IF(B1316&lt;$E$104,$E$105,$E$106)</f>
        <v>3</v>
      </c>
      <c r="N1316" s="835" t="n">
        <f aca="false">IF(B1316&lt;$E$104,$E$105,$E$111)</f>
        <v>2.5</v>
      </c>
      <c r="O1316" s="836" t="n">
        <f aca="false">E1316*$E$205*N1316</f>
        <v>210.75861742574</v>
      </c>
      <c r="P1316" s="837" t="n">
        <f aca="false">P1315+O1316</f>
        <v>152169.381384236</v>
      </c>
      <c r="Q1316" s="742" t="n">
        <f aca="false">Q1315+1</f>
        <v>1101</v>
      </c>
      <c r="R1316" s="838" t="n">
        <f aca="false">R1315-1</f>
        <v>-1101</v>
      </c>
      <c r="S1316" s="5"/>
      <c r="T1316" s="5"/>
      <c r="U1316" s="5"/>
      <c r="V1316" s="10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02"/>
      <c r="AU1316" s="502"/>
      <c r="AV1316" s="606"/>
      <c r="AW1316" s="502"/>
      <c r="AX1316" s="502"/>
      <c r="AY1316" s="502"/>
      <c r="AZ1316" s="502"/>
      <c r="BA1316" s="502"/>
      <c r="BB1316" s="502"/>
      <c r="BC1316" s="502"/>
      <c r="BD1316" s="502"/>
      <c r="BE1316" s="502"/>
      <c r="BF1316" s="502"/>
      <c r="BG1316" s="502"/>
      <c r="BH1316" s="502"/>
      <c r="BI1316" s="502"/>
      <c r="BJ1316" s="502"/>
      <c r="BK1316" s="502"/>
      <c r="BL1316" s="502"/>
      <c r="BM1316" s="502"/>
      <c r="BN1316" s="502"/>
      <c r="BO1316" s="502"/>
      <c r="BP1316" s="5"/>
      <c r="BQ1316" s="5"/>
      <c r="BR1316" s="5"/>
      <c r="BS1316" s="5"/>
      <c r="BT1316" s="5"/>
      <c r="BU1316" s="5"/>
      <c r="BV1316" s="5"/>
      <c r="BW1316" s="5"/>
      <c r="BX1316" s="5"/>
      <c r="BY1316" s="5"/>
      <c r="BZ1316" s="5"/>
      <c r="CA1316" s="5"/>
      <c r="CB1316" s="5"/>
      <c r="CC1316" s="5"/>
      <c r="CD1316" s="5"/>
      <c r="CE1316" s="5"/>
      <c r="CF1316" s="5"/>
      <c r="CG1316" s="5"/>
      <c r="CH1316" s="5"/>
      <c r="CI1316" s="5"/>
      <c r="CJ1316" s="5"/>
      <c r="CK1316" s="5"/>
      <c r="CL1316" s="5"/>
      <c r="CM1316" s="5"/>
      <c r="CN1316" s="5"/>
      <c r="CO1316" s="5"/>
      <c r="CP1316" s="5"/>
      <c r="CQ1316" s="5"/>
      <c r="CR1316" s="5"/>
      <c r="CS1316" s="5"/>
      <c r="CT1316" s="5"/>
      <c r="CU1316" s="5"/>
      <c r="CV1316" s="5"/>
      <c r="CW1316" s="5"/>
      <c r="CX1316" s="5"/>
      <c r="CY1316" s="5"/>
      <c r="CZ1316" s="5"/>
      <c r="DA1316" s="5"/>
      <c r="DB1316" s="5"/>
      <c r="DC1316" s="5"/>
      <c r="DD1316" s="5"/>
      <c r="DE1316" s="5"/>
      <c r="DF1316" s="5"/>
      <c r="DG1316" s="5"/>
      <c r="DH1316" s="5"/>
      <c r="DI1316" s="5"/>
      <c r="DJ1316" s="5"/>
      <c r="DK1316" s="5"/>
      <c r="DL1316" s="5"/>
      <c r="DM1316" s="5"/>
      <c r="DN1316" s="5"/>
      <c r="DO1316" s="5"/>
      <c r="DP1316" s="5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  <c r="GV1316" s="1"/>
      <c r="GW1316" s="1"/>
      <c r="GX1316" s="1"/>
      <c r="GY1316" s="1"/>
      <c r="GZ1316" s="1"/>
      <c r="HA1316" s="1"/>
      <c r="HB1316" s="1"/>
      <c r="HC1316" s="1"/>
      <c r="HD1316" s="1"/>
      <c r="HE1316" s="1"/>
      <c r="HF1316" s="1"/>
      <c r="HG1316" s="1"/>
      <c r="HH1316" s="1"/>
      <c r="HI1316" s="1"/>
      <c r="HJ1316" s="1"/>
      <c r="HK1316" s="1"/>
      <c r="HL1316" s="1"/>
      <c r="HM1316" s="1"/>
      <c r="HN1316" s="1"/>
      <c r="HO1316" s="1"/>
      <c r="HP1316" s="1"/>
      <c r="HQ1316" s="1"/>
      <c r="HR1316" s="1"/>
      <c r="HS1316" s="1"/>
      <c r="HT1316" s="1"/>
      <c r="HU1316" s="1"/>
      <c r="HV1316" s="1"/>
      <c r="HW1316" s="1"/>
      <c r="HX1316" s="1"/>
      <c r="HY1316" s="1"/>
      <c r="HZ1316" s="1"/>
      <c r="IA1316" s="1"/>
      <c r="IB1316" s="1"/>
      <c r="IC1316" s="1"/>
      <c r="ID1316" s="1"/>
      <c r="IE1316" s="1"/>
      <c r="IF1316" s="1"/>
      <c r="IG1316" s="1"/>
      <c r="IH1316" s="1"/>
      <c r="II1316" s="1"/>
      <c r="IJ1316" s="1"/>
      <c r="IK1316" s="1"/>
      <c r="IL1316" s="1"/>
      <c r="IM1316" s="1"/>
      <c r="IN1316" s="1"/>
      <c r="IO1316" s="1"/>
      <c r="IP1316" s="1"/>
      <c r="IQ1316" s="1"/>
      <c r="IR1316" s="1"/>
      <c r="IS1316" s="1"/>
      <c r="IT1316" s="1"/>
      <c r="IU1316" s="1"/>
      <c r="IV1316" s="1"/>
      <c r="IW1316" s="1"/>
      <c r="IX1316" s="1"/>
      <c r="IY1316" s="1"/>
      <c r="IZ1316" s="1"/>
      <c r="JA1316" s="1"/>
      <c r="JB1316" s="1"/>
      <c r="JC1316" s="1"/>
      <c r="JD1316" s="1"/>
    </row>
    <row r="1317" s="504" customFormat="true" ht="12.75" hidden="true" customHeight="true" outlineLevel="0" collapsed="false">
      <c r="A1317" s="11"/>
      <c r="B1317" s="11"/>
      <c r="C1317" s="11"/>
      <c r="D1317" s="842"/>
      <c r="E1317" s="842"/>
      <c r="F1317" s="842"/>
      <c r="G1317" s="11"/>
      <c r="H1317" s="11"/>
      <c r="I1317" s="11"/>
      <c r="J1317" s="842"/>
      <c r="K1317" s="842"/>
      <c r="L1317" s="11"/>
      <c r="M1317" s="842"/>
      <c r="N1317" s="842"/>
      <c r="O1317" s="842"/>
      <c r="P1317" s="842"/>
      <c r="Q1317" s="842"/>
      <c r="R1317" s="11"/>
      <c r="S1317" s="5"/>
      <c r="T1317" s="5"/>
      <c r="U1317" s="5"/>
      <c r="V1317" s="10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02"/>
      <c r="AU1317" s="502"/>
      <c r="AV1317" s="606"/>
      <c r="AW1317" s="502"/>
      <c r="AX1317" s="502"/>
      <c r="AY1317" s="502"/>
      <c r="AZ1317" s="502"/>
      <c r="BA1317" s="502"/>
      <c r="BB1317" s="502"/>
      <c r="BC1317" s="502"/>
      <c r="BD1317" s="502"/>
      <c r="BE1317" s="502"/>
      <c r="BF1317" s="502"/>
      <c r="BG1317" s="502"/>
      <c r="BH1317" s="502"/>
      <c r="BI1317" s="502"/>
      <c r="BJ1317" s="502"/>
      <c r="BK1317" s="502"/>
      <c r="BL1317" s="502"/>
      <c r="BM1317" s="502"/>
      <c r="BN1317" s="502"/>
      <c r="BO1317" s="502"/>
      <c r="BP1317" s="5"/>
      <c r="BQ1317" s="5"/>
      <c r="BR1317" s="5"/>
      <c r="BS1317" s="5"/>
      <c r="BT1317" s="5"/>
      <c r="BU1317" s="5"/>
      <c r="BV1317" s="5"/>
      <c r="BW1317" s="5"/>
      <c r="BX1317" s="5"/>
      <c r="BY1317" s="5"/>
      <c r="BZ1317" s="5"/>
      <c r="CA1317" s="5"/>
      <c r="CB1317" s="5"/>
      <c r="CC1317" s="5"/>
      <c r="CD1317" s="5"/>
      <c r="CE1317" s="5"/>
      <c r="CF1317" s="5"/>
      <c r="CG1317" s="5"/>
      <c r="CH1317" s="5"/>
      <c r="CI1317" s="5"/>
      <c r="CJ1317" s="5"/>
      <c r="CK1317" s="5"/>
      <c r="CL1317" s="5"/>
      <c r="CM1317" s="5"/>
      <c r="CN1317" s="5"/>
      <c r="CO1317" s="5"/>
      <c r="CP1317" s="5"/>
      <c r="CQ1317" s="5"/>
      <c r="CR1317" s="5"/>
      <c r="CS1317" s="5"/>
      <c r="CT1317" s="5"/>
      <c r="CU1317" s="5"/>
      <c r="CV1317" s="5"/>
      <c r="CW1317" s="5"/>
      <c r="CX1317" s="5"/>
      <c r="CY1317" s="5"/>
      <c r="CZ1317" s="5"/>
      <c r="DA1317" s="5"/>
      <c r="DB1317" s="5"/>
      <c r="DC1317" s="5"/>
      <c r="DD1317" s="5"/>
      <c r="DE1317" s="5"/>
      <c r="DF1317" s="5"/>
      <c r="DG1317" s="5"/>
      <c r="DH1317" s="5"/>
      <c r="DI1317" s="5"/>
      <c r="DJ1317" s="5"/>
      <c r="DK1317" s="5"/>
      <c r="DL1317" s="5"/>
      <c r="DM1317" s="5"/>
      <c r="DN1317" s="5"/>
      <c r="DO1317" s="5"/>
      <c r="DP1317" s="5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  <c r="GV1317" s="1"/>
      <c r="GW1317" s="1"/>
      <c r="GX1317" s="1"/>
      <c r="GY1317" s="1"/>
      <c r="GZ1317" s="1"/>
      <c r="HA1317" s="1"/>
      <c r="HB1317" s="1"/>
      <c r="HC1317" s="1"/>
      <c r="HD1317" s="1"/>
      <c r="HE1317" s="1"/>
      <c r="HF1317" s="1"/>
      <c r="HG1317" s="1"/>
      <c r="HH1317" s="1"/>
      <c r="HI1317" s="1"/>
      <c r="HJ1317" s="1"/>
      <c r="HK1317" s="1"/>
      <c r="HL1317" s="1"/>
      <c r="HM1317" s="1"/>
      <c r="HN1317" s="1"/>
      <c r="HO1317" s="1"/>
      <c r="HP1317" s="1"/>
      <c r="HQ1317" s="1"/>
      <c r="HR1317" s="1"/>
      <c r="HS1317" s="1"/>
      <c r="HT1317" s="1"/>
      <c r="HU1317" s="1"/>
      <c r="HV1317" s="1"/>
      <c r="HW1317" s="1"/>
      <c r="HX1317" s="1"/>
      <c r="HY1317" s="1"/>
      <c r="HZ1317" s="1"/>
      <c r="IA1317" s="1"/>
      <c r="IB1317" s="1"/>
      <c r="IC1317" s="1"/>
      <c r="ID1317" s="1"/>
      <c r="IE1317" s="1"/>
      <c r="IF1317" s="1"/>
      <c r="IG1317" s="1"/>
      <c r="IH1317" s="1"/>
      <c r="II1317" s="1"/>
      <c r="IJ1317" s="1"/>
      <c r="IK1317" s="1"/>
      <c r="IL1317" s="1"/>
      <c r="IM1317" s="1"/>
      <c r="IN1317" s="1"/>
      <c r="IO1317" s="1"/>
      <c r="IP1317" s="1"/>
      <c r="IQ1317" s="1"/>
      <c r="IR1317" s="1"/>
      <c r="IS1317" s="1"/>
      <c r="IT1317" s="1"/>
      <c r="IU1317" s="1"/>
      <c r="IV1317" s="1"/>
      <c r="IW1317" s="1"/>
      <c r="IX1317" s="1"/>
      <c r="IY1317" s="1"/>
      <c r="IZ1317" s="1"/>
      <c r="JA1317" s="1"/>
      <c r="JB1317" s="1"/>
      <c r="JC1317" s="1"/>
      <c r="JD1317" s="1"/>
    </row>
    <row r="1318" s="504" customFormat="true" ht="12.75" hidden="false" customHeight="true" outlineLevel="0" collapsed="false">
      <c r="A1318" s="5"/>
      <c r="B1318" s="5"/>
      <c r="C1318" s="5"/>
      <c r="D1318" s="8"/>
      <c r="E1318" s="8"/>
      <c r="F1318" s="8"/>
      <c r="G1318" s="5"/>
      <c r="H1318" s="5"/>
      <c r="I1318" s="5"/>
      <c r="J1318" s="8"/>
      <c r="K1318" s="8"/>
      <c r="L1318" s="5"/>
      <c r="M1318" s="8"/>
      <c r="N1318" s="8"/>
      <c r="O1318" s="8"/>
      <c r="P1318" s="8"/>
      <c r="Q1318" s="5"/>
      <c r="R1318" s="5"/>
      <c r="S1318" s="5"/>
      <c r="T1318" s="5"/>
      <c r="U1318" s="5"/>
      <c r="V1318" s="10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02"/>
      <c r="AU1318" s="502"/>
      <c r="AV1318" s="606"/>
      <c r="AW1318" s="502"/>
      <c r="AX1318" s="502"/>
      <c r="AY1318" s="502"/>
      <c r="AZ1318" s="502"/>
      <c r="BA1318" s="502"/>
      <c r="BB1318" s="502"/>
      <c r="BC1318" s="502"/>
      <c r="BD1318" s="502"/>
      <c r="BE1318" s="502"/>
      <c r="BF1318" s="502"/>
      <c r="BG1318" s="502"/>
      <c r="BH1318" s="502"/>
      <c r="BI1318" s="502"/>
      <c r="BJ1318" s="502"/>
      <c r="BK1318" s="502"/>
      <c r="BL1318" s="502"/>
      <c r="BM1318" s="502"/>
      <c r="BN1318" s="502"/>
      <c r="BO1318" s="502"/>
      <c r="BP1318" s="5"/>
      <c r="BQ1318" s="5"/>
      <c r="BR1318" s="5"/>
      <c r="BS1318" s="5"/>
      <c r="BT1318" s="5"/>
      <c r="BU1318" s="5"/>
      <c r="BV1318" s="5"/>
      <c r="BW1318" s="5"/>
      <c r="BX1318" s="5"/>
      <c r="BY1318" s="5"/>
      <c r="BZ1318" s="5"/>
      <c r="CA1318" s="5"/>
      <c r="CB1318" s="5"/>
      <c r="CC1318" s="5"/>
      <c r="CD1318" s="5"/>
      <c r="CE1318" s="5"/>
      <c r="CF1318" s="5"/>
      <c r="CG1318" s="5"/>
      <c r="CH1318" s="5"/>
      <c r="CI1318" s="5"/>
      <c r="CJ1318" s="5"/>
      <c r="CK1318" s="5"/>
      <c r="CL1318" s="5"/>
      <c r="CM1318" s="5"/>
      <c r="CN1318" s="5"/>
      <c r="CO1318" s="5"/>
      <c r="CP1318" s="5"/>
      <c r="CQ1318" s="5"/>
      <c r="CR1318" s="5"/>
      <c r="CS1318" s="5"/>
      <c r="CT1318" s="5"/>
      <c r="CU1318" s="5"/>
      <c r="CV1318" s="5"/>
      <c r="CW1318" s="5"/>
      <c r="CX1318" s="5"/>
      <c r="CY1318" s="5"/>
      <c r="CZ1318" s="5"/>
      <c r="DA1318" s="5"/>
      <c r="DB1318" s="5"/>
      <c r="DC1318" s="5"/>
      <c r="DD1318" s="5"/>
      <c r="DE1318" s="5"/>
      <c r="DF1318" s="5"/>
      <c r="DG1318" s="5"/>
      <c r="DH1318" s="5"/>
      <c r="DI1318" s="5"/>
      <c r="DJ1318" s="5"/>
      <c r="DK1318" s="5"/>
      <c r="DL1318" s="5"/>
      <c r="DM1318" s="5"/>
      <c r="DN1318" s="5"/>
      <c r="DO1318" s="5"/>
      <c r="DP1318" s="5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  <c r="GV1318" s="1"/>
      <c r="GW1318" s="1"/>
      <c r="GX1318" s="1"/>
      <c r="GY1318" s="1"/>
      <c r="GZ1318" s="1"/>
      <c r="HA1318" s="1"/>
      <c r="HB1318" s="1"/>
      <c r="HC1318" s="1"/>
      <c r="HD1318" s="1"/>
      <c r="HE1318" s="1"/>
      <c r="HF1318" s="1"/>
      <c r="HG1318" s="1"/>
      <c r="HH1318" s="1"/>
      <c r="HI1318" s="1"/>
      <c r="HJ1318" s="1"/>
      <c r="HK1318" s="1"/>
      <c r="HL1318" s="1"/>
      <c r="HM1318" s="1"/>
      <c r="HN1318" s="1"/>
      <c r="HO1318" s="1"/>
      <c r="HP1318" s="1"/>
      <c r="HQ1318" s="1"/>
      <c r="HR1318" s="1"/>
      <c r="HS1318" s="1"/>
      <c r="HT1318" s="1"/>
      <c r="HU1318" s="1"/>
      <c r="HV1318" s="1"/>
      <c r="HW1318" s="1"/>
      <c r="HX1318" s="1"/>
      <c r="HY1318" s="1"/>
      <c r="HZ1318" s="1"/>
      <c r="IA1318" s="1"/>
      <c r="IB1318" s="1"/>
      <c r="IC1318" s="1"/>
      <c r="ID1318" s="1"/>
      <c r="IE1318" s="1"/>
      <c r="IF1318" s="1"/>
      <c r="IG1318" s="1"/>
      <c r="IH1318" s="1"/>
      <c r="II1318" s="1"/>
      <c r="IJ1318" s="1"/>
      <c r="IK1318" s="1"/>
      <c r="IL1318" s="1"/>
      <c r="IM1318" s="1"/>
      <c r="IN1318" s="1"/>
      <c r="IO1318" s="1"/>
      <c r="IP1318" s="1"/>
      <c r="IQ1318" s="1"/>
      <c r="IR1318" s="1"/>
      <c r="IS1318" s="1"/>
      <c r="IT1318" s="1"/>
      <c r="IU1318" s="1"/>
      <c r="IV1318" s="1"/>
      <c r="IW1318" s="1"/>
      <c r="IX1318" s="1"/>
      <c r="IY1318" s="1"/>
      <c r="IZ1318" s="1"/>
      <c r="JA1318" s="1"/>
      <c r="JB1318" s="1"/>
      <c r="JC1318" s="1"/>
      <c r="JD1318" s="1"/>
    </row>
    <row r="1319" s="504" customFormat="true" ht="12.75" hidden="false" customHeight="true" outlineLevel="0" collapsed="false">
      <c r="A1319" s="5"/>
      <c r="B1319" s="5"/>
      <c r="C1319" s="5"/>
      <c r="D1319" s="8"/>
      <c r="E1319" s="8"/>
      <c r="F1319" s="8"/>
      <c r="G1319" s="5"/>
      <c r="H1319" s="5"/>
      <c r="I1319" s="5"/>
      <c r="J1319" s="8"/>
      <c r="K1319" s="8"/>
      <c r="L1319" s="5"/>
      <c r="M1319" s="8"/>
      <c r="N1319" s="8"/>
      <c r="O1319" s="8"/>
      <c r="P1319" s="8"/>
      <c r="Q1319" s="5"/>
      <c r="R1319" s="5"/>
      <c r="S1319" s="5"/>
      <c r="T1319" s="5"/>
      <c r="U1319" s="5"/>
      <c r="V1319" s="10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02"/>
      <c r="AU1319" s="502"/>
      <c r="AV1319" s="606"/>
      <c r="AW1319" s="502"/>
      <c r="AX1319" s="502"/>
      <c r="AY1319" s="502"/>
      <c r="AZ1319" s="502"/>
      <c r="BA1319" s="502"/>
      <c r="BB1319" s="502"/>
      <c r="BC1319" s="502"/>
      <c r="BD1319" s="502"/>
      <c r="BE1319" s="502"/>
      <c r="BF1319" s="502"/>
      <c r="BG1319" s="502"/>
      <c r="BH1319" s="502"/>
      <c r="BI1319" s="502"/>
      <c r="BJ1319" s="502"/>
      <c r="BK1319" s="502"/>
      <c r="BL1319" s="502"/>
      <c r="BM1319" s="502"/>
      <c r="BN1319" s="502"/>
      <c r="BO1319" s="502"/>
      <c r="BP1319" s="5"/>
      <c r="BQ1319" s="5"/>
      <c r="BR1319" s="5"/>
      <c r="BS1319" s="5"/>
      <c r="BT1319" s="5"/>
      <c r="BU1319" s="5"/>
      <c r="BV1319" s="5"/>
      <c r="BW1319" s="5"/>
      <c r="BX1319" s="5"/>
      <c r="BY1319" s="5"/>
      <c r="BZ1319" s="5"/>
      <c r="CA1319" s="5"/>
      <c r="CB1319" s="5"/>
      <c r="CC1319" s="5"/>
      <c r="CD1319" s="5"/>
      <c r="CE1319" s="5"/>
      <c r="CF1319" s="5"/>
      <c r="CG1319" s="5"/>
      <c r="CH1319" s="5"/>
      <c r="CI1319" s="5"/>
      <c r="CJ1319" s="5"/>
      <c r="CK1319" s="5"/>
      <c r="CL1319" s="5"/>
      <c r="CM1319" s="5"/>
      <c r="CN1319" s="5"/>
      <c r="CO1319" s="5"/>
      <c r="CP1319" s="5"/>
      <c r="CQ1319" s="5"/>
      <c r="CR1319" s="5"/>
      <c r="CS1319" s="5"/>
      <c r="CT1319" s="5"/>
      <c r="CU1319" s="5"/>
      <c r="CV1319" s="5"/>
      <c r="CW1319" s="5"/>
      <c r="CX1319" s="5"/>
      <c r="CY1319" s="5"/>
      <c r="CZ1319" s="5"/>
      <c r="DA1319" s="5"/>
      <c r="DB1319" s="5"/>
      <c r="DC1319" s="5"/>
      <c r="DD1319" s="5"/>
      <c r="DE1319" s="5"/>
      <c r="DF1319" s="5"/>
      <c r="DG1319" s="5"/>
      <c r="DH1319" s="5"/>
      <c r="DI1319" s="5"/>
      <c r="DJ1319" s="5"/>
      <c r="DK1319" s="5"/>
      <c r="DL1319" s="5"/>
      <c r="DM1319" s="5"/>
      <c r="DN1319" s="5"/>
      <c r="DO1319" s="5"/>
      <c r="DP1319" s="5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  <c r="GV1319" s="1"/>
      <c r="GW1319" s="1"/>
      <c r="GX1319" s="1"/>
      <c r="GY1319" s="1"/>
      <c r="GZ1319" s="1"/>
      <c r="HA1319" s="1"/>
      <c r="HB1319" s="1"/>
      <c r="HC1319" s="1"/>
      <c r="HD1319" s="1"/>
      <c r="HE1319" s="1"/>
      <c r="HF1319" s="1"/>
      <c r="HG1319" s="1"/>
      <c r="HH1319" s="1"/>
      <c r="HI1319" s="1"/>
      <c r="HJ1319" s="1"/>
      <c r="HK1319" s="1"/>
      <c r="HL1319" s="1"/>
      <c r="HM1319" s="1"/>
      <c r="HN1319" s="1"/>
      <c r="HO1319" s="1"/>
      <c r="HP1319" s="1"/>
      <c r="HQ1319" s="1"/>
      <c r="HR1319" s="1"/>
      <c r="HS1319" s="1"/>
      <c r="HT1319" s="1"/>
      <c r="HU1319" s="1"/>
      <c r="HV1319" s="1"/>
      <c r="HW1319" s="1"/>
      <c r="HX1319" s="1"/>
      <c r="HY1319" s="1"/>
      <c r="HZ1319" s="1"/>
      <c r="IA1319" s="1"/>
      <c r="IB1319" s="1"/>
      <c r="IC1319" s="1"/>
      <c r="ID1319" s="1"/>
      <c r="IE1319" s="1"/>
      <c r="IF1319" s="1"/>
      <c r="IG1319" s="1"/>
      <c r="IH1319" s="1"/>
      <c r="II1319" s="1"/>
      <c r="IJ1319" s="1"/>
      <c r="IK1319" s="1"/>
      <c r="IL1319" s="1"/>
      <c r="IM1319" s="1"/>
      <c r="IN1319" s="1"/>
      <c r="IO1319" s="1"/>
      <c r="IP1319" s="1"/>
      <c r="IQ1319" s="1"/>
      <c r="IR1319" s="1"/>
      <c r="IS1319" s="1"/>
      <c r="IT1319" s="1"/>
      <c r="IU1319" s="1"/>
      <c r="IV1319" s="1"/>
      <c r="IW1319" s="1"/>
      <c r="IX1319" s="1"/>
      <c r="IY1319" s="1"/>
      <c r="IZ1319" s="1"/>
      <c r="JA1319" s="1"/>
      <c r="JB1319" s="1"/>
      <c r="JC1319" s="1"/>
      <c r="JD1319" s="1"/>
    </row>
    <row r="1320" s="504" customFormat="true" ht="12.75" hidden="false" customHeight="true" outlineLevel="0" collapsed="false">
      <c r="A1320" s="5"/>
      <c r="B1320" s="5"/>
      <c r="C1320" s="5"/>
      <c r="D1320" s="8"/>
      <c r="E1320" s="8"/>
      <c r="F1320" s="8"/>
      <c r="G1320" s="5"/>
      <c r="H1320" s="5"/>
      <c r="I1320" s="5"/>
      <c r="J1320" s="8"/>
      <c r="K1320" s="8"/>
      <c r="L1320" s="5"/>
      <c r="M1320" s="8"/>
      <c r="N1320" s="8"/>
      <c r="O1320" s="8"/>
      <c r="P1320" s="8"/>
      <c r="Q1320" s="5"/>
      <c r="R1320" s="5"/>
      <c r="S1320" s="5"/>
      <c r="T1320" s="5"/>
      <c r="U1320" s="5"/>
      <c r="V1320" s="10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02"/>
      <c r="AU1320" s="502"/>
      <c r="AV1320" s="606"/>
      <c r="AW1320" s="502"/>
      <c r="AX1320" s="502"/>
      <c r="AY1320" s="502"/>
      <c r="AZ1320" s="502"/>
      <c r="BA1320" s="502"/>
      <c r="BB1320" s="502"/>
      <c r="BC1320" s="502"/>
      <c r="BD1320" s="502"/>
      <c r="BE1320" s="502"/>
      <c r="BF1320" s="502"/>
      <c r="BG1320" s="502"/>
      <c r="BH1320" s="502"/>
      <c r="BI1320" s="502"/>
      <c r="BJ1320" s="502"/>
      <c r="BK1320" s="502"/>
      <c r="BL1320" s="502"/>
      <c r="BM1320" s="502"/>
      <c r="BN1320" s="502"/>
      <c r="BO1320" s="502"/>
      <c r="BP1320" s="5"/>
      <c r="BQ1320" s="5"/>
      <c r="BR1320" s="5"/>
      <c r="BS1320" s="5"/>
      <c r="BT1320" s="5"/>
      <c r="BU1320" s="5"/>
      <c r="BV1320" s="5"/>
      <c r="BW1320" s="5"/>
      <c r="BX1320" s="5"/>
      <c r="BY1320" s="5"/>
      <c r="BZ1320" s="5"/>
      <c r="CA1320" s="5"/>
      <c r="CB1320" s="5"/>
      <c r="CC1320" s="5"/>
      <c r="CD1320" s="5"/>
      <c r="CE1320" s="5"/>
      <c r="CF1320" s="5"/>
      <c r="CG1320" s="5"/>
      <c r="CH1320" s="5"/>
      <c r="CI1320" s="5"/>
      <c r="CJ1320" s="5"/>
      <c r="CK1320" s="5"/>
      <c r="CL1320" s="5"/>
      <c r="CM1320" s="5"/>
      <c r="CN1320" s="5"/>
      <c r="CO1320" s="5"/>
      <c r="CP1320" s="5"/>
      <c r="CQ1320" s="5"/>
      <c r="CR1320" s="5"/>
      <c r="CS1320" s="5"/>
      <c r="CT1320" s="5"/>
      <c r="CU1320" s="5"/>
      <c r="CV1320" s="5"/>
      <c r="CW1320" s="5"/>
      <c r="CX1320" s="5"/>
      <c r="CY1320" s="5"/>
      <c r="CZ1320" s="5"/>
      <c r="DA1320" s="5"/>
      <c r="DB1320" s="5"/>
      <c r="DC1320" s="5"/>
      <c r="DD1320" s="5"/>
      <c r="DE1320" s="5"/>
      <c r="DF1320" s="5"/>
      <c r="DG1320" s="5"/>
      <c r="DH1320" s="5"/>
      <c r="DI1320" s="5"/>
      <c r="DJ1320" s="5"/>
      <c r="DK1320" s="5"/>
      <c r="DL1320" s="5"/>
      <c r="DM1320" s="5"/>
      <c r="DN1320" s="5"/>
      <c r="DO1320" s="5"/>
      <c r="DP1320" s="5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  <c r="GV1320" s="1"/>
      <c r="GW1320" s="1"/>
      <c r="GX1320" s="1"/>
      <c r="GY1320" s="1"/>
      <c r="GZ1320" s="1"/>
      <c r="HA1320" s="1"/>
      <c r="HB1320" s="1"/>
      <c r="HC1320" s="1"/>
      <c r="HD1320" s="1"/>
      <c r="HE1320" s="1"/>
      <c r="HF1320" s="1"/>
      <c r="HG1320" s="1"/>
      <c r="HH1320" s="1"/>
      <c r="HI1320" s="1"/>
      <c r="HJ1320" s="1"/>
      <c r="HK1320" s="1"/>
      <c r="HL1320" s="1"/>
      <c r="HM1320" s="1"/>
      <c r="HN1320" s="1"/>
      <c r="HO1320" s="1"/>
      <c r="HP1320" s="1"/>
      <c r="HQ1320" s="1"/>
      <c r="HR1320" s="1"/>
      <c r="HS1320" s="1"/>
      <c r="HT1320" s="1"/>
      <c r="HU1320" s="1"/>
      <c r="HV1320" s="1"/>
      <c r="HW1320" s="1"/>
      <c r="HX1320" s="1"/>
      <c r="HY1320" s="1"/>
      <c r="HZ1320" s="1"/>
      <c r="IA1320" s="1"/>
      <c r="IB1320" s="1"/>
      <c r="IC1320" s="1"/>
      <c r="ID1320" s="1"/>
      <c r="IE1320" s="1"/>
      <c r="IF1320" s="1"/>
      <c r="IG1320" s="1"/>
      <c r="IH1320" s="1"/>
      <c r="II1320" s="1"/>
      <c r="IJ1320" s="1"/>
      <c r="IK1320" s="1"/>
      <c r="IL1320" s="1"/>
      <c r="IM1320" s="1"/>
      <c r="IN1320" s="1"/>
      <c r="IO1320" s="1"/>
      <c r="IP1320" s="1"/>
      <c r="IQ1320" s="1"/>
      <c r="IR1320" s="1"/>
      <c r="IS1320" s="1"/>
      <c r="IT1320" s="1"/>
      <c r="IU1320" s="1"/>
      <c r="IV1320" s="1"/>
      <c r="IW1320" s="1"/>
      <c r="IX1320" s="1"/>
      <c r="IY1320" s="1"/>
      <c r="IZ1320" s="1"/>
      <c r="JA1320" s="1"/>
      <c r="JB1320" s="1"/>
      <c r="JC1320" s="1"/>
      <c r="JD1320" s="1"/>
    </row>
    <row r="1321" s="504" customFormat="true" ht="12.75" hidden="false" customHeight="true" outlineLevel="0" collapsed="false">
      <c r="A1321" s="5"/>
      <c r="B1321" s="5"/>
      <c r="C1321" s="5"/>
      <c r="D1321" s="8"/>
      <c r="E1321" s="8"/>
      <c r="F1321" s="8"/>
      <c r="G1321" s="5"/>
      <c r="H1321" s="5"/>
      <c r="I1321" s="5"/>
      <c r="J1321" s="8"/>
      <c r="K1321" s="8"/>
      <c r="L1321" s="5"/>
      <c r="M1321" s="8"/>
      <c r="N1321" s="8"/>
      <c r="O1321" s="8"/>
      <c r="P1321" s="8"/>
      <c r="Q1321" s="5"/>
      <c r="R1321" s="5"/>
      <c r="S1321" s="5"/>
      <c r="T1321" s="5"/>
      <c r="U1321" s="5"/>
      <c r="V1321" s="10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02"/>
      <c r="AU1321" s="502"/>
      <c r="AV1321" s="606"/>
      <c r="AW1321" s="502"/>
      <c r="AX1321" s="502"/>
      <c r="AY1321" s="502"/>
      <c r="AZ1321" s="502"/>
      <c r="BA1321" s="502"/>
      <c r="BB1321" s="502"/>
      <c r="BC1321" s="502"/>
      <c r="BD1321" s="502"/>
      <c r="BE1321" s="502"/>
      <c r="BF1321" s="502"/>
      <c r="BG1321" s="502"/>
      <c r="BH1321" s="502"/>
      <c r="BI1321" s="502"/>
      <c r="BJ1321" s="502"/>
      <c r="BK1321" s="502"/>
      <c r="BL1321" s="502"/>
      <c r="BM1321" s="502"/>
      <c r="BN1321" s="502"/>
      <c r="BO1321" s="502"/>
      <c r="BP1321" s="5"/>
      <c r="BQ1321" s="5"/>
      <c r="BR1321" s="5"/>
      <c r="BS1321" s="5"/>
      <c r="BT1321" s="5"/>
      <c r="BU1321" s="5"/>
      <c r="BV1321" s="5"/>
      <c r="BW1321" s="5"/>
      <c r="BX1321" s="5"/>
      <c r="BY1321" s="5"/>
      <c r="BZ1321" s="5"/>
      <c r="CA1321" s="5"/>
      <c r="CB1321" s="5"/>
      <c r="CC1321" s="5"/>
      <c r="CD1321" s="5"/>
      <c r="CE1321" s="5"/>
      <c r="CF1321" s="5"/>
      <c r="CG1321" s="5"/>
      <c r="CH1321" s="5"/>
      <c r="CI1321" s="5"/>
      <c r="CJ1321" s="5"/>
      <c r="CK1321" s="5"/>
      <c r="CL1321" s="5"/>
      <c r="CM1321" s="5"/>
      <c r="CN1321" s="5"/>
      <c r="CO1321" s="5"/>
      <c r="CP1321" s="5"/>
      <c r="CQ1321" s="5"/>
      <c r="CR1321" s="5"/>
      <c r="CS1321" s="5"/>
      <c r="CT1321" s="5"/>
      <c r="CU1321" s="5"/>
      <c r="CV1321" s="5"/>
      <c r="CW1321" s="5"/>
      <c r="CX1321" s="5"/>
      <c r="CY1321" s="5"/>
      <c r="CZ1321" s="5"/>
      <c r="DA1321" s="5"/>
      <c r="DB1321" s="5"/>
      <c r="DC1321" s="5"/>
      <c r="DD1321" s="5"/>
      <c r="DE1321" s="5"/>
      <c r="DF1321" s="5"/>
      <c r="DG1321" s="5"/>
      <c r="DH1321" s="5"/>
      <c r="DI1321" s="5"/>
      <c r="DJ1321" s="5"/>
      <c r="DK1321" s="5"/>
      <c r="DL1321" s="5"/>
      <c r="DM1321" s="5"/>
      <c r="DN1321" s="5"/>
      <c r="DO1321" s="5"/>
      <c r="DP1321" s="5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  <c r="GV1321" s="1"/>
      <c r="GW1321" s="1"/>
      <c r="GX1321" s="1"/>
      <c r="GY1321" s="1"/>
      <c r="GZ1321" s="1"/>
      <c r="HA1321" s="1"/>
      <c r="HB1321" s="1"/>
      <c r="HC1321" s="1"/>
      <c r="HD1321" s="1"/>
      <c r="HE1321" s="1"/>
      <c r="HF1321" s="1"/>
      <c r="HG1321" s="1"/>
      <c r="HH1321" s="1"/>
      <c r="HI1321" s="1"/>
      <c r="HJ1321" s="1"/>
      <c r="HK1321" s="1"/>
      <c r="HL1321" s="1"/>
      <c r="HM1321" s="1"/>
      <c r="HN1321" s="1"/>
      <c r="HO1321" s="1"/>
      <c r="HP1321" s="1"/>
      <c r="HQ1321" s="1"/>
      <c r="HR1321" s="1"/>
      <c r="HS1321" s="1"/>
      <c r="HT1321" s="1"/>
      <c r="HU1321" s="1"/>
      <c r="HV1321" s="1"/>
      <c r="HW1321" s="1"/>
      <c r="HX1321" s="1"/>
      <c r="HY1321" s="1"/>
      <c r="HZ1321" s="1"/>
      <c r="IA1321" s="1"/>
      <c r="IB1321" s="1"/>
      <c r="IC1321" s="1"/>
      <c r="ID1321" s="1"/>
      <c r="IE1321" s="1"/>
      <c r="IF1321" s="1"/>
      <c r="IG1321" s="1"/>
      <c r="IH1321" s="1"/>
      <c r="II1321" s="1"/>
      <c r="IJ1321" s="1"/>
      <c r="IK1321" s="1"/>
      <c r="IL1321" s="1"/>
      <c r="IM1321" s="1"/>
      <c r="IN1321" s="1"/>
      <c r="IO1321" s="1"/>
      <c r="IP1321" s="1"/>
      <c r="IQ1321" s="1"/>
      <c r="IR1321" s="1"/>
      <c r="IS1321" s="1"/>
      <c r="IT1321" s="1"/>
      <c r="IU1321" s="1"/>
      <c r="IV1321" s="1"/>
      <c r="IW1321" s="1"/>
      <c r="IX1321" s="1"/>
      <c r="IY1321" s="1"/>
      <c r="IZ1321" s="1"/>
      <c r="JA1321" s="1"/>
      <c r="JB1321" s="1"/>
      <c r="JC1321" s="1"/>
      <c r="JD1321" s="1"/>
    </row>
    <row r="1322" s="504" customFormat="true" ht="12.75" hidden="false" customHeight="true" outlineLevel="0" collapsed="false">
      <c r="A1322" s="5"/>
      <c r="B1322" s="5"/>
      <c r="C1322" s="5"/>
      <c r="D1322" s="8"/>
      <c r="E1322" s="8"/>
      <c r="F1322" s="8"/>
      <c r="G1322" s="5"/>
      <c r="H1322" s="5"/>
      <c r="I1322" s="5"/>
      <c r="J1322" s="8"/>
      <c r="K1322" s="8"/>
      <c r="L1322" s="5"/>
      <c r="M1322" s="8"/>
      <c r="N1322" s="8"/>
      <c r="O1322" s="8"/>
      <c r="P1322" s="8"/>
      <c r="Q1322" s="5"/>
      <c r="R1322" s="5"/>
      <c r="S1322" s="5"/>
      <c r="T1322" s="5"/>
      <c r="U1322" s="5"/>
      <c r="V1322" s="10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02"/>
      <c r="AU1322" s="502"/>
      <c r="AV1322" s="606"/>
      <c r="AW1322" s="502"/>
      <c r="AX1322" s="502"/>
      <c r="AY1322" s="502"/>
      <c r="AZ1322" s="502"/>
      <c r="BA1322" s="502"/>
      <c r="BB1322" s="502"/>
      <c r="BC1322" s="502"/>
      <c r="BD1322" s="502"/>
      <c r="BE1322" s="502"/>
      <c r="BF1322" s="502"/>
      <c r="BG1322" s="502"/>
      <c r="BH1322" s="502"/>
      <c r="BI1322" s="502"/>
      <c r="BJ1322" s="502"/>
      <c r="BK1322" s="502"/>
      <c r="BL1322" s="502"/>
      <c r="BM1322" s="502"/>
      <c r="BN1322" s="502"/>
      <c r="BO1322" s="502"/>
      <c r="BP1322" s="5"/>
      <c r="BQ1322" s="5"/>
      <c r="BR1322" s="5"/>
      <c r="BS1322" s="5"/>
      <c r="BT1322" s="5"/>
      <c r="BU1322" s="5"/>
      <c r="BV1322" s="5"/>
      <c r="BW1322" s="5"/>
      <c r="BX1322" s="5"/>
      <c r="BY1322" s="5"/>
      <c r="BZ1322" s="5"/>
      <c r="CA1322" s="5"/>
      <c r="CB1322" s="5"/>
      <c r="CC1322" s="5"/>
      <c r="CD1322" s="5"/>
      <c r="CE1322" s="5"/>
      <c r="CF1322" s="5"/>
      <c r="CG1322" s="5"/>
      <c r="CH1322" s="5"/>
      <c r="CI1322" s="5"/>
      <c r="CJ1322" s="5"/>
      <c r="CK1322" s="5"/>
      <c r="CL1322" s="5"/>
      <c r="CM1322" s="5"/>
      <c r="CN1322" s="5"/>
      <c r="CO1322" s="5"/>
      <c r="CP1322" s="5"/>
      <c r="CQ1322" s="5"/>
      <c r="CR1322" s="5"/>
      <c r="CS1322" s="5"/>
      <c r="CT1322" s="5"/>
      <c r="CU1322" s="5"/>
      <c r="CV1322" s="5"/>
      <c r="CW1322" s="5"/>
      <c r="CX1322" s="5"/>
      <c r="CY1322" s="5"/>
      <c r="CZ1322" s="5"/>
      <c r="DA1322" s="5"/>
      <c r="DB1322" s="5"/>
      <c r="DC1322" s="5"/>
      <c r="DD1322" s="5"/>
      <c r="DE1322" s="5"/>
      <c r="DF1322" s="5"/>
      <c r="DG1322" s="5"/>
      <c r="DH1322" s="5"/>
      <c r="DI1322" s="5"/>
      <c r="DJ1322" s="5"/>
      <c r="DK1322" s="5"/>
      <c r="DL1322" s="5"/>
      <c r="DM1322" s="5"/>
      <c r="DN1322" s="5"/>
      <c r="DO1322" s="5"/>
      <c r="DP1322" s="5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  <c r="GV1322" s="1"/>
      <c r="GW1322" s="1"/>
      <c r="GX1322" s="1"/>
      <c r="GY1322" s="1"/>
      <c r="GZ1322" s="1"/>
      <c r="HA1322" s="1"/>
      <c r="HB1322" s="1"/>
      <c r="HC1322" s="1"/>
      <c r="HD1322" s="1"/>
      <c r="HE1322" s="1"/>
      <c r="HF1322" s="1"/>
      <c r="HG1322" s="1"/>
      <c r="HH1322" s="1"/>
      <c r="HI1322" s="1"/>
      <c r="HJ1322" s="1"/>
      <c r="HK1322" s="1"/>
      <c r="HL1322" s="1"/>
      <c r="HM1322" s="1"/>
      <c r="HN1322" s="1"/>
      <c r="HO1322" s="1"/>
      <c r="HP1322" s="1"/>
      <c r="HQ1322" s="1"/>
      <c r="HR1322" s="1"/>
      <c r="HS1322" s="1"/>
      <c r="HT1322" s="1"/>
      <c r="HU1322" s="1"/>
      <c r="HV1322" s="1"/>
      <c r="HW1322" s="1"/>
      <c r="HX1322" s="1"/>
      <c r="HY1322" s="1"/>
      <c r="HZ1322" s="1"/>
      <c r="IA1322" s="1"/>
      <c r="IB1322" s="1"/>
      <c r="IC1322" s="1"/>
      <c r="ID1322" s="1"/>
      <c r="IE1322" s="1"/>
      <c r="IF1322" s="1"/>
      <c r="IG1322" s="1"/>
      <c r="IH1322" s="1"/>
      <c r="II1322" s="1"/>
      <c r="IJ1322" s="1"/>
      <c r="IK1322" s="1"/>
      <c r="IL1322" s="1"/>
      <c r="IM1322" s="1"/>
      <c r="IN1322" s="1"/>
      <c r="IO1322" s="1"/>
      <c r="IP1322" s="1"/>
      <c r="IQ1322" s="1"/>
      <c r="IR1322" s="1"/>
      <c r="IS1322" s="1"/>
      <c r="IT1322" s="1"/>
      <c r="IU1322" s="1"/>
      <c r="IV1322" s="1"/>
      <c r="IW1322" s="1"/>
      <c r="IX1322" s="1"/>
      <c r="IY1322" s="1"/>
      <c r="IZ1322" s="1"/>
      <c r="JA1322" s="1"/>
      <c r="JB1322" s="1"/>
      <c r="JC1322" s="1"/>
      <c r="JD1322" s="1"/>
    </row>
    <row r="1323" s="504" customFormat="true" ht="12.75" hidden="false" customHeight="true" outlineLevel="0" collapsed="false">
      <c r="A1323" s="5"/>
      <c r="B1323" s="5"/>
      <c r="C1323" s="5"/>
      <c r="D1323" s="8"/>
      <c r="E1323" s="8"/>
      <c r="F1323" s="8"/>
      <c r="G1323" s="5"/>
      <c r="H1323" s="5"/>
      <c r="I1323" s="5"/>
      <c r="J1323" s="8"/>
      <c r="K1323" s="8"/>
      <c r="L1323" s="5"/>
      <c r="M1323" s="8"/>
      <c r="N1323" s="8"/>
      <c r="O1323" s="8"/>
      <c r="P1323" s="8"/>
      <c r="Q1323" s="5"/>
      <c r="R1323" s="5"/>
      <c r="S1323" s="5"/>
      <c r="T1323" s="5"/>
      <c r="U1323" s="5"/>
      <c r="V1323" s="10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02"/>
      <c r="AU1323" s="502"/>
      <c r="AV1323" s="606"/>
      <c r="AW1323" s="502"/>
      <c r="AX1323" s="502"/>
      <c r="AY1323" s="502"/>
      <c r="AZ1323" s="502"/>
      <c r="BA1323" s="502"/>
      <c r="BB1323" s="502"/>
      <c r="BC1323" s="502"/>
      <c r="BD1323" s="502"/>
      <c r="BE1323" s="502"/>
      <c r="BF1323" s="502"/>
      <c r="BG1323" s="502"/>
      <c r="BH1323" s="502"/>
      <c r="BI1323" s="502"/>
      <c r="BJ1323" s="502"/>
      <c r="BK1323" s="502"/>
      <c r="BL1323" s="502"/>
      <c r="BM1323" s="502"/>
      <c r="BN1323" s="502"/>
      <c r="BO1323" s="502"/>
      <c r="BP1323" s="5"/>
      <c r="BQ1323" s="5"/>
      <c r="BR1323" s="5"/>
      <c r="BS1323" s="5"/>
      <c r="BT1323" s="5"/>
      <c r="BU1323" s="5"/>
      <c r="BV1323" s="5"/>
      <c r="BW1323" s="5"/>
      <c r="BX1323" s="5"/>
      <c r="BY1323" s="5"/>
      <c r="BZ1323" s="5"/>
      <c r="CA1323" s="5"/>
      <c r="CB1323" s="5"/>
      <c r="CC1323" s="5"/>
      <c r="CD1323" s="5"/>
      <c r="CE1323" s="5"/>
      <c r="CF1323" s="5"/>
      <c r="CG1323" s="5"/>
      <c r="CH1323" s="5"/>
      <c r="CI1323" s="5"/>
      <c r="CJ1323" s="5"/>
      <c r="CK1323" s="5"/>
      <c r="CL1323" s="5"/>
      <c r="CM1323" s="5"/>
      <c r="CN1323" s="5"/>
      <c r="CO1323" s="5"/>
      <c r="CP1323" s="5"/>
      <c r="CQ1323" s="5"/>
      <c r="CR1323" s="5"/>
      <c r="CS1323" s="5"/>
      <c r="CT1323" s="5"/>
      <c r="CU1323" s="5"/>
      <c r="CV1323" s="5"/>
      <c r="CW1323" s="5"/>
      <c r="CX1323" s="5"/>
      <c r="CY1323" s="5"/>
      <c r="CZ1323" s="5"/>
      <c r="DA1323" s="5"/>
      <c r="DB1323" s="5"/>
      <c r="DC1323" s="5"/>
      <c r="DD1323" s="5"/>
      <c r="DE1323" s="5"/>
      <c r="DF1323" s="5"/>
      <c r="DG1323" s="5"/>
      <c r="DH1323" s="5"/>
      <c r="DI1323" s="5"/>
      <c r="DJ1323" s="5"/>
      <c r="DK1323" s="5"/>
      <c r="DL1323" s="5"/>
      <c r="DM1323" s="5"/>
      <c r="DN1323" s="5"/>
      <c r="DO1323" s="5"/>
      <c r="DP1323" s="5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  <c r="GV1323" s="1"/>
      <c r="GW1323" s="1"/>
      <c r="GX1323" s="1"/>
      <c r="GY1323" s="1"/>
      <c r="GZ1323" s="1"/>
      <c r="HA1323" s="1"/>
      <c r="HB1323" s="1"/>
      <c r="HC1323" s="1"/>
      <c r="HD1323" s="1"/>
      <c r="HE1323" s="1"/>
      <c r="HF1323" s="1"/>
      <c r="HG1323" s="1"/>
      <c r="HH1323" s="1"/>
      <c r="HI1323" s="1"/>
      <c r="HJ1323" s="1"/>
      <c r="HK1323" s="1"/>
      <c r="HL1323" s="1"/>
      <c r="HM1323" s="1"/>
      <c r="HN1323" s="1"/>
      <c r="HO1323" s="1"/>
      <c r="HP1323" s="1"/>
      <c r="HQ1323" s="1"/>
      <c r="HR1323" s="1"/>
      <c r="HS1323" s="1"/>
      <c r="HT1323" s="1"/>
      <c r="HU1323" s="1"/>
      <c r="HV1323" s="1"/>
      <c r="HW1323" s="1"/>
      <c r="HX1323" s="1"/>
      <c r="HY1323" s="1"/>
      <c r="HZ1323" s="1"/>
      <c r="IA1323" s="1"/>
      <c r="IB1323" s="1"/>
      <c r="IC1323" s="1"/>
      <c r="ID1323" s="1"/>
      <c r="IE1323" s="1"/>
      <c r="IF1323" s="1"/>
      <c r="IG1323" s="1"/>
      <c r="IH1323" s="1"/>
      <c r="II1323" s="1"/>
      <c r="IJ1323" s="1"/>
      <c r="IK1323" s="1"/>
      <c r="IL1323" s="1"/>
      <c r="IM1323" s="1"/>
      <c r="IN1323" s="1"/>
      <c r="IO1323" s="1"/>
      <c r="IP1323" s="1"/>
      <c r="IQ1323" s="1"/>
      <c r="IR1323" s="1"/>
      <c r="IS1323" s="1"/>
      <c r="IT1323" s="1"/>
      <c r="IU1323" s="1"/>
      <c r="IV1323" s="1"/>
      <c r="IW1323" s="1"/>
      <c r="IX1323" s="1"/>
      <c r="IY1323" s="1"/>
      <c r="IZ1323" s="1"/>
      <c r="JA1323" s="1"/>
      <c r="JB1323" s="1"/>
      <c r="JC1323" s="1"/>
      <c r="JD1323" s="1"/>
    </row>
    <row r="1324" s="504" customFormat="true" ht="12.75" hidden="false" customHeight="true" outlineLevel="0" collapsed="false">
      <c r="A1324" s="5"/>
      <c r="B1324" s="5"/>
      <c r="C1324" s="5"/>
      <c r="D1324" s="8"/>
      <c r="E1324" s="8"/>
      <c r="F1324" s="8"/>
      <c r="G1324" s="5"/>
      <c r="H1324" s="5"/>
      <c r="I1324" s="5"/>
      <c r="J1324" s="8"/>
      <c r="K1324" s="8"/>
      <c r="L1324" s="5"/>
      <c r="M1324" s="8"/>
      <c r="N1324" s="8"/>
      <c r="O1324" s="8"/>
      <c r="P1324" s="8"/>
      <c r="Q1324" s="5"/>
      <c r="R1324" s="5"/>
      <c r="S1324" s="5"/>
      <c r="T1324" s="5"/>
      <c r="U1324" s="5"/>
      <c r="V1324" s="10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02"/>
      <c r="AU1324" s="502"/>
      <c r="AV1324" s="606"/>
      <c r="AW1324" s="502"/>
      <c r="AX1324" s="502"/>
      <c r="AY1324" s="502"/>
      <c r="AZ1324" s="502"/>
      <c r="BA1324" s="502"/>
      <c r="BB1324" s="502"/>
      <c r="BC1324" s="502"/>
      <c r="BD1324" s="502"/>
      <c r="BE1324" s="502"/>
      <c r="BF1324" s="502"/>
      <c r="BG1324" s="502"/>
      <c r="BH1324" s="502"/>
      <c r="BI1324" s="502"/>
      <c r="BJ1324" s="502"/>
      <c r="BK1324" s="502"/>
      <c r="BL1324" s="502"/>
      <c r="BM1324" s="502"/>
      <c r="BN1324" s="502"/>
      <c r="BO1324" s="502"/>
      <c r="BP1324" s="5"/>
      <c r="BQ1324" s="5"/>
      <c r="BR1324" s="5"/>
      <c r="BS1324" s="5"/>
      <c r="BT1324" s="5"/>
      <c r="BU1324" s="5"/>
      <c r="BV1324" s="5"/>
      <c r="BW1324" s="5"/>
      <c r="BX1324" s="5"/>
      <c r="BY1324" s="5"/>
      <c r="BZ1324" s="5"/>
      <c r="CA1324" s="5"/>
      <c r="CB1324" s="5"/>
      <c r="CC1324" s="5"/>
      <c r="CD1324" s="5"/>
      <c r="CE1324" s="5"/>
      <c r="CF1324" s="5"/>
      <c r="CG1324" s="5"/>
      <c r="CH1324" s="5"/>
      <c r="CI1324" s="5"/>
      <c r="CJ1324" s="5"/>
      <c r="CK1324" s="5"/>
      <c r="CL1324" s="5"/>
      <c r="CM1324" s="5"/>
      <c r="CN1324" s="5"/>
      <c r="CO1324" s="5"/>
      <c r="CP1324" s="5"/>
      <c r="CQ1324" s="5"/>
      <c r="CR1324" s="5"/>
      <c r="CS1324" s="5"/>
      <c r="CT1324" s="5"/>
      <c r="CU1324" s="5"/>
      <c r="CV1324" s="5"/>
      <c r="CW1324" s="5"/>
      <c r="CX1324" s="5"/>
      <c r="CY1324" s="5"/>
      <c r="CZ1324" s="5"/>
      <c r="DA1324" s="5"/>
      <c r="DB1324" s="5"/>
      <c r="DC1324" s="5"/>
      <c r="DD1324" s="5"/>
      <c r="DE1324" s="5"/>
      <c r="DF1324" s="5"/>
      <c r="DG1324" s="5"/>
      <c r="DH1324" s="5"/>
      <c r="DI1324" s="5"/>
      <c r="DJ1324" s="5"/>
      <c r="DK1324" s="5"/>
      <c r="DL1324" s="5"/>
      <c r="DM1324" s="5"/>
      <c r="DN1324" s="5"/>
      <c r="DO1324" s="5"/>
      <c r="DP1324" s="5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  <c r="GV1324" s="1"/>
      <c r="GW1324" s="1"/>
      <c r="GX1324" s="1"/>
      <c r="GY1324" s="1"/>
      <c r="GZ1324" s="1"/>
      <c r="HA1324" s="1"/>
      <c r="HB1324" s="1"/>
      <c r="HC1324" s="1"/>
      <c r="HD1324" s="1"/>
      <c r="HE1324" s="1"/>
      <c r="HF1324" s="1"/>
      <c r="HG1324" s="1"/>
      <c r="HH1324" s="1"/>
      <c r="HI1324" s="1"/>
      <c r="HJ1324" s="1"/>
      <c r="HK1324" s="1"/>
      <c r="HL1324" s="1"/>
      <c r="HM1324" s="1"/>
      <c r="HN1324" s="1"/>
      <c r="HO1324" s="1"/>
      <c r="HP1324" s="1"/>
      <c r="HQ1324" s="1"/>
      <c r="HR1324" s="1"/>
      <c r="HS1324" s="1"/>
      <c r="HT1324" s="1"/>
      <c r="HU1324" s="1"/>
      <c r="HV1324" s="1"/>
      <c r="HW1324" s="1"/>
      <c r="HX1324" s="1"/>
      <c r="HY1324" s="1"/>
      <c r="HZ1324" s="1"/>
      <c r="IA1324" s="1"/>
      <c r="IB1324" s="1"/>
      <c r="IC1324" s="1"/>
      <c r="ID1324" s="1"/>
      <c r="IE1324" s="1"/>
      <c r="IF1324" s="1"/>
      <c r="IG1324" s="1"/>
      <c r="IH1324" s="1"/>
      <c r="II1324" s="1"/>
      <c r="IJ1324" s="1"/>
      <c r="IK1324" s="1"/>
      <c r="IL1324" s="1"/>
      <c r="IM1324" s="1"/>
      <c r="IN1324" s="1"/>
      <c r="IO1324" s="1"/>
      <c r="IP1324" s="1"/>
      <c r="IQ1324" s="1"/>
      <c r="IR1324" s="1"/>
      <c r="IS1324" s="1"/>
      <c r="IT1324" s="1"/>
      <c r="IU1324" s="1"/>
      <c r="IV1324" s="1"/>
      <c r="IW1324" s="1"/>
      <c r="IX1324" s="1"/>
      <c r="IY1324" s="1"/>
      <c r="IZ1324" s="1"/>
      <c r="JA1324" s="1"/>
      <c r="JB1324" s="1"/>
      <c r="JC1324" s="1"/>
      <c r="JD1324" s="1"/>
    </row>
    <row r="1325" s="504" customFormat="true" ht="12.75" hidden="false" customHeight="true" outlineLevel="0" collapsed="false">
      <c r="A1325" s="5"/>
      <c r="B1325" s="5"/>
      <c r="C1325" s="5"/>
      <c r="D1325" s="8"/>
      <c r="E1325" s="8"/>
      <c r="F1325" s="8"/>
      <c r="G1325" s="5"/>
      <c r="H1325" s="5"/>
      <c r="I1325" s="5"/>
      <c r="J1325" s="8"/>
      <c r="K1325" s="8"/>
      <c r="L1325" s="5"/>
      <c r="M1325" s="8"/>
      <c r="N1325" s="8"/>
      <c r="O1325" s="8"/>
      <c r="P1325" s="8"/>
      <c r="Q1325" s="5"/>
      <c r="R1325" s="5"/>
      <c r="S1325" s="5"/>
      <c r="T1325" s="5"/>
      <c r="U1325" s="5"/>
      <c r="V1325" s="10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02"/>
      <c r="AU1325" s="502"/>
      <c r="AV1325" s="606"/>
      <c r="AW1325" s="502"/>
      <c r="AX1325" s="502"/>
      <c r="AY1325" s="502"/>
      <c r="AZ1325" s="502"/>
      <c r="BA1325" s="502"/>
      <c r="BB1325" s="502"/>
      <c r="BC1325" s="502"/>
      <c r="BD1325" s="502"/>
      <c r="BE1325" s="502"/>
      <c r="BF1325" s="502"/>
      <c r="BG1325" s="502"/>
      <c r="BH1325" s="502"/>
      <c r="BI1325" s="502"/>
      <c r="BJ1325" s="502"/>
      <c r="BK1325" s="502"/>
      <c r="BL1325" s="502"/>
      <c r="BM1325" s="502"/>
      <c r="BN1325" s="502"/>
      <c r="BO1325" s="502"/>
      <c r="BP1325" s="5"/>
      <c r="BQ1325" s="5"/>
      <c r="BR1325" s="5"/>
      <c r="BS1325" s="5"/>
      <c r="BT1325" s="5"/>
      <c r="BU1325" s="5"/>
      <c r="BV1325" s="5"/>
      <c r="BW1325" s="5"/>
      <c r="BX1325" s="5"/>
      <c r="BY1325" s="5"/>
      <c r="BZ1325" s="5"/>
      <c r="CA1325" s="5"/>
      <c r="CB1325" s="5"/>
      <c r="CC1325" s="5"/>
      <c r="CD1325" s="5"/>
      <c r="CE1325" s="5"/>
      <c r="CF1325" s="5"/>
      <c r="CG1325" s="5"/>
      <c r="CH1325" s="5"/>
      <c r="CI1325" s="5"/>
      <c r="CJ1325" s="5"/>
      <c r="CK1325" s="5"/>
      <c r="CL1325" s="5"/>
      <c r="CM1325" s="5"/>
      <c r="CN1325" s="5"/>
      <c r="CO1325" s="5"/>
      <c r="CP1325" s="5"/>
      <c r="CQ1325" s="5"/>
      <c r="CR1325" s="5"/>
      <c r="CS1325" s="5"/>
      <c r="CT1325" s="5"/>
      <c r="CU1325" s="5"/>
      <c r="CV1325" s="5"/>
      <c r="CW1325" s="5"/>
      <c r="CX1325" s="5"/>
      <c r="CY1325" s="5"/>
      <c r="CZ1325" s="5"/>
      <c r="DA1325" s="5"/>
      <c r="DB1325" s="5"/>
      <c r="DC1325" s="5"/>
      <c r="DD1325" s="5"/>
      <c r="DE1325" s="5"/>
      <c r="DF1325" s="5"/>
      <c r="DG1325" s="5"/>
      <c r="DH1325" s="5"/>
      <c r="DI1325" s="5"/>
      <c r="DJ1325" s="5"/>
      <c r="DK1325" s="5"/>
      <c r="DL1325" s="5"/>
      <c r="DM1325" s="5"/>
      <c r="DN1325" s="5"/>
      <c r="DO1325" s="5"/>
      <c r="DP1325" s="5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  <c r="GV1325" s="1"/>
      <c r="GW1325" s="1"/>
      <c r="GX1325" s="1"/>
      <c r="GY1325" s="1"/>
      <c r="GZ1325" s="1"/>
      <c r="HA1325" s="1"/>
      <c r="HB1325" s="1"/>
      <c r="HC1325" s="1"/>
      <c r="HD1325" s="1"/>
      <c r="HE1325" s="1"/>
      <c r="HF1325" s="1"/>
      <c r="HG1325" s="1"/>
      <c r="HH1325" s="1"/>
      <c r="HI1325" s="1"/>
      <c r="HJ1325" s="1"/>
      <c r="HK1325" s="1"/>
      <c r="HL1325" s="1"/>
      <c r="HM1325" s="1"/>
      <c r="HN1325" s="1"/>
      <c r="HO1325" s="1"/>
      <c r="HP1325" s="1"/>
      <c r="HQ1325" s="1"/>
      <c r="HR1325" s="1"/>
      <c r="HS1325" s="1"/>
      <c r="HT1325" s="1"/>
      <c r="HU1325" s="1"/>
      <c r="HV1325" s="1"/>
      <c r="HW1325" s="1"/>
      <c r="HX1325" s="1"/>
      <c r="HY1325" s="1"/>
      <c r="HZ1325" s="1"/>
      <c r="IA1325" s="1"/>
      <c r="IB1325" s="1"/>
      <c r="IC1325" s="1"/>
      <c r="ID1325" s="1"/>
      <c r="IE1325" s="1"/>
      <c r="IF1325" s="1"/>
      <c r="IG1325" s="1"/>
      <c r="IH1325" s="1"/>
      <c r="II1325" s="1"/>
      <c r="IJ1325" s="1"/>
      <c r="IK1325" s="1"/>
      <c r="IL1325" s="1"/>
      <c r="IM1325" s="1"/>
      <c r="IN1325" s="1"/>
      <c r="IO1325" s="1"/>
      <c r="IP1325" s="1"/>
      <c r="IQ1325" s="1"/>
      <c r="IR1325" s="1"/>
      <c r="IS1325" s="1"/>
      <c r="IT1325" s="1"/>
      <c r="IU1325" s="1"/>
      <c r="IV1325" s="1"/>
      <c r="IW1325" s="1"/>
      <c r="IX1325" s="1"/>
      <c r="IY1325" s="1"/>
      <c r="IZ1325" s="1"/>
      <c r="JA1325" s="1"/>
      <c r="JB1325" s="1"/>
      <c r="JC1325" s="1"/>
      <c r="JD1325" s="1"/>
    </row>
    <row r="1326" s="504" customFormat="true" ht="12.75" hidden="false" customHeight="true" outlineLevel="0" collapsed="false">
      <c r="A1326" s="5"/>
      <c r="B1326" s="5"/>
      <c r="C1326" s="5"/>
      <c r="D1326" s="8"/>
      <c r="E1326" s="8"/>
      <c r="F1326" s="8"/>
      <c r="G1326" s="5"/>
      <c r="H1326" s="5"/>
      <c r="I1326" s="5"/>
      <c r="J1326" s="8"/>
      <c r="K1326" s="8"/>
      <c r="L1326" s="5"/>
      <c r="M1326" s="8"/>
      <c r="N1326" s="8"/>
      <c r="O1326" s="8"/>
      <c r="P1326" s="8"/>
      <c r="Q1326" s="5"/>
      <c r="R1326" s="5"/>
      <c r="S1326" s="5"/>
      <c r="T1326" s="5"/>
      <c r="U1326" s="5"/>
      <c r="V1326" s="10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02"/>
      <c r="AU1326" s="502"/>
      <c r="AV1326" s="606"/>
      <c r="AW1326" s="502"/>
      <c r="AX1326" s="502"/>
      <c r="AY1326" s="502"/>
      <c r="AZ1326" s="502"/>
      <c r="BA1326" s="502"/>
      <c r="BB1326" s="502"/>
      <c r="BC1326" s="502"/>
      <c r="BD1326" s="502"/>
      <c r="BE1326" s="502"/>
      <c r="BF1326" s="502"/>
      <c r="BG1326" s="502"/>
      <c r="BH1326" s="502"/>
      <c r="BI1326" s="502"/>
      <c r="BJ1326" s="502"/>
      <c r="BK1326" s="502"/>
      <c r="BL1326" s="502"/>
      <c r="BM1326" s="502"/>
      <c r="BN1326" s="502"/>
      <c r="BO1326" s="502"/>
      <c r="BP1326" s="5"/>
      <c r="BQ1326" s="5"/>
      <c r="BR1326" s="5"/>
      <c r="BS1326" s="5"/>
      <c r="BT1326" s="5"/>
      <c r="BU1326" s="5"/>
      <c r="BV1326" s="5"/>
      <c r="BW1326" s="5"/>
      <c r="BX1326" s="5"/>
      <c r="BY1326" s="5"/>
      <c r="BZ1326" s="5"/>
      <c r="CA1326" s="5"/>
      <c r="CB1326" s="5"/>
      <c r="CC1326" s="5"/>
      <c r="CD1326" s="5"/>
      <c r="CE1326" s="5"/>
      <c r="CF1326" s="5"/>
      <c r="CG1326" s="5"/>
      <c r="CH1326" s="5"/>
      <c r="CI1326" s="5"/>
      <c r="CJ1326" s="5"/>
      <c r="CK1326" s="5"/>
      <c r="CL1326" s="5"/>
      <c r="CM1326" s="5"/>
      <c r="CN1326" s="5"/>
      <c r="CO1326" s="5"/>
      <c r="CP1326" s="5"/>
      <c r="CQ1326" s="5"/>
      <c r="CR1326" s="5"/>
      <c r="CS1326" s="5"/>
      <c r="CT1326" s="5"/>
      <c r="CU1326" s="5"/>
      <c r="CV1326" s="5"/>
      <c r="CW1326" s="5"/>
      <c r="CX1326" s="5"/>
      <c r="CY1326" s="5"/>
      <c r="CZ1326" s="5"/>
      <c r="DA1326" s="5"/>
      <c r="DB1326" s="5"/>
      <c r="DC1326" s="5"/>
      <c r="DD1326" s="5"/>
      <c r="DE1326" s="5"/>
      <c r="DF1326" s="5"/>
      <c r="DG1326" s="5"/>
      <c r="DH1326" s="5"/>
      <c r="DI1326" s="5"/>
      <c r="DJ1326" s="5"/>
      <c r="DK1326" s="5"/>
      <c r="DL1326" s="5"/>
      <c r="DM1326" s="5"/>
      <c r="DN1326" s="5"/>
      <c r="DO1326" s="5"/>
      <c r="DP1326" s="5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  <c r="GV1326" s="1"/>
      <c r="GW1326" s="1"/>
      <c r="GX1326" s="1"/>
      <c r="GY1326" s="1"/>
      <c r="GZ1326" s="1"/>
      <c r="HA1326" s="1"/>
      <c r="HB1326" s="1"/>
      <c r="HC1326" s="1"/>
      <c r="HD1326" s="1"/>
      <c r="HE1326" s="1"/>
      <c r="HF1326" s="1"/>
      <c r="HG1326" s="1"/>
      <c r="HH1326" s="1"/>
      <c r="HI1326" s="1"/>
      <c r="HJ1326" s="1"/>
      <c r="HK1326" s="1"/>
      <c r="HL1326" s="1"/>
      <c r="HM1326" s="1"/>
      <c r="HN1326" s="1"/>
      <c r="HO1326" s="1"/>
      <c r="HP1326" s="1"/>
      <c r="HQ1326" s="1"/>
      <c r="HR1326" s="1"/>
      <c r="HS1326" s="1"/>
      <c r="HT1326" s="1"/>
      <c r="HU1326" s="1"/>
      <c r="HV1326" s="1"/>
      <c r="HW1326" s="1"/>
      <c r="HX1326" s="1"/>
      <c r="HY1326" s="1"/>
      <c r="HZ1326" s="1"/>
      <c r="IA1326" s="1"/>
      <c r="IB1326" s="1"/>
      <c r="IC1326" s="1"/>
      <c r="ID1326" s="1"/>
      <c r="IE1326" s="1"/>
      <c r="IF1326" s="1"/>
      <c r="IG1326" s="1"/>
      <c r="IH1326" s="1"/>
      <c r="II1326" s="1"/>
      <c r="IJ1326" s="1"/>
      <c r="IK1326" s="1"/>
      <c r="IL1326" s="1"/>
      <c r="IM1326" s="1"/>
      <c r="IN1326" s="1"/>
      <c r="IO1326" s="1"/>
      <c r="IP1326" s="1"/>
      <c r="IQ1326" s="1"/>
      <c r="IR1326" s="1"/>
      <c r="IS1326" s="1"/>
      <c r="IT1326" s="1"/>
      <c r="IU1326" s="1"/>
      <c r="IV1326" s="1"/>
      <c r="IW1326" s="1"/>
      <c r="IX1326" s="1"/>
      <c r="IY1326" s="1"/>
      <c r="IZ1326" s="1"/>
      <c r="JA1326" s="1"/>
      <c r="JB1326" s="1"/>
      <c r="JC1326" s="1"/>
      <c r="JD1326" s="1"/>
    </row>
    <row r="1327" s="504" customFormat="true" ht="12.75" hidden="false" customHeight="true" outlineLevel="0" collapsed="false">
      <c r="A1327" s="5"/>
      <c r="B1327" s="5"/>
      <c r="C1327" s="5"/>
      <c r="D1327" s="8"/>
      <c r="E1327" s="8"/>
      <c r="F1327" s="8"/>
      <c r="G1327" s="5"/>
      <c r="H1327" s="5"/>
      <c r="I1327" s="5"/>
      <c r="J1327" s="8"/>
      <c r="K1327" s="8"/>
      <c r="L1327" s="5"/>
      <c r="M1327" s="8"/>
      <c r="N1327" s="8"/>
      <c r="O1327" s="8"/>
      <c r="P1327" s="8"/>
      <c r="Q1327" s="5"/>
      <c r="R1327" s="5"/>
      <c r="S1327" s="5"/>
      <c r="T1327" s="5"/>
      <c r="U1327" s="5"/>
      <c r="V1327" s="10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02"/>
      <c r="AU1327" s="502"/>
      <c r="AV1327" s="606"/>
      <c r="AW1327" s="502"/>
      <c r="AX1327" s="502"/>
      <c r="AY1327" s="502"/>
      <c r="AZ1327" s="502"/>
      <c r="BA1327" s="502"/>
      <c r="BB1327" s="502"/>
      <c r="BC1327" s="502"/>
      <c r="BD1327" s="502"/>
      <c r="BE1327" s="502"/>
      <c r="BF1327" s="502"/>
      <c r="BG1327" s="502"/>
      <c r="BH1327" s="502"/>
      <c r="BI1327" s="502"/>
      <c r="BJ1327" s="502"/>
      <c r="BK1327" s="502"/>
      <c r="BL1327" s="502"/>
      <c r="BM1327" s="502"/>
      <c r="BN1327" s="502"/>
      <c r="BO1327" s="502"/>
      <c r="BP1327" s="5"/>
      <c r="BQ1327" s="5"/>
      <c r="BR1327" s="5"/>
      <c r="BS1327" s="5"/>
      <c r="BT1327" s="5"/>
      <c r="BU1327" s="5"/>
      <c r="BV1327" s="5"/>
      <c r="BW1327" s="5"/>
      <c r="BX1327" s="5"/>
      <c r="BY1327" s="5"/>
      <c r="BZ1327" s="5"/>
      <c r="CA1327" s="5"/>
      <c r="CB1327" s="5"/>
      <c r="CC1327" s="5"/>
      <c r="CD1327" s="5"/>
      <c r="CE1327" s="5"/>
      <c r="CF1327" s="5"/>
      <c r="CG1327" s="5"/>
      <c r="CH1327" s="5"/>
      <c r="CI1327" s="5"/>
      <c r="CJ1327" s="5"/>
      <c r="CK1327" s="5"/>
      <c r="CL1327" s="5"/>
      <c r="CM1327" s="5"/>
      <c r="CN1327" s="5"/>
      <c r="CO1327" s="5"/>
      <c r="CP1327" s="5"/>
      <c r="CQ1327" s="5"/>
      <c r="CR1327" s="5"/>
      <c r="CS1327" s="5"/>
      <c r="CT1327" s="5"/>
      <c r="CU1327" s="5"/>
      <c r="CV1327" s="5"/>
      <c r="CW1327" s="5"/>
      <c r="CX1327" s="5"/>
      <c r="CY1327" s="5"/>
      <c r="CZ1327" s="5"/>
      <c r="DA1327" s="5"/>
      <c r="DB1327" s="5"/>
      <c r="DC1327" s="5"/>
      <c r="DD1327" s="5"/>
      <c r="DE1327" s="5"/>
      <c r="DF1327" s="5"/>
      <c r="DG1327" s="5"/>
      <c r="DH1327" s="5"/>
      <c r="DI1327" s="5"/>
      <c r="DJ1327" s="5"/>
      <c r="DK1327" s="5"/>
      <c r="DL1327" s="5"/>
      <c r="DM1327" s="5"/>
      <c r="DN1327" s="5"/>
      <c r="DO1327" s="5"/>
      <c r="DP1327" s="5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  <c r="GV1327" s="1"/>
      <c r="GW1327" s="1"/>
      <c r="GX1327" s="1"/>
      <c r="GY1327" s="1"/>
      <c r="GZ1327" s="1"/>
      <c r="HA1327" s="1"/>
      <c r="HB1327" s="1"/>
      <c r="HC1327" s="1"/>
      <c r="HD1327" s="1"/>
      <c r="HE1327" s="1"/>
      <c r="HF1327" s="1"/>
      <c r="HG1327" s="1"/>
      <c r="HH1327" s="1"/>
      <c r="HI1327" s="1"/>
      <c r="HJ1327" s="1"/>
      <c r="HK1327" s="1"/>
      <c r="HL1327" s="1"/>
      <c r="HM1327" s="1"/>
      <c r="HN1327" s="1"/>
      <c r="HO1327" s="1"/>
      <c r="HP1327" s="1"/>
      <c r="HQ1327" s="1"/>
      <c r="HR1327" s="1"/>
      <c r="HS1327" s="1"/>
      <c r="HT1327" s="1"/>
      <c r="HU1327" s="1"/>
      <c r="HV1327" s="1"/>
      <c r="HW1327" s="1"/>
      <c r="HX1327" s="1"/>
      <c r="HY1327" s="1"/>
      <c r="HZ1327" s="1"/>
      <c r="IA1327" s="1"/>
      <c r="IB1327" s="1"/>
      <c r="IC1327" s="1"/>
      <c r="ID1327" s="1"/>
      <c r="IE1327" s="1"/>
      <c r="IF1327" s="1"/>
      <c r="IG1327" s="1"/>
      <c r="IH1327" s="1"/>
      <c r="II1327" s="1"/>
      <c r="IJ1327" s="1"/>
      <c r="IK1327" s="1"/>
      <c r="IL1327" s="1"/>
      <c r="IM1327" s="1"/>
      <c r="IN1327" s="1"/>
      <c r="IO1327" s="1"/>
      <c r="IP1327" s="1"/>
      <c r="IQ1327" s="1"/>
      <c r="IR1327" s="1"/>
      <c r="IS1327" s="1"/>
      <c r="IT1327" s="1"/>
      <c r="IU1327" s="1"/>
      <c r="IV1327" s="1"/>
      <c r="IW1327" s="1"/>
      <c r="IX1327" s="1"/>
      <c r="IY1327" s="1"/>
      <c r="IZ1327" s="1"/>
      <c r="JA1327" s="1"/>
      <c r="JB1327" s="1"/>
      <c r="JC1327" s="1"/>
      <c r="JD1327" s="1"/>
    </row>
    <row r="1328" s="504" customFormat="true" ht="12.75" hidden="false" customHeight="true" outlineLevel="0" collapsed="false">
      <c r="A1328" s="5"/>
      <c r="B1328" s="5"/>
      <c r="C1328" s="5"/>
      <c r="D1328" s="8"/>
      <c r="E1328" s="8"/>
      <c r="F1328" s="8"/>
      <c r="G1328" s="5"/>
      <c r="H1328" s="5"/>
      <c r="I1328" s="5"/>
      <c r="J1328" s="8"/>
      <c r="K1328" s="8"/>
      <c r="L1328" s="5"/>
      <c r="M1328" s="8"/>
      <c r="N1328" s="8"/>
      <c r="O1328" s="8"/>
      <c r="P1328" s="8"/>
      <c r="Q1328" s="5"/>
      <c r="R1328" s="5"/>
      <c r="S1328" s="5"/>
      <c r="T1328" s="5"/>
      <c r="U1328" s="5"/>
      <c r="V1328" s="10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  <c r="AR1328" s="5"/>
      <c r="AS1328" s="5"/>
      <c r="AT1328" s="502"/>
      <c r="AU1328" s="502"/>
      <c r="AV1328" s="606"/>
      <c r="AW1328" s="502"/>
      <c r="AX1328" s="502"/>
      <c r="AY1328" s="502"/>
      <c r="AZ1328" s="502"/>
      <c r="BA1328" s="502"/>
      <c r="BB1328" s="502"/>
      <c r="BC1328" s="502"/>
      <c r="BD1328" s="502"/>
      <c r="BE1328" s="502"/>
      <c r="BF1328" s="502"/>
      <c r="BG1328" s="502"/>
      <c r="BH1328" s="502"/>
      <c r="BI1328" s="502"/>
      <c r="BJ1328" s="502"/>
      <c r="BK1328" s="502"/>
      <c r="BL1328" s="502"/>
      <c r="BM1328" s="502"/>
      <c r="BN1328" s="502"/>
      <c r="BO1328" s="502"/>
      <c r="BP1328" s="5"/>
      <c r="BQ1328" s="5"/>
      <c r="BR1328" s="5"/>
      <c r="BS1328" s="5"/>
      <c r="BT1328" s="5"/>
      <c r="BU1328" s="5"/>
      <c r="BV1328" s="5"/>
      <c r="BW1328" s="5"/>
      <c r="BX1328" s="5"/>
      <c r="BY1328" s="5"/>
      <c r="BZ1328" s="5"/>
      <c r="CA1328" s="5"/>
      <c r="CB1328" s="5"/>
      <c r="CC1328" s="5"/>
      <c r="CD1328" s="5"/>
      <c r="CE1328" s="5"/>
      <c r="CF1328" s="5"/>
      <c r="CG1328" s="5"/>
      <c r="CH1328" s="5"/>
      <c r="CI1328" s="5"/>
      <c r="CJ1328" s="5"/>
      <c r="CK1328" s="5"/>
      <c r="CL1328" s="5"/>
      <c r="CM1328" s="5"/>
      <c r="CN1328" s="5"/>
      <c r="CO1328" s="5"/>
      <c r="CP1328" s="5"/>
      <c r="CQ1328" s="5"/>
      <c r="CR1328" s="5"/>
      <c r="CS1328" s="5"/>
      <c r="CT1328" s="5"/>
      <c r="CU1328" s="5"/>
      <c r="CV1328" s="5"/>
      <c r="CW1328" s="5"/>
      <c r="CX1328" s="5"/>
      <c r="CY1328" s="5"/>
      <c r="CZ1328" s="5"/>
      <c r="DA1328" s="5"/>
      <c r="DB1328" s="5"/>
      <c r="DC1328" s="5"/>
      <c r="DD1328" s="5"/>
      <c r="DE1328" s="5"/>
      <c r="DF1328" s="5"/>
      <c r="DG1328" s="5"/>
      <c r="DH1328" s="5"/>
      <c r="DI1328" s="5"/>
      <c r="DJ1328" s="5"/>
      <c r="DK1328" s="5"/>
      <c r="DL1328" s="5"/>
      <c r="DM1328" s="5"/>
      <c r="DN1328" s="5"/>
      <c r="DO1328" s="5"/>
      <c r="DP1328" s="5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  <c r="GV1328" s="1"/>
      <c r="GW1328" s="1"/>
      <c r="GX1328" s="1"/>
      <c r="GY1328" s="1"/>
      <c r="GZ1328" s="1"/>
      <c r="HA1328" s="1"/>
      <c r="HB1328" s="1"/>
      <c r="HC1328" s="1"/>
      <c r="HD1328" s="1"/>
      <c r="HE1328" s="1"/>
      <c r="HF1328" s="1"/>
      <c r="HG1328" s="1"/>
      <c r="HH1328" s="1"/>
      <c r="HI1328" s="1"/>
      <c r="HJ1328" s="1"/>
      <c r="HK1328" s="1"/>
      <c r="HL1328" s="1"/>
      <c r="HM1328" s="1"/>
      <c r="HN1328" s="1"/>
      <c r="HO1328" s="1"/>
      <c r="HP1328" s="1"/>
      <c r="HQ1328" s="1"/>
      <c r="HR1328" s="1"/>
      <c r="HS1328" s="1"/>
      <c r="HT1328" s="1"/>
      <c r="HU1328" s="1"/>
      <c r="HV1328" s="1"/>
      <c r="HW1328" s="1"/>
      <c r="HX1328" s="1"/>
      <c r="HY1328" s="1"/>
      <c r="HZ1328" s="1"/>
      <c r="IA1328" s="1"/>
      <c r="IB1328" s="1"/>
      <c r="IC1328" s="1"/>
      <c r="ID1328" s="1"/>
      <c r="IE1328" s="1"/>
      <c r="IF1328" s="1"/>
      <c r="IG1328" s="1"/>
      <c r="IH1328" s="1"/>
      <c r="II1328" s="1"/>
      <c r="IJ1328" s="1"/>
      <c r="IK1328" s="1"/>
      <c r="IL1328" s="1"/>
      <c r="IM1328" s="1"/>
      <c r="IN1328" s="1"/>
      <c r="IO1328" s="1"/>
      <c r="IP1328" s="1"/>
      <c r="IQ1328" s="1"/>
      <c r="IR1328" s="1"/>
      <c r="IS1328" s="1"/>
      <c r="IT1328" s="1"/>
      <c r="IU1328" s="1"/>
      <c r="IV1328" s="1"/>
      <c r="IW1328" s="1"/>
      <c r="IX1328" s="1"/>
      <c r="IY1328" s="1"/>
      <c r="IZ1328" s="1"/>
      <c r="JA1328" s="1"/>
      <c r="JB1328" s="1"/>
      <c r="JC1328" s="1"/>
      <c r="JD1328" s="1"/>
    </row>
    <row r="1329" s="504" customFormat="true" ht="12.75" hidden="false" customHeight="true" outlineLevel="0" collapsed="false">
      <c r="A1329" s="5"/>
      <c r="B1329" s="5"/>
      <c r="C1329" s="5"/>
      <c r="D1329" s="8"/>
      <c r="E1329" s="8"/>
      <c r="F1329" s="8"/>
      <c r="G1329" s="5"/>
      <c r="H1329" s="5"/>
      <c r="I1329" s="5"/>
      <c r="J1329" s="8"/>
      <c r="K1329" s="8"/>
      <c r="L1329" s="5"/>
      <c r="M1329" s="8"/>
      <c r="N1329" s="8"/>
      <c r="O1329" s="8"/>
      <c r="P1329" s="8"/>
      <c r="Q1329" s="5"/>
      <c r="R1329" s="5"/>
      <c r="S1329" s="5"/>
      <c r="T1329" s="5"/>
      <c r="U1329" s="5"/>
      <c r="V1329" s="10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02"/>
      <c r="AU1329" s="502"/>
      <c r="AV1329" s="606"/>
      <c r="AW1329" s="502"/>
      <c r="AX1329" s="502"/>
      <c r="AY1329" s="502"/>
      <c r="AZ1329" s="502"/>
      <c r="BA1329" s="502"/>
      <c r="BB1329" s="502"/>
      <c r="BC1329" s="502"/>
      <c r="BD1329" s="502"/>
      <c r="BE1329" s="502"/>
      <c r="BF1329" s="502"/>
      <c r="BG1329" s="502"/>
      <c r="BH1329" s="502"/>
      <c r="BI1329" s="502"/>
      <c r="BJ1329" s="502"/>
      <c r="BK1329" s="502"/>
      <c r="BL1329" s="502"/>
      <c r="BM1329" s="502"/>
      <c r="BN1329" s="502"/>
      <c r="BO1329" s="502"/>
      <c r="BP1329" s="5"/>
      <c r="BQ1329" s="5"/>
      <c r="BR1329" s="5"/>
      <c r="BS1329" s="5"/>
      <c r="BT1329" s="5"/>
      <c r="BU1329" s="5"/>
      <c r="BV1329" s="5"/>
      <c r="BW1329" s="5"/>
      <c r="BX1329" s="5"/>
      <c r="BY1329" s="5"/>
      <c r="BZ1329" s="5"/>
      <c r="CA1329" s="5"/>
      <c r="CB1329" s="5"/>
      <c r="CC1329" s="5"/>
      <c r="CD1329" s="5"/>
      <c r="CE1329" s="5"/>
      <c r="CF1329" s="5"/>
      <c r="CG1329" s="5"/>
      <c r="CH1329" s="5"/>
      <c r="CI1329" s="5"/>
      <c r="CJ1329" s="5"/>
      <c r="CK1329" s="5"/>
      <c r="CL1329" s="5"/>
      <c r="CM1329" s="5"/>
      <c r="CN1329" s="5"/>
      <c r="CO1329" s="5"/>
      <c r="CP1329" s="5"/>
      <c r="CQ1329" s="5"/>
      <c r="CR1329" s="5"/>
      <c r="CS1329" s="5"/>
      <c r="CT1329" s="5"/>
      <c r="CU1329" s="5"/>
      <c r="CV1329" s="5"/>
      <c r="CW1329" s="5"/>
      <c r="CX1329" s="5"/>
      <c r="CY1329" s="5"/>
      <c r="CZ1329" s="5"/>
      <c r="DA1329" s="5"/>
      <c r="DB1329" s="5"/>
      <c r="DC1329" s="5"/>
      <c r="DD1329" s="5"/>
      <c r="DE1329" s="5"/>
      <c r="DF1329" s="5"/>
      <c r="DG1329" s="5"/>
      <c r="DH1329" s="5"/>
      <c r="DI1329" s="5"/>
      <c r="DJ1329" s="5"/>
      <c r="DK1329" s="5"/>
      <c r="DL1329" s="5"/>
      <c r="DM1329" s="5"/>
      <c r="DN1329" s="5"/>
      <c r="DO1329" s="5"/>
      <c r="DP1329" s="5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  <c r="GV1329" s="1"/>
      <c r="GW1329" s="1"/>
      <c r="GX1329" s="1"/>
      <c r="GY1329" s="1"/>
      <c r="GZ1329" s="1"/>
      <c r="HA1329" s="1"/>
      <c r="HB1329" s="1"/>
      <c r="HC1329" s="1"/>
      <c r="HD1329" s="1"/>
      <c r="HE1329" s="1"/>
      <c r="HF1329" s="1"/>
      <c r="HG1329" s="1"/>
      <c r="HH1329" s="1"/>
      <c r="HI1329" s="1"/>
      <c r="HJ1329" s="1"/>
      <c r="HK1329" s="1"/>
      <c r="HL1329" s="1"/>
      <c r="HM1329" s="1"/>
      <c r="HN1329" s="1"/>
      <c r="HO1329" s="1"/>
      <c r="HP1329" s="1"/>
      <c r="HQ1329" s="1"/>
      <c r="HR1329" s="1"/>
      <c r="HS1329" s="1"/>
      <c r="HT1329" s="1"/>
      <c r="HU1329" s="1"/>
      <c r="HV1329" s="1"/>
      <c r="HW1329" s="1"/>
      <c r="HX1329" s="1"/>
      <c r="HY1329" s="1"/>
      <c r="HZ1329" s="1"/>
      <c r="IA1329" s="1"/>
      <c r="IB1329" s="1"/>
      <c r="IC1329" s="1"/>
      <c r="ID1329" s="1"/>
      <c r="IE1329" s="1"/>
      <c r="IF1329" s="1"/>
      <c r="IG1329" s="1"/>
      <c r="IH1329" s="1"/>
      <c r="II1329" s="1"/>
      <c r="IJ1329" s="1"/>
      <c r="IK1329" s="1"/>
      <c r="IL1329" s="1"/>
      <c r="IM1329" s="1"/>
      <c r="IN1329" s="1"/>
      <c r="IO1329" s="1"/>
      <c r="IP1329" s="1"/>
      <c r="IQ1329" s="1"/>
      <c r="IR1329" s="1"/>
      <c r="IS1329" s="1"/>
      <c r="IT1329" s="1"/>
      <c r="IU1329" s="1"/>
      <c r="IV1329" s="1"/>
      <c r="IW1329" s="1"/>
      <c r="IX1329" s="1"/>
      <c r="IY1329" s="1"/>
      <c r="IZ1329" s="1"/>
      <c r="JA1329" s="1"/>
      <c r="JB1329" s="1"/>
      <c r="JC1329" s="1"/>
      <c r="JD1329" s="1"/>
    </row>
    <row r="1330" s="504" customFormat="true" ht="12.75" hidden="false" customHeight="true" outlineLevel="0" collapsed="false">
      <c r="A1330" s="5"/>
      <c r="B1330" s="5"/>
      <c r="C1330" s="5"/>
      <c r="D1330" s="8"/>
      <c r="E1330" s="8"/>
      <c r="F1330" s="8"/>
      <c r="G1330" s="5"/>
      <c r="H1330" s="5"/>
      <c r="I1330" s="5"/>
      <c r="J1330" s="8"/>
      <c r="K1330" s="8"/>
      <c r="L1330" s="5"/>
      <c r="M1330" s="8"/>
      <c r="N1330" s="8"/>
      <c r="O1330" s="8"/>
      <c r="P1330" s="8"/>
      <c r="Q1330" s="5"/>
      <c r="R1330" s="5"/>
      <c r="S1330" s="5"/>
      <c r="T1330" s="5"/>
      <c r="U1330" s="5"/>
      <c r="V1330" s="10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02"/>
      <c r="AU1330" s="502"/>
      <c r="AV1330" s="606"/>
      <c r="AW1330" s="502"/>
      <c r="AX1330" s="502"/>
      <c r="AY1330" s="502"/>
      <c r="AZ1330" s="502"/>
      <c r="BA1330" s="502"/>
      <c r="BB1330" s="502"/>
      <c r="BC1330" s="502"/>
      <c r="BD1330" s="502"/>
      <c r="BE1330" s="502"/>
      <c r="BF1330" s="502"/>
      <c r="BG1330" s="502"/>
      <c r="BH1330" s="502"/>
      <c r="BI1330" s="502"/>
      <c r="BJ1330" s="502"/>
      <c r="BK1330" s="502"/>
      <c r="BL1330" s="502"/>
      <c r="BM1330" s="502"/>
      <c r="BN1330" s="502"/>
      <c r="BO1330" s="502"/>
      <c r="BP1330" s="5"/>
      <c r="BQ1330" s="5"/>
      <c r="BR1330" s="5"/>
      <c r="BS1330" s="5"/>
      <c r="BT1330" s="5"/>
      <c r="BU1330" s="5"/>
      <c r="BV1330" s="5"/>
      <c r="BW1330" s="5"/>
      <c r="BX1330" s="5"/>
      <c r="BY1330" s="5"/>
      <c r="BZ1330" s="5"/>
      <c r="CA1330" s="5"/>
      <c r="CB1330" s="5"/>
      <c r="CC1330" s="5"/>
      <c r="CD1330" s="5"/>
      <c r="CE1330" s="5"/>
      <c r="CF1330" s="5"/>
      <c r="CG1330" s="5"/>
      <c r="CH1330" s="5"/>
      <c r="CI1330" s="5"/>
      <c r="CJ1330" s="5"/>
      <c r="CK1330" s="5"/>
      <c r="CL1330" s="5"/>
      <c r="CM1330" s="5"/>
      <c r="CN1330" s="5"/>
      <c r="CO1330" s="5"/>
      <c r="CP1330" s="5"/>
      <c r="CQ1330" s="5"/>
      <c r="CR1330" s="5"/>
      <c r="CS1330" s="5"/>
      <c r="CT1330" s="5"/>
      <c r="CU1330" s="5"/>
      <c r="CV1330" s="5"/>
      <c r="CW1330" s="5"/>
      <c r="CX1330" s="5"/>
      <c r="CY1330" s="5"/>
      <c r="CZ1330" s="5"/>
      <c r="DA1330" s="5"/>
      <c r="DB1330" s="5"/>
      <c r="DC1330" s="5"/>
      <c r="DD1330" s="5"/>
      <c r="DE1330" s="5"/>
      <c r="DF1330" s="5"/>
      <c r="DG1330" s="5"/>
      <c r="DH1330" s="5"/>
      <c r="DI1330" s="5"/>
      <c r="DJ1330" s="5"/>
      <c r="DK1330" s="5"/>
      <c r="DL1330" s="5"/>
      <c r="DM1330" s="5"/>
      <c r="DN1330" s="5"/>
      <c r="DO1330" s="5"/>
      <c r="DP1330" s="5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  <c r="GV1330" s="1"/>
      <c r="GW1330" s="1"/>
      <c r="GX1330" s="1"/>
      <c r="GY1330" s="1"/>
      <c r="GZ1330" s="1"/>
      <c r="HA1330" s="1"/>
      <c r="HB1330" s="1"/>
      <c r="HC1330" s="1"/>
      <c r="HD1330" s="1"/>
      <c r="HE1330" s="1"/>
      <c r="HF1330" s="1"/>
      <c r="HG1330" s="1"/>
      <c r="HH1330" s="1"/>
      <c r="HI1330" s="1"/>
      <c r="HJ1330" s="1"/>
      <c r="HK1330" s="1"/>
      <c r="HL1330" s="1"/>
      <c r="HM1330" s="1"/>
      <c r="HN1330" s="1"/>
      <c r="HO1330" s="1"/>
      <c r="HP1330" s="1"/>
      <c r="HQ1330" s="1"/>
      <c r="HR1330" s="1"/>
      <c r="HS1330" s="1"/>
      <c r="HT1330" s="1"/>
      <c r="HU1330" s="1"/>
      <c r="HV1330" s="1"/>
      <c r="HW1330" s="1"/>
      <c r="HX1330" s="1"/>
      <c r="HY1330" s="1"/>
      <c r="HZ1330" s="1"/>
      <c r="IA1330" s="1"/>
      <c r="IB1330" s="1"/>
      <c r="IC1330" s="1"/>
      <c r="ID1330" s="1"/>
      <c r="IE1330" s="1"/>
      <c r="IF1330" s="1"/>
      <c r="IG1330" s="1"/>
      <c r="IH1330" s="1"/>
      <c r="II1330" s="1"/>
      <c r="IJ1330" s="1"/>
      <c r="IK1330" s="1"/>
      <c r="IL1330" s="1"/>
      <c r="IM1330" s="1"/>
      <c r="IN1330" s="1"/>
      <c r="IO1330" s="1"/>
      <c r="IP1330" s="1"/>
      <c r="IQ1330" s="1"/>
      <c r="IR1330" s="1"/>
      <c r="IS1330" s="1"/>
      <c r="IT1330" s="1"/>
      <c r="IU1330" s="1"/>
      <c r="IV1330" s="1"/>
      <c r="IW1330" s="1"/>
      <c r="IX1330" s="1"/>
      <c r="IY1330" s="1"/>
      <c r="IZ1330" s="1"/>
      <c r="JA1330" s="1"/>
      <c r="JB1330" s="1"/>
      <c r="JC1330" s="1"/>
      <c r="JD1330" s="1"/>
    </row>
    <row r="1331" s="504" customFormat="true" ht="12.75" hidden="false" customHeight="true" outlineLevel="0" collapsed="false">
      <c r="A1331" s="5"/>
      <c r="B1331" s="5"/>
      <c r="C1331" s="5"/>
      <c r="D1331" s="8"/>
      <c r="E1331" s="8"/>
      <c r="F1331" s="8"/>
      <c r="G1331" s="5"/>
      <c r="H1331" s="5"/>
      <c r="I1331" s="5"/>
      <c r="J1331" s="8"/>
      <c r="K1331" s="8"/>
      <c r="L1331" s="5"/>
      <c r="M1331" s="8"/>
      <c r="N1331" s="8"/>
      <c r="O1331" s="8"/>
      <c r="P1331" s="8"/>
      <c r="Q1331" s="5"/>
      <c r="R1331" s="5"/>
      <c r="S1331" s="5"/>
      <c r="T1331" s="5"/>
      <c r="U1331" s="5"/>
      <c r="V1331" s="10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02"/>
      <c r="AU1331" s="502"/>
      <c r="AV1331" s="606"/>
      <c r="AW1331" s="502"/>
      <c r="AX1331" s="502"/>
      <c r="AY1331" s="502"/>
      <c r="AZ1331" s="502"/>
      <c r="BA1331" s="502"/>
      <c r="BB1331" s="502"/>
      <c r="BC1331" s="502"/>
      <c r="BD1331" s="502"/>
      <c r="BE1331" s="502"/>
      <c r="BF1331" s="502"/>
      <c r="BG1331" s="502"/>
      <c r="BH1331" s="502"/>
      <c r="BI1331" s="502"/>
      <c r="BJ1331" s="502"/>
      <c r="BK1331" s="502"/>
      <c r="BL1331" s="502"/>
      <c r="BM1331" s="502"/>
      <c r="BN1331" s="502"/>
      <c r="BO1331" s="502"/>
      <c r="BP1331" s="5"/>
      <c r="BQ1331" s="5"/>
      <c r="BR1331" s="5"/>
      <c r="BS1331" s="5"/>
      <c r="BT1331" s="5"/>
      <c r="BU1331" s="5"/>
      <c r="BV1331" s="5"/>
      <c r="BW1331" s="5"/>
      <c r="BX1331" s="5"/>
      <c r="BY1331" s="5"/>
      <c r="BZ1331" s="5"/>
      <c r="CA1331" s="5"/>
      <c r="CB1331" s="5"/>
      <c r="CC1331" s="5"/>
      <c r="CD1331" s="5"/>
      <c r="CE1331" s="5"/>
      <c r="CF1331" s="5"/>
      <c r="CG1331" s="5"/>
      <c r="CH1331" s="5"/>
      <c r="CI1331" s="5"/>
      <c r="CJ1331" s="5"/>
      <c r="CK1331" s="5"/>
      <c r="CL1331" s="5"/>
      <c r="CM1331" s="5"/>
      <c r="CN1331" s="5"/>
      <c r="CO1331" s="5"/>
      <c r="CP1331" s="5"/>
      <c r="CQ1331" s="5"/>
      <c r="CR1331" s="5"/>
      <c r="CS1331" s="5"/>
      <c r="CT1331" s="5"/>
      <c r="CU1331" s="5"/>
      <c r="CV1331" s="5"/>
      <c r="CW1331" s="5"/>
      <c r="CX1331" s="5"/>
      <c r="CY1331" s="5"/>
      <c r="CZ1331" s="5"/>
      <c r="DA1331" s="5"/>
      <c r="DB1331" s="5"/>
      <c r="DC1331" s="5"/>
      <c r="DD1331" s="5"/>
      <c r="DE1331" s="5"/>
      <c r="DF1331" s="5"/>
      <c r="DG1331" s="5"/>
      <c r="DH1331" s="5"/>
      <c r="DI1331" s="5"/>
      <c r="DJ1331" s="5"/>
      <c r="DK1331" s="5"/>
      <c r="DL1331" s="5"/>
      <c r="DM1331" s="5"/>
      <c r="DN1331" s="5"/>
      <c r="DO1331" s="5"/>
      <c r="DP1331" s="5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  <c r="GV1331" s="1"/>
      <c r="GW1331" s="1"/>
      <c r="GX1331" s="1"/>
      <c r="GY1331" s="1"/>
      <c r="GZ1331" s="1"/>
      <c r="HA1331" s="1"/>
      <c r="HB1331" s="1"/>
      <c r="HC1331" s="1"/>
      <c r="HD1331" s="1"/>
      <c r="HE1331" s="1"/>
      <c r="HF1331" s="1"/>
      <c r="HG1331" s="1"/>
      <c r="HH1331" s="1"/>
      <c r="HI1331" s="1"/>
      <c r="HJ1331" s="1"/>
      <c r="HK1331" s="1"/>
      <c r="HL1331" s="1"/>
      <c r="HM1331" s="1"/>
      <c r="HN1331" s="1"/>
      <c r="HO1331" s="1"/>
      <c r="HP1331" s="1"/>
      <c r="HQ1331" s="1"/>
      <c r="HR1331" s="1"/>
      <c r="HS1331" s="1"/>
      <c r="HT1331" s="1"/>
      <c r="HU1331" s="1"/>
      <c r="HV1331" s="1"/>
      <c r="HW1331" s="1"/>
      <c r="HX1331" s="1"/>
      <c r="HY1331" s="1"/>
      <c r="HZ1331" s="1"/>
      <c r="IA1331" s="1"/>
      <c r="IB1331" s="1"/>
      <c r="IC1331" s="1"/>
      <c r="ID1331" s="1"/>
      <c r="IE1331" s="1"/>
      <c r="IF1331" s="1"/>
      <c r="IG1331" s="1"/>
      <c r="IH1331" s="1"/>
      <c r="II1331" s="1"/>
      <c r="IJ1331" s="1"/>
      <c r="IK1331" s="1"/>
      <c r="IL1331" s="1"/>
      <c r="IM1331" s="1"/>
      <c r="IN1331" s="1"/>
      <c r="IO1331" s="1"/>
      <c r="IP1331" s="1"/>
      <c r="IQ1331" s="1"/>
      <c r="IR1331" s="1"/>
      <c r="IS1331" s="1"/>
      <c r="IT1331" s="1"/>
      <c r="IU1331" s="1"/>
      <c r="IV1331" s="1"/>
      <c r="IW1331" s="1"/>
      <c r="IX1331" s="1"/>
      <c r="IY1331" s="1"/>
      <c r="IZ1331" s="1"/>
      <c r="JA1331" s="1"/>
      <c r="JB1331" s="1"/>
      <c r="JC1331" s="1"/>
      <c r="JD1331" s="1"/>
    </row>
    <row r="1332" s="504" customFormat="true" ht="12.75" hidden="false" customHeight="true" outlineLevel="0" collapsed="false">
      <c r="A1332" s="5"/>
      <c r="B1332" s="5"/>
      <c r="C1332" s="5"/>
      <c r="D1332" s="8"/>
      <c r="E1332" s="8"/>
      <c r="F1332" s="8"/>
      <c r="G1332" s="5"/>
      <c r="H1332" s="5"/>
      <c r="I1332" s="5"/>
      <c r="J1332" s="8"/>
      <c r="K1332" s="8"/>
      <c r="L1332" s="5"/>
      <c r="M1332" s="8"/>
      <c r="N1332" s="8"/>
      <c r="O1332" s="8"/>
      <c r="P1332" s="8"/>
      <c r="Q1332" s="5"/>
      <c r="R1332" s="5"/>
      <c r="S1332" s="5"/>
      <c r="T1332" s="5"/>
      <c r="U1332" s="5"/>
      <c r="V1332" s="10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  <c r="AR1332" s="5"/>
      <c r="AS1332" s="5"/>
      <c r="AT1332" s="502"/>
      <c r="AU1332" s="502"/>
      <c r="AV1332" s="606"/>
      <c r="AW1332" s="502"/>
      <c r="AX1332" s="502"/>
      <c r="AY1332" s="502"/>
      <c r="AZ1332" s="502"/>
      <c r="BA1332" s="502"/>
      <c r="BB1332" s="502"/>
      <c r="BC1332" s="502"/>
      <c r="BD1332" s="502"/>
      <c r="BE1332" s="502"/>
      <c r="BF1332" s="502"/>
      <c r="BG1332" s="502"/>
      <c r="BH1332" s="502"/>
      <c r="BI1332" s="502"/>
      <c r="BJ1332" s="502"/>
      <c r="BK1332" s="502"/>
      <c r="BL1332" s="502"/>
      <c r="BM1332" s="502"/>
      <c r="BN1332" s="502"/>
      <c r="BO1332" s="502"/>
      <c r="BP1332" s="5"/>
      <c r="BQ1332" s="5"/>
      <c r="BR1332" s="5"/>
      <c r="BS1332" s="5"/>
      <c r="BT1332" s="5"/>
      <c r="BU1332" s="5"/>
      <c r="BV1332" s="5"/>
      <c r="BW1332" s="5"/>
      <c r="BX1332" s="5"/>
      <c r="BY1332" s="5"/>
      <c r="BZ1332" s="5"/>
      <c r="CA1332" s="5"/>
      <c r="CB1332" s="5"/>
      <c r="CC1332" s="5"/>
      <c r="CD1332" s="5"/>
      <c r="CE1332" s="5"/>
      <c r="CF1332" s="5"/>
      <c r="CG1332" s="5"/>
      <c r="CH1332" s="5"/>
      <c r="CI1332" s="5"/>
      <c r="CJ1332" s="5"/>
      <c r="CK1332" s="5"/>
      <c r="CL1332" s="5"/>
      <c r="CM1332" s="5"/>
      <c r="CN1332" s="5"/>
      <c r="CO1332" s="5"/>
      <c r="CP1332" s="5"/>
      <c r="CQ1332" s="5"/>
      <c r="CR1332" s="5"/>
      <c r="CS1332" s="5"/>
      <c r="CT1332" s="5"/>
      <c r="CU1332" s="5"/>
      <c r="CV1332" s="5"/>
      <c r="CW1332" s="5"/>
      <c r="CX1332" s="5"/>
      <c r="CY1332" s="5"/>
      <c r="CZ1332" s="5"/>
      <c r="DA1332" s="5"/>
      <c r="DB1332" s="5"/>
      <c r="DC1332" s="5"/>
      <c r="DD1332" s="5"/>
      <c r="DE1332" s="5"/>
      <c r="DF1332" s="5"/>
      <c r="DG1332" s="5"/>
      <c r="DH1332" s="5"/>
      <c r="DI1332" s="5"/>
      <c r="DJ1332" s="5"/>
      <c r="DK1332" s="5"/>
      <c r="DL1332" s="5"/>
      <c r="DM1332" s="5"/>
      <c r="DN1332" s="5"/>
      <c r="DO1332" s="5"/>
      <c r="DP1332" s="5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  <c r="GV1332" s="1"/>
      <c r="GW1332" s="1"/>
      <c r="GX1332" s="1"/>
      <c r="GY1332" s="1"/>
      <c r="GZ1332" s="1"/>
      <c r="HA1332" s="1"/>
      <c r="HB1332" s="1"/>
      <c r="HC1332" s="1"/>
      <c r="HD1332" s="1"/>
      <c r="HE1332" s="1"/>
      <c r="HF1332" s="1"/>
      <c r="HG1332" s="1"/>
      <c r="HH1332" s="1"/>
      <c r="HI1332" s="1"/>
      <c r="HJ1332" s="1"/>
      <c r="HK1332" s="1"/>
      <c r="HL1332" s="1"/>
      <c r="HM1332" s="1"/>
      <c r="HN1332" s="1"/>
      <c r="HO1332" s="1"/>
      <c r="HP1332" s="1"/>
      <c r="HQ1332" s="1"/>
      <c r="HR1332" s="1"/>
      <c r="HS1332" s="1"/>
      <c r="HT1332" s="1"/>
      <c r="HU1332" s="1"/>
      <c r="HV1332" s="1"/>
      <c r="HW1332" s="1"/>
      <c r="HX1332" s="1"/>
      <c r="HY1332" s="1"/>
      <c r="HZ1332" s="1"/>
      <c r="IA1332" s="1"/>
      <c r="IB1332" s="1"/>
      <c r="IC1332" s="1"/>
      <c r="ID1332" s="1"/>
      <c r="IE1332" s="1"/>
      <c r="IF1332" s="1"/>
      <c r="IG1332" s="1"/>
      <c r="IH1332" s="1"/>
      <c r="II1332" s="1"/>
      <c r="IJ1332" s="1"/>
      <c r="IK1332" s="1"/>
      <c r="IL1332" s="1"/>
      <c r="IM1332" s="1"/>
      <c r="IN1332" s="1"/>
      <c r="IO1332" s="1"/>
      <c r="IP1332" s="1"/>
      <c r="IQ1332" s="1"/>
      <c r="IR1332" s="1"/>
      <c r="IS1332" s="1"/>
      <c r="IT1332" s="1"/>
      <c r="IU1332" s="1"/>
      <c r="IV1332" s="1"/>
      <c r="IW1332" s="1"/>
      <c r="IX1332" s="1"/>
      <c r="IY1332" s="1"/>
      <c r="IZ1332" s="1"/>
      <c r="JA1332" s="1"/>
      <c r="JB1332" s="1"/>
      <c r="JC1332" s="1"/>
      <c r="JD1332" s="1"/>
    </row>
    <row r="1333" s="504" customFormat="true" ht="12.75" hidden="false" customHeight="true" outlineLevel="0" collapsed="false">
      <c r="A1333" s="5"/>
      <c r="B1333" s="5"/>
      <c r="C1333" s="5"/>
      <c r="D1333" s="8"/>
      <c r="E1333" s="8"/>
      <c r="F1333" s="8"/>
      <c r="G1333" s="5"/>
      <c r="H1333" s="5"/>
      <c r="I1333" s="5"/>
      <c r="J1333" s="8"/>
      <c r="K1333" s="8"/>
      <c r="L1333" s="5"/>
      <c r="M1333" s="8"/>
      <c r="N1333" s="8"/>
      <c r="O1333" s="8"/>
      <c r="P1333" s="8"/>
      <c r="Q1333" s="5"/>
      <c r="R1333" s="5"/>
      <c r="S1333" s="5"/>
      <c r="T1333" s="5"/>
      <c r="U1333" s="5"/>
      <c r="V1333" s="10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02"/>
      <c r="AU1333" s="502"/>
      <c r="AV1333" s="606"/>
      <c r="AW1333" s="502"/>
      <c r="AX1333" s="502"/>
      <c r="AY1333" s="502"/>
      <c r="AZ1333" s="502"/>
      <c r="BA1333" s="502"/>
      <c r="BB1333" s="502"/>
      <c r="BC1333" s="502"/>
      <c r="BD1333" s="502"/>
      <c r="BE1333" s="502"/>
      <c r="BF1333" s="502"/>
      <c r="BG1333" s="502"/>
      <c r="BH1333" s="502"/>
      <c r="BI1333" s="502"/>
      <c r="BJ1333" s="502"/>
      <c r="BK1333" s="502"/>
      <c r="BL1333" s="502"/>
      <c r="BM1333" s="502"/>
      <c r="BN1333" s="502"/>
      <c r="BO1333" s="502"/>
      <c r="BP1333" s="5"/>
      <c r="BQ1333" s="5"/>
      <c r="BR1333" s="5"/>
      <c r="BS1333" s="5"/>
      <c r="BT1333" s="5"/>
      <c r="BU1333" s="5"/>
      <c r="BV1333" s="5"/>
      <c r="BW1333" s="5"/>
      <c r="BX1333" s="5"/>
      <c r="BY1333" s="5"/>
      <c r="BZ1333" s="5"/>
      <c r="CA1333" s="5"/>
      <c r="CB1333" s="5"/>
      <c r="CC1333" s="5"/>
      <c r="CD1333" s="5"/>
      <c r="CE1333" s="5"/>
      <c r="CF1333" s="5"/>
      <c r="CG1333" s="5"/>
      <c r="CH1333" s="5"/>
      <c r="CI1333" s="5"/>
      <c r="CJ1333" s="5"/>
      <c r="CK1333" s="5"/>
      <c r="CL1333" s="5"/>
      <c r="CM1333" s="5"/>
      <c r="CN1333" s="5"/>
      <c r="CO1333" s="5"/>
      <c r="CP1333" s="5"/>
      <c r="CQ1333" s="5"/>
      <c r="CR1333" s="5"/>
      <c r="CS1333" s="5"/>
      <c r="CT1333" s="5"/>
      <c r="CU1333" s="5"/>
      <c r="CV1333" s="5"/>
      <c r="CW1333" s="5"/>
      <c r="CX1333" s="5"/>
      <c r="CY1333" s="5"/>
      <c r="CZ1333" s="5"/>
      <c r="DA1333" s="5"/>
      <c r="DB1333" s="5"/>
      <c r="DC1333" s="5"/>
      <c r="DD1333" s="5"/>
      <c r="DE1333" s="5"/>
      <c r="DF1333" s="5"/>
      <c r="DG1333" s="5"/>
      <c r="DH1333" s="5"/>
      <c r="DI1333" s="5"/>
      <c r="DJ1333" s="5"/>
      <c r="DK1333" s="5"/>
      <c r="DL1333" s="5"/>
      <c r="DM1333" s="5"/>
      <c r="DN1333" s="5"/>
      <c r="DO1333" s="5"/>
      <c r="DP1333" s="5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  <c r="GV1333" s="1"/>
      <c r="GW1333" s="1"/>
      <c r="GX1333" s="1"/>
      <c r="GY1333" s="1"/>
      <c r="GZ1333" s="1"/>
      <c r="HA1333" s="1"/>
      <c r="HB1333" s="1"/>
      <c r="HC1333" s="1"/>
      <c r="HD1333" s="1"/>
      <c r="HE1333" s="1"/>
      <c r="HF1333" s="1"/>
      <c r="HG1333" s="1"/>
      <c r="HH1333" s="1"/>
      <c r="HI1333" s="1"/>
      <c r="HJ1333" s="1"/>
      <c r="HK1333" s="1"/>
      <c r="HL1333" s="1"/>
      <c r="HM1333" s="1"/>
      <c r="HN1333" s="1"/>
      <c r="HO1333" s="1"/>
      <c r="HP1333" s="1"/>
      <c r="HQ1333" s="1"/>
      <c r="HR1333" s="1"/>
      <c r="HS1333" s="1"/>
      <c r="HT1333" s="1"/>
      <c r="HU1333" s="1"/>
      <c r="HV1333" s="1"/>
      <c r="HW1333" s="1"/>
      <c r="HX1333" s="1"/>
      <c r="HY1333" s="1"/>
      <c r="HZ1333" s="1"/>
      <c r="IA1333" s="1"/>
      <c r="IB1333" s="1"/>
      <c r="IC1333" s="1"/>
      <c r="ID1333" s="1"/>
      <c r="IE1333" s="1"/>
      <c r="IF1333" s="1"/>
      <c r="IG1333" s="1"/>
      <c r="IH1333" s="1"/>
      <c r="II1333" s="1"/>
      <c r="IJ1333" s="1"/>
      <c r="IK1333" s="1"/>
      <c r="IL1333" s="1"/>
      <c r="IM1333" s="1"/>
      <c r="IN1333" s="1"/>
      <c r="IO1333" s="1"/>
      <c r="IP1333" s="1"/>
      <c r="IQ1333" s="1"/>
      <c r="IR1333" s="1"/>
      <c r="IS1333" s="1"/>
      <c r="IT1333" s="1"/>
      <c r="IU1333" s="1"/>
      <c r="IV1333" s="1"/>
      <c r="IW1333" s="1"/>
      <c r="IX1333" s="1"/>
      <c r="IY1333" s="1"/>
      <c r="IZ1333" s="1"/>
      <c r="JA1333" s="1"/>
      <c r="JB1333" s="1"/>
      <c r="JC1333" s="1"/>
      <c r="JD1333" s="1"/>
    </row>
    <row r="1334" s="504" customFormat="true" ht="12.75" hidden="false" customHeight="true" outlineLevel="0" collapsed="false">
      <c r="A1334" s="5"/>
      <c r="B1334" s="5"/>
      <c r="C1334" s="5"/>
      <c r="D1334" s="8"/>
      <c r="E1334" s="8"/>
      <c r="F1334" s="8"/>
      <c r="G1334" s="5"/>
      <c r="H1334" s="5"/>
      <c r="I1334" s="5"/>
      <c r="J1334" s="8"/>
      <c r="K1334" s="8"/>
      <c r="L1334" s="5"/>
      <c r="M1334" s="8"/>
      <c r="N1334" s="8"/>
      <c r="O1334" s="8"/>
      <c r="P1334" s="8"/>
      <c r="Q1334" s="5"/>
      <c r="R1334" s="5"/>
      <c r="S1334" s="5"/>
      <c r="T1334" s="5"/>
      <c r="U1334" s="5"/>
      <c r="V1334" s="10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02"/>
      <c r="AU1334" s="502"/>
      <c r="AV1334" s="606"/>
      <c r="AW1334" s="502"/>
      <c r="AX1334" s="502"/>
      <c r="AY1334" s="502"/>
      <c r="AZ1334" s="502"/>
      <c r="BA1334" s="502"/>
      <c r="BB1334" s="502"/>
      <c r="BC1334" s="502"/>
      <c r="BD1334" s="502"/>
      <c r="BE1334" s="502"/>
      <c r="BF1334" s="502"/>
      <c r="BG1334" s="502"/>
      <c r="BH1334" s="502"/>
      <c r="BI1334" s="502"/>
      <c r="BJ1334" s="502"/>
      <c r="BK1334" s="502"/>
      <c r="BL1334" s="502"/>
      <c r="BM1334" s="502"/>
      <c r="BN1334" s="502"/>
      <c r="BO1334" s="502"/>
      <c r="BP1334" s="5"/>
      <c r="BQ1334" s="5"/>
      <c r="BR1334" s="5"/>
      <c r="BS1334" s="5"/>
      <c r="BT1334" s="5"/>
      <c r="BU1334" s="5"/>
      <c r="BV1334" s="5"/>
      <c r="BW1334" s="5"/>
      <c r="BX1334" s="5"/>
      <c r="BY1334" s="5"/>
      <c r="BZ1334" s="5"/>
      <c r="CA1334" s="5"/>
      <c r="CB1334" s="5"/>
      <c r="CC1334" s="5"/>
      <c r="CD1334" s="5"/>
      <c r="CE1334" s="5"/>
      <c r="CF1334" s="5"/>
      <c r="CG1334" s="5"/>
      <c r="CH1334" s="5"/>
      <c r="CI1334" s="5"/>
      <c r="CJ1334" s="5"/>
      <c r="CK1334" s="5"/>
      <c r="CL1334" s="5"/>
      <c r="CM1334" s="5"/>
      <c r="CN1334" s="5"/>
      <c r="CO1334" s="5"/>
      <c r="CP1334" s="5"/>
      <c r="CQ1334" s="5"/>
      <c r="CR1334" s="5"/>
      <c r="CS1334" s="5"/>
      <c r="CT1334" s="5"/>
      <c r="CU1334" s="5"/>
      <c r="CV1334" s="5"/>
      <c r="CW1334" s="5"/>
      <c r="CX1334" s="5"/>
      <c r="CY1334" s="5"/>
      <c r="CZ1334" s="5"/>
      <c r="DA1334" s="5"/>
      <c r="DB1334" s="5"/>
      <c r="DC1334" s="5"/>
      <c r="DD1334" s="5"/>
      <c r="DE1334" s="5"/>
      <c r="DF1334" s="5"/>
      <c r="DG1334" s="5"/>
      <c r="DH1334" s="5"/>
      <c r="DI1334" s="5"/>
      <c r="DJ1334" s="5"/>
      <c r="DK1334" s="5"/>
      <c r="DL1334" s="5"/>
      <c r="DM1334" s="5"/>
      <c r="DN1334" s="5"/>
      <c r="DO1334" s="5"/>
      <c r="DP1334" s="5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  <c r="GV1334" s="1"/>
      <c r="GW1334" s="1"/>
      <c r="GX1334" s="1"/>
      <c r="GY1334" s="1"/>
      <c r="GZ1334" s="1"/>
      <c r="HA1334" s="1"/>
      <c r="HB1334" s="1"/>
      <c r="HC1334" s="1"/>
      <c r="HD1334" s="1"/>
      <c r="HE1334" s="1"/>
      <c r="HF1334" s="1"/>
      <c r="HG1334" s="1"/>
      <c r="HH1334" s="1"/>
      <c r="HI1334" s="1"/>
      <c r="HJ1334" s="1"/>
      <c r="HK1334" s="1"/>
      <c r="HL1334" s="1"/>
      <c r="HM1334" s="1"/>
      <c r="HN1334" s="1"/>
      <c r="HO1334" s="1"/>
      <c r="HP1334" s="1"/>
      <c r="HQ1334" s="1"/>
      <c r="HR1334" s="1"/>
      <c r="HS1334" s="1"/>
      <c r="HT1334" s="1"/>
      <c r="HU1334" s="1"/>
      <c r="HV1334" s="1"/>
      <c r="HW1334" s="1"/>
      <c r="HX1334" s="1"/>
      <c r="HY1334" s="1"/>
      <c r="HZ1334" s="1"/>
      <c r="IA1334" s="1"/>
      <c r="IB1334" s="1"/>
      <c r="IC1334" s="1"/>
      <c r="ID1334" s="1"/>
      <c r="IE1334" s="1"/>
      <c r="IF1334" s="1"/>
      <c r="IG1334" s="1"/>
      <c r="IH1334" s="1"/>
      <c r="II1334" s="1"/>
      <c r="IJ1334" s="1"/>
      <c r="IK1334" s="1"/>
      <c r="IL1334" s="1"/>
      <c r="IM1334" s="1"/>
      <c r="IN1334" s="1"/>
      <c r="IO1334" s="1"/>
      <c r="IP1334" s="1"/>
      <c r="IQ1334" s="1"/>
      <c r="IR1334" s="1"/>
      <c r="IS1334" s="1"/>
      <c r="IT1334" s="1"/>
      <c r="IU1334" s="1"/>
      <c r="IV1334" s="1"/>
      <c r="IW1334" s="1"/>
      <c r="IX1334" s="1"/>
      <c r="IY1334" s="1"/>
      <c r="IZ1334" s="1"/>
      <c r="JA1334" s="1"/>
      <c r="JB1334" s="1"/>
      <c r="JC1334" s="1"/>
      <c r="JD1334" s="1"/>
    </row>
    <row r="1335" s="504" customFormat="true" ht="12.75" hidden="false" customHeight="true" outlineLevel="0" collapsed="false">
      <c r="A1335" s="5"/>
      <c r="B1335" s="5"/>
      <c r="C1335" s="5"/>
      <c r="D1335" s="8"/>
      <c r="E1335" s="8"/>
      <c r="F1335" s="8"/>
      <c r="G1335" s="5"/>
      <c r="H1335" s="5"/>
      <c r="I1335" s="5"/>
      <c r="J1335" s="8"/>
      <c r="K1335" s="8"/>
      <c r="L1335" s="5"/>
      <c r="M1335" s="8"/>
      <c r="N1335" s="8"/>
      <c r="O1335" s="8"/>
      <c r="P1335" s="8"/>
      <c r="Q1335" s="5"/>
      <c r="R1335" s="5"/>
      <c r="S1335" s="5"/>
      <c r="T1335" s="5"/>
      <c r="U1335" s="5"/>
      <c r="V1335" s="10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02"/>
      <c r="AU1335" s="502"/>
      <c r="AV1335" s="606"/>
      <c r="AW1335" s="502"/>
      <c r="AX1335" s="502"/>
      <c r="AY1335" s="502"/>
      <c r="AZ1335" s="502"/>
      <c r="BA1335" s="502"/>
      <c r="BB1335" s="502"/>
      <c r="BC1335" s="502"/>
      <c r="BD1335" s="502"/>
      <c r="BE1335" s="502"/>
      <c r="BF1335" s="502"/>
      <c r="BG1335" s="502"/>
      <c r="BH1335" s="502"/>
      <c r="BI1335" s="502"/>
      <c r="BJ1335" s="502"/>
      <c r="BK1335" s="502"/>
      <c r="BL1335" s="502"/>
      <c r="BM1335" s="502"/>
      <c r="BN1335" s="502"/>
      <c r="BO1335" s="502"/>
      <c r="BP1335" s="5"/>
      <c r="BQ1335" s="5"/>
      <c r="BR1335" s="5"/>
      <c r="BS1335" s="5"/>
      <c r="BT1335" s="5"/>
      <c r="BU1335" s="5"/>
      <c r="BV1335" s="5"/>
      <c r="BW1335" s="5"/>
      <c r="BX1335" s="5"/>
      <c r="BY1335" s="5"/>
      <c r="BZ1335" s="5"/>
      <c r="CA1335" s="5"/>
      <c r="CB1335" s="5"/>
      <c r="CC1335" s="5"/>
      <c r="CD1335" s="5"/>
      <c r="CE1335" s="5"/>
      <c r="CF1335" s="5"/>
      <c r="CG1335" s="5"/>
      <c r="CH1335" s="5"/>
      <c r="CI1335" s="5"/>
      <c r="CJ1335" s="5"/>
      <c r="CK1335" s="5"/>
      <c r="CL1335" s="5"/>
      <c r="CM1335" s="5"/>
      <c r="CN1335" s="5"/>
      <c r="CO1335" s="5"/>
      <c r="CP1335" s="5"/>
      <c r="CQ1335" s="5"/>
      <c r="CR1335" s="5"/>
      <c r="CS1335" s="5"/>
      <c r="CT1335" s="5"/>
      <c r="CU1335" s="5"/>
      <c r="CV1335" s="5"/>
      <c r="CW1335" s="5"/>
      <c r="CX1335" s="5"/>
      <c r="CY1335" s="5"/>
      <c r="CZ1335" s="5"/>
      <c r="DA1335" s="5"/>
      <c r="DB1335" s="5"/>
      <c r="DC1335" s="5"/>
      <c r="DD1335" s="5"/>
      <c r="DE1335" s="5"/>
      <c r="DF1335" s="5"/>
      <c r="DG1335" s="5"/>
      <c r="DH1335" s="5"/>
      <c r="DI1335" s="5"/>
      <c r="DJ1335" s="5"/>
      <c r="DK1335" s="5"/>
      <c r="DL1335" s="5"/>
      <c r="DM1335" s="5"/>
      <c r="DN1335" s="5"/>
      <c r="DO1335" s="5"/>
      <c r="DP1335" s="5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  <c r="GV1335" s="1"/>
      <c r="GW1335" s="1"/>
      <c r="GX1335" s="1"/>
      <c r="GY1335" s="1"/>
      <c r="GZ1335" s="1"/>
      <c r="HA1335" s="1"/>
      <c r="HB1335" s="1"/>
      <c r="HC1335" s="1"/>
      <c r="HD1335" s="1"/>
      <c r="HE1335" s="1"/>
      <c r="HF1335" s="1"/>
      <c r="HG1335" s="1"/>
      <c r="HH1335" s="1"/>
      <c r="HI1335" s="1"/>
      <c r="HJ1335" s="1"/>
      <c r="HK1335" s="1"/>
      <c r="HL1335" s="1"/>
      <c r="HM1335" s="1"/>
      <c r="HN1335" s="1"/>
      <c r="HO1335" s="1"/>
      <c r="HP1335" s="1"/>
      <c r="HQ1335" s="1"/>
      <c r="HR1335" s="1"/>
      <c r="HS1335" s="1"/>
      <c r="HT1335" s="1"/>
      <c r="HU1335" s="1"/>
      <c r="HV1335" s="1"/>
      <c r="HW1335" s="1"/>
      <c r="HX1335" s="1"/>
      <c r="HY1335" s="1"/>
      <c r="HZ1335" s="1"/>
      <c r="IA1335" s="1"/>
      <c r="IB1335" s="1"/>
      <c r="IC1335" s="1"/>
      <c r="ID1335" s="1"/>
      <c r="IE1335" s="1"/>
      <c r="IF1335" s="1"/>
      <c r="IG1335" s="1"/>
      <c r="IH1335" s="1"/>
      <c r="II1335" s="1"/>
      <c r="IJ1335" s="1"/>
      <c r="IK1335" s="1"/>
      <c r="IL1335" s="1"/>
      <c r="IM1335" s="1"/>
      <c r="IN1335" s="1"/>
      <c r="IO1335" s="1"/>
      <c r="IP1335" s="1"/>
      <c r="IQ1335" s="1"/>
      <c r="IR1335" s="1"/>
      <c r="IS1335" s="1"/>
      <c r="IT1335" s="1"/>
      <c r="IU1335" s="1"/>
      <c r="IV1335" s="1"/>
      <c r="IW1335" s="1"/>
      <c r="IX1335" s="1"/>
      <c r="IY1335" s="1"/>
      <c r="IZ1335" s="1"/>
      <c r="JA1335" s="1"/>
      <c r="JB1335" s="1"/>
      <c r="JC1335" s="1"/>
      <c r="JD1335" s="1"/>
    </row>
    <row r="1336" s="504" customFormat="true" ht="12.75" hidden="false" customHeight="true" outlineLevel="0" collapsed="false">
      <c r="A1336" s="5"/>
      <c r="B1336" s="5"/>
      <c r="C1336" s="5"/>
      <c r="D1336" s="8"/>
      <c r="E1336" s="8"/>
      <c r="F1336" s="8"/>
      <c r="G1336" s="5"/>
      <c r="H1336" s="5"/>
      <c r="I1336" s="5"/>
      <c r="J1336" s="8"/>
      <c r="K1336" s="8"/>
      <c r="L1336" s="5"/>
      <c r="M1336" s="8"/>
      <c r="N1336" s="8"/>
      <c r="O1336" s="8"/>
      <c r="P1336" s="8"/>
      <c r="Q1336" s="5"/>
      <c r="R1336" s="5"/>
      <c r="S1336" s="5"/>
      <c r="T1336" s="5"/>
      <c r="U1336" s="5"/>
      <c r="V1336" s="10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02"/>
      <c r="AU1336" s="502"/>
      <c r="AV1336" s="606"/>
      <c r="AW1336" s="502"/>
      <c r="AX1336" s="502"/>
      <c r="AY1336" s="502"/>
      <c r="AZ1336" s="502"/>
      <c r="BA1336" s="502"/>
      <c r="BB1336" s="502"/>
      <c r="BC1336" s="502"/>
      <c r="BD1336" s="502"/>
      <c r="BE1336" s="502"/>
      <c r="BF1336" s="502"/>
      <c r="BG1336" s="502"/>
      <c r="BH1336" s="502"/>
      <c r="BI1336" s="502"/>
      <c r="BJ1336" s="502"/>
      <c r="BK1336" s="502"/>
      <c r="BL1336" s="502"/>
      <c r="BM1336" s="502"/>
      <c r="BN1336" s="502"/>
      <c r="BO1336" s="502"/>
      <c r="BP1336" s="5"/>
      <c r="BQ1336" s="5"/>
      <c r="BR1336" s="5"/>
      <c r="BS1336" s="5"/>
      <c r="BT1336" s="5"/>
      <c r="BU1336" s="5"/>
      <c r="BV1336" s="5"/>
      <c r="BW1336" s="5"/>
      <c r="BX1336" s="5"/>
      <c r="BY1336" s="5"/>
      <c r="BZ1336" s="5"/>
      <c r="CA1336" s="5"/>
      <c r="CB1336" s="5"/>
      <c r="CC1336" s="5"/>
      <c r="CD1336" s="5"/>
      <c r="CE1336" s="5"/>
      <c r="CF1336" s="5"/>
      <c r="CG1336" s="5"/>
      <c r="CH1336" s="5"/>
      <c r="CI1336" s="5"/>
      <c r="CJ1336" s="5"/>
      <c r="CK1336" s="5"/>
      <c r="CL1336" s="5"/>
      <c r="CM1336" s="5"/>
      <c r="CN1336" s="5"/>
      <c r="CO1336" s="5"/>
      <c r="CP1336" s="5"/>
      <c r="CQ1336" s="5"/>
      <c r="CR1336" s="5"/>
      <c r="CS1336" s="5"/>
      <c r="CT1336" s="5"/>
      <c r="CU1336" s="5"/>
      <c r="CV1336" s="5"/>
      <c r="CW1336" s="5"/>
      <c r="CX1336" s="5"/>
      <c r="CY1336" s="5"/>
      <c r="CZ1336" s="5"/>
      <c r="DA1336" s="5"/>
      <c r="DB1336" s="5"/>
      <c r="DC1336" s="5"/>
      <c r="DD1336" s="5"/>
      <c r="DE1336" s="5"/>
      <c r="DF1336" s="5"/>
      <c r="DG1336" s="5"/>
      <c r="DH1336" s="5"/>
      <c r="DI1336" s="5"/>
      <c r="DJ1336" s="5"/>
      <c r="DK1336" s="5"/>
      <c r="DL1336" s="5"/>
      <c r="DM1336" s="5"/>
      <c r="DN1336" s="5"/>
      <c r="DO1336" s="5"/>
      <c r="DP1336" s="5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  <c r="GV1336" s="1"/>
      <c r="GW1336" s="1"/>
      <c r="GX1336" s="1"/>
      <c r="GY1336" s="1"/>
      <c r="GZ1336" s="1"/>
      <c r="HA1336" s="1"/>
      <c r="HB1336" s="1"/>
      <c r="HC1336" s="1"/>
      <c r="HD1336" s="1"/>
      <c r="HE1336" s="1"/>
      <c r="HF1336" s="1"/>
      <c r="HG1336" s="1"/>
      <c r="HH1336" s="1"/>
      <c r="HI1336" s="1"/>
      <c r="HJ1336" s="1"/>
      <c r="HK1336" s="1"/>
      <c r="HL1336" s="1"/>
      <c r="HM1336" s="1"/>
      <c r="HN1336" s="1"/>
      <c r="HO1336" s="1"/>
      <c r="HP1336" s="1"/>
      <c r="HQ1336" s="1"/>
      <c r="HR1336" s="1"/>
      <c r="HS1336" s="1"/>
      <c r="HT1336" s="1"/>
      <c r="HU1336" s="1"/>
      <c r="HV1336" s="1"/>
      <c r="HW1336" s="1"/>
      <c r="HX1336" s="1"/>
      <c r="HY1336" s="1"/>
      <c r="HZ1336" s="1"/>
      <c r="IA1336" s="1"/>
      <c r="IB1336" s="1"/>
      <c r="IC1336" s="1"/>
      <c r="ID1336" s="1"/>
      <c r="IE1336" s="1"/>
      <c r="IF1336" s="1"/>
      <c r="IG1336" s="1"/>
      <c r="IH1336" s="1"/>
      <c r="II1336" s="1"/>
      <c r="IJ1336" s="1"/>
      <c r="IK1336" s="1"/>
      <c r="IL1336" s="1"/>
      <c r="IM1336" s="1"/>
      <c r="IN1336" s="1"/>
      <c r="IO1336" s="1"/>
      <c r="IP1336" s="1"/>
      <c r="IQ1336" s="1"/>
      <c r="IR1336" s="1"/>
      <c r="IS1336" s="1"/>
      <c r="IT1336" s="1"/>
      <c r="IU1336" s="1"/>
      <c r="IV1336" s="1"/>
      <c r="IW1336" s="1"/>
      <c r="IX1336" s="1"/>
      <c r="IY1336" s="1"/>
      <c r="IZ1336" s="1"/>
      <c r="JA1336" s="1"/>
      <c r="JB1336" s="1"/>
      <c r="JC1336" s="1"/>
      <c r="JD1336" s="1"/>
    </row>
    <row r="1337" s="504" customFormat="true" ht="12.75" hidden="false" customHeight="true" outlineLevel="0" collapsed="false">
      <c r="A1337" s="5"/>
      <c r="B1337" s="5"/>
      <c r="C1337" s="5"/>
      <c r="D1337" s="8"/>
      <c r="E1337" s="8"/>
      <c r="F1337" s="8"/>
      <c r="G1337" s="5"/>
      <c r="H1337" s="5"/>
      <c r="I1337" s="5"/>
      <c r="J1337" s="8"/>
      <c r="K1337" s="8"/>
      <c r="L1337" s="5"/>
      <c r="M1337" s="8"/>
      <c r="N1337" s="8"/>
      <c r="O1337" s="8"/>
      <c r="P1337" s="8"/>
      <c r="Q1337" s="5"/>
      <c r="R1337" s="5"/>
      <c r="S1337" s="5"/>
      <c r="T1337" s="5"/>
      <c r="U1337" s="5"/>
      <c r="V1337" s="10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02"/>
      <c r="AU1337" s="502"/>
      <c r="AV1337" s="606"/>
      <c r="AW1337" s="502"/>
      <c r="AX1337" s="502"/>
      <c r="AY1337" s="502"/>
      <c r="AZ1337" s="502"/>
      <c r="BA1337" s="502"/>
      <c r="BB1337" s="502"/>
      <c r="BC1337" s="502"/>
      <c r="BD1337" s="502"/>
      <c r="BE1337" s="502"/>
      <c r="BF1337" s="502"/>
      <c r="BG1337" s="502"/>
      <c r="BH1337" s="502"/>
      <c r="BI1337" s="502"/>
      <c r="BJ1337" s="502"/>
      <c r="BK1337" s="502"/>
      <c r="BL1337" s="502"/>
      <c r="BM1337" s="502"/>
      <c r="BN1337" s="502"/>
      <c r="BO1337" s="502"/>
      <c r="BP1337" s="5"/>
      <c r="BQ1337" s="5"/>
      <c r="BR1337" s="5"/>
      <c r="BS1337" s="5"/>
      <c r="BT1337" s="5"/>
      <c r="BU1337" s="5"/>
      <c r="BV1337" s="5"/>
      <c r="BW1337" s="5"/>
      <c r="BX1337" s="5"/>
      <c r="BY1337" s="5"/>
      <c r="BZ1337" s="5"/>
      <c r="CA1337" s="5"/>
      <c r="CB1337" s="5"/>
      <c r="CC1337" s="5"/>
      <c r="CD1337" s="5"/>
      <c r="CE1337" s="5"/>
      <c r="CF1337" s="5"/>
      <c r="CG1337" s="5"/>
      <c r="CH1337" s="5"/>
      <c r="CI1337" s="5"/>
      <c r="CJ1337" s="5"/>
      <c r="CK1337" s="5"/>
      <c r="CL1337" s="5"/>
      <c r="CM1337" s="5"/>
      <c r="CN1337" s="5"/>
      <c r="CO1337" s="5"/>
      <c r="CP1337" s="5"/>
      <c r="CQ1337" s="5"/>
      <c r="CR1337" s="5"/>
      <c r="CS1337" s="5"/>
      <c r="CT1337" s="5"/>
      <c r="CU1337" s="5"/>
      <c r="CV1337" s="5"/>
      <c r="CW1337" s="5"/>
      <c r="CX1337" s="5"/>
      <c r="CY1337" s="5"/>
      <c r="CZ1337" s="5"/>
      <c r="DA1337" s="5"/>
      <c r="DB1337" s="5"/>
      <c r="DC1337" s="5"/>
      <c r="DD1337" s="5"/>
      <c r="DE1337" s="5"/>
      <c r="DF1337" s="5"/>
      <c r="DG1337" s="5"/>
      <c r="DH1337" s="5"/>
      <c r="DI1337" s="5"/>
      <c r="DJ1337" s="5"/>
      <c r="DK1337" s="5"/>
      <c r="DL1337" s="5"/>
      <c r="DM1337" s="5"/>
      <c r="DN1337" s="5"/>
      <c r="DO1337" s="5"/>
      <c r="DP1337" s="5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  <c r="GV1337" s="1"/>
      <c r="GW1337" s="1"/>
      <c r="GX1337" s="1"/>
      <c r="GY1337" s="1"/>
      <c r="GZ1337" s="1"/>
      <c r="HA1337" s="1"/>
      <c r="HB1337" s="1"/>
      <c r="HC1337" s="1"/>
      <c r="HD1337" s="1"/>
      <c r="HE1337" s="1"/>
      <c r="HF1337" s="1"/>
      <c r="HG1337" s="1"/>
      <c r="HH1337" s="1"/>
      <c r="HI1337" s="1"/>
      <c r="HJ1337" s="1"/>
      <c r="HK1337" s="1"/>
      <c r="HL1337" s="1"/>
      <c r="HM1337" s="1"/>
      <c r="HN1337" s="1"/>
      <c r="HO1337" s="1"/>
      <c r="HP1337" s="1"/>
      <c r="HQ1337" s="1"/>
      <c r="HR1337" s="1"/>
      <c r="HS1337" s="1"/>
      <c r="HT1337" s="1"/>
      <c r="HU1337" s="1"/>
      <c r="HV1337" s="1"/>
      <c r="HW1337" s="1"/>
      <c r="HX1337" s="1"/>
      <c r="HY1337" s="1"/>
      <c r="HZ1337" s="1"/>
      <c r="IA1337" s="1"/>
      <c r="IB1337" s="1"/>
      <c r="IC1337" s="1"/>
      <c r="ID1337" s="1"/>
      <c r="IE1337" s="1"/>
      <c r="IF1337" s="1"/>
      <c r="IG1337" s="1"/>
      <c r="IH1337" s="1"/>
      <c r="II1337" s="1"/>
      <c r="IJ1337" s="1"/>
      <c r="IK1337" s="1"/>
      <c r="IL1337" s="1"/>
      <c r="IM1337" s="1"/>
      <c r="IN1337" s="1"/>
      <c r="IO1337" s="1"/>
      <c r="IP1337" s="1"/>
      <c r="IQ1337" s="1"/>
      <c r="IR1337" s="1"/>
      <c r="IS1337" s="1"/>
      <c r="IT1337" s="1"/>
      <c r="IU1337" s="1"/>
      <c r="IV1337" s="1"/>
      <c r="IW1337" s="1"/>
      <c r="IX1337" s="1"/>
      <c r="IY1337" s="1"/>
      <c r="IZ1337" s="1"/>
      <c r="JA1337" s="1"/>
      <c r="JB1337" s="1"/>
      <c r="JC1337" s="1"/>
      <c r="JD1337" s="1"/>
    </row>
    <row r="1338" s="504" customFormat="true" ht="12.75" hidden="false" customHeight="true" outlineLevel="0" collapsed="false">
      <c r="A1338" s="5"/>
      <c r="B1338" s="5"/>
      <c r="C1338" s="5"/>
      <c r="D1338" s="8"/>
      <c r="E1338" s="8"/>
      <c r="F1338" s="8"/>
      <c r="G1338" s="5"/>
      <c r="H1338" s="5"/>
      <c r="I1338" s="5"/>
      <c r="J1338" s="8"/>
      <c r="K1338" s="8"/>
      <c r="L1338" s="5"/>
      <c r="M1338" s="8"/>
      <c r="N1338" s="8"/>
      <c r="O1338" s="8"/>
      <c r="P1338" s="8"/>
      <c r="Q1338" s="5"/>
      <c r="R1338" s="5"/>
      <c r="S1338" s="5"/>
      <c r="T1338" s="5"/>
      <c r="U1338" s="5"/>
      <c r="V1338" s="10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02"/>
      <c r="AU1338" s="502"/>
      <c r="AV1338" s="606"/>
      <c r="AW1338" s="502"/>
      <c r="AX1338" s="502"/>
      <c r="AY1338" s="502"/>
      <c r="AZ1338" s="502"/>
      <c r="BA1338" s="502"/>
      <c r="BB1338" s="502"/>
      <c r="BC1338" s="502"/>
      <c r="BD1338" s="502"/>
      <c r="BE1338" s="502"/>
      <c r="BF1338" s="502"/>
      <c r="BG1338" s="502"/>
      <c r="BH1338" s="502"/>
      <c r="BI1338" s="502"/>
      <c r="BJ1338" s="502"/>
      <c r="BK1338" s="502"/>
      <c r="BL1338" s="502"/>
      <c r="BM1338" s="502"/>
      <c r="BN1338" s="502"/>
      <c r="BO1338" s="502"/>
      <c r="BP1338" s="5"/>
      <c r="BQ1338" s="5"/>
      <c r="BR1338" s="5"/>
      <c r="BS1338" s="5"/>
      <c r="BT1338" s="5"/>
      <c r="BU1338" s="5"/>
      <c r="BV1338" s="5"/>
      <c r="BW1338" s="5"/>
      <c r="BX1338" s="5"/>
      <c r="BY1338" s="5"/>
      <c r="BZ1338" s="5"/>
      <c r="CA1338" s="5"/>
      <c r="CB1338" s="5"/>
      <c r="CC1338" s="5"/>
      <c r="CD1338" s="5"/>
      <c r="CE1338" s="5"/>
      <c r="CF1338" s="5"/>
      <c r="CG1338" s="5"/>
      <c r="CH1338" s="5"/>
      <c r="CI1338" s="5"/>
      <c r="CJ1338" s="5"/>
      <c r="CK1338" s="5"/>
      <c r="CL1338" s="5"/>
      <c r="CM1338" s="5"/>
      <c r="CN1338" s="5"/>
      <c r="CO1338" s="5"/>
      <c r="CP1338" s="5"/>
      <c r="CQ1338" s="5"/>
      <c r="CR1338" s="5"/>
      <c r="CS1338" s="5"/>
      <c r="CT1338" s="5"/>
      <c r="CU1338" s="5"/>
      <c r="CV1338" s="5"/>
      <c r="CW1338" s="5"/>
      <c r="CX1338" s="5"/>
      <c r="CY1338" s="5"/>
      <c r="CZ1338" s="5"/>
      <c r="DA1338" s="5"/>
      <c r="DB1338" s="5"/>
      <c r="DC1338" s="5"/>
      <c r="DD1338" s="5"/>
      <c r="DE1338" s="5"/>
      <c r="DF1338" s="5"/>
      <c r="DG1338" s="5"/>
      <c r="DH1338" s="5"/>
      <c r="DI1338" s="5"/>
      <c r="DJ1338" s="5"/>
      <c r="DK1338" s="5"/>
      <c r="DL1338" s="5"/>
      <c r="DM1338" s="5"/>
      <c r="DN1338" s="5"/>
      <c r="DO1338" s="5"/>
      <c r="DP1338" s="5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  <c r="GV1338" s="1"/>
      <c r="GW1338" s="1"/>
      <c r="GX1338" s="1"/>
      <c r="GY1338" s="1"/>
      <c r="GZ1338" s="1"/>
      <c r="HA1338" s="1"/>
      <c r="HB1338" s="1"/>
      <c r="HC1338" s="1"/>
      <c r="HD1338" s="1"/>
      <c r="HE1338" s="1"/>
      <c r="HF1338" s="1"/>
      <c r="HG1338" s="1"/>
      <c r="HH1338" s="1"/>
      <c r="HI1338" s="1"/>
      <c r="HJ1338" s="1"/>
      <c r="HK1338" s="1"/>
      <c r="HL1338" s="1"/>
      <c r="HM1338" s="1"/>
      <c r="HN1338" s="1"/>
      <c r="HO1338" s="1"/>
      <c r="HP1338" s="1"/>
      <c r="HQ1338" s="1"/>
      <c r="HR1338" s="1"/>
      <c r="HS1338" s="1"/>
      <c r="HT1338" s="1"/>
      <c r="HU1338" s="1"/>
      <c r="HV1338" s="1"/>
      <c r="HW1338" s="1"/>
      <c r="HX1338" s="1"/>
      <c r="HY1338" s="1"/>
      <c r="HZ1338" s="1"/>
      <c r="IA1338" s="1"/>
      <c r="IB1338" s="1"/>
      <c r="IC1338" s="1"/>
      <c r="ID1338" s="1"/>
      <c r="IE1338" s="1"/>
      <c r="IF1338" s="1"/>
      <c r="IG1338" s="1"/>
      <c r="IH1338" s="1"/>
      <c r="II1338" s="1"/>
      <c r="IJ1338" s="1"/>
      <c r="IK1338" s="1"/>
      <c r="IL1338" s="1"/>
      <c r="IM1338" s="1"/>
      <c r="IN1338" s="1"/>
      <c r="IO1338" s="1"/>
      <c r="IP1338" s="1"/>
      <c r="IQ1338" s="1"/>
      <c r="IR1338" s="1"/>
      <c r="IS1338" s="1"/>
      <c r="IT1338" s="1"/>
      <c r="IU1338" s="1"/>
      <c r="IV1338" s="1"/>
      <c r="IW1338" s="1"/>
      <c r="IX1338" s="1"/>
      <c r="IY1338" s="1"/>
      <c r="IZ1338" s="1"/>
      <c r="JA1338" s="1"/>
      <c r="JB1338" s="1"/>
      <c r="JC1338" s="1"/>
      <c r="JD1338" s="1"/>
    </row>
    <row r="1339" s="504" customFormat="true" ht="12.75" hidden="false" customHeight="true" outlineLevel="0" collapsed="false">
      <c r="A1339" s="5"/>
      <c r="B1339" s="5"/>
      <c r="C1339" s="5"/>
      <c r="D1339" s="8"/>
      <c r="E1339" s="8"/>
      <c r="F1339" s="8"/>
      <c r="G1339" s="5"/>
      <c r="H1339" s="5"/>
      <c r="I1339" s="5"/>
      <c r="J1339" s="8"/>
      <c r="K1339" s="8"/>
      <c r="L1339" s="5"/>
      <c r="M1339" s="8"/>
      <c r="N1339" s="8"/>
      <c r="O1339" s="8"/>
      <c r="P1339" s="8"/>
      <c r="Q1339" s="5"/>
      <c r="R1339" s="5"/>
      <c r="S1339" s="5"/>
      <c r="T1339" s="5"/>
      <c r="U1339" s="5"/>
      <c r="V1339" s="10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02"/>
      <c r="AU1339" s="502"/>
      <c r="AV1339" s="606"/>
      <c r="AW1339" s="502"/>
      <c r="AX1339" s="502"/>
      <c r="AY1339" s="502"/>
      <c r="AZ1339" s="502"/>
      <c r="BA1339" s="502"/>
      <c r="BB1339" s="502"/>
      <c r="BC1339" s="502"/>
      <c r="BD1339" s="502"/>
      <c r="BE1339" s="502"/>
      <c r="BF1339" s="502"/>
      <c r="BG1339" s="502"/>
      <c r="BH1339" s="502"/>
      <c r="BI1339" s="502"/>
      <c r="BJ1339" s="502"/>
      <c r="BK1339" s="502"/>
      <c r="BL1339" s="502"/>
      <c r="BM1339" s="502"/>
      <c r="BN1339" s="502"/>
      <c r="BO1339" s="502"/>
      <c r="BP1339" s="5"/>
      <c r="BQ1339" s="5"/>
      <c r="BR1339" s="5"/>
      <c r="BS1339" s="5"/>
      <c r="BT1339" s="5"/>
      <c r="BU1339" s="5"/>
      <c r="BV1339" s="5"/>
      <c r="BW1339" s="5"/>
      <c r="BX1339" s="5"/>
      <c r="BY1339" s="5"/>
      <c r="BZ1339" s="5"/>
      <c r="CA1339" s="5"/>
      <c r="CB1339" s="5"/>
      <c r="CC1339" s="5"/>
      <c r="CD1339" s="5"/>
      <c r="CE1339" s="5"/>
      <c r="CF1339" s="5"/>
      <c r="CG1339" s="5"/>
      <c r="CH1339" s="5"/>
      <c r="CI1339" s="5"/>
      <c r="CJ1339" s="5"/>
      <c r="CK1339" s="5"/>
      <c r="CL1339" s="5"/>
      <c r="CM1339" s="5"/>
      <c r="CN1339" s="5"/>
      <c r="CO1339" s="5"/>
      <c r="CP1339" s="5"/>
      <c r="CQ1339" s="5"/>
      <c r="CR1339" s="5"/>
      <c r="CS1339" s="5"/>
      <c r="CT1339" s="5"/>
      <c r="CU1339" s="5"/>
      <c r="CV1339" s="5"/>
      <c r="CW1339" s="5"/>
      <c r="CX1339" s="5"/>
      <c r="CY1339" s="5"/>
      <c r="CZ1339" s="5"/>
      <c r="DA1339" s="5"/>
      <c r="DB1339" s="5"/>
      <c r="DC1339" s="5"/>
      <c r="DD1339" s="5"/>
      <c r="DE1339" s="5"/>
      <c r="DF1339" s="5"/>
      <c r="DG1339" s="5"/>
      <c r="DH1339" s="5"/>
      <c r="DI1339" s="5"/>
      <c r="DJ1339" s="5"/>
      <c r="DK1339" s="5"/>
      <c r="DL1339" s="5"/>
      <c r="DM1339" s="5"/>
      <c r="DN1339" s="5"/>
      <c r="DO1339" s="5"/>
      <c r="DP1339" s="5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  <c r="GV1339" s="1"/>
      <c r="GW1339" s="1"/>
      <c r="GX1339" s="1"/>
      <c r="GY1339" s="1"/>
      <c r="GZ1339" s="1"/>
      <c r="HA1339" s="1"/>
      <c r="HB1339" s="1"/>
      <c r="HC1339" s="1"/>
      <c r="HD1339" s="1"/>
      <c r="HE1339" s="1"/>
      <c r="HF1339" s="1"/>
      <c r="HG1339" s="1"/>
      <c r="HH1339" s="1"/>
      <c r="HI1339" s="1"/>
      <c r="HJ1339" s="1"/>
      <c r="HK1339" s="1"/>
      <c r="HL1339" s="1"/>
      <c r="HM1339" s="1"/>
      <c r="HN1339" s="1"/>
      <c r="HO1339" s="1"/>
      <c r="HP1339" s="1"/>
      <c r="HQ1339" s="1"/>
      <c r="HR1339" s="1"/>
      <c r="HS1339" s="1"/>
      <c r="HT1339" s="1"/>
      <c r="HU1339" s="1"/>
      <c r="HV1339" s="1"/>
      <c r="HW1339" s="1"/>
      <c r="HX1339" s="1"/>
      <c r="HY1339" s="1"/>
      <c r="HZ1339" s="1"/>
      <c r="IA1339" s="1"/>
      <c r="IB1339" s="1"/>
      <c r="IC1339" s="1"/>
      <c r="ID1339" s="1"/>
      <c r="IE1339" s="1"/>
      <c r="IF1339" s="1"/>
      <c r="IG1339" s="1"/>
      <c r="IH1339" s="1"/>
      <c r="II1339" s="1"/>
      <c r="IJ1339" s="1"/>
      <c r="IK1339" s="1"/>
      <c r="IL1339" s="1"/>
      <c r="IM1339" s="1"/>
      <c r="IN1339" s="1"/>
      <c r="IO1339" s="1"/>
      <c r="IP1339" s="1"/>
      <c r="IQ1339" s="1"/>
      <c r="IR1339" s="1"/>
      <c r="IS1339" s="1"/>
      <c r="IT1339" s="1"/>
      <c r="IU1339" s="1"/>
      <c r="IV1339" s="1"/>
      <c r="IW1339" s="1"/>
      <c r="IX1339" s="1"/>
      <c r="IY1339" s="1"/>
      <c r="IZ1339" s="1"/>
      <c r="JA1339" s="1"/>
      <c r="JB1339" s="1"/>
      <c r="JC1339" s="1"/>
      <c r="JD1339" s="1"/>
    </row>
    <row r="1340" s="504" customFormat="true" ht="12.75" hidden="false" customHeight="true" outlineLevel="0" collapsed="false">
      <c r="A1340" s="5"/>
      <c r="B1340" s="5"/>
      <c r="C1340" s="5"/>
      <c r="D1340" s="8"/>
      <c r="E1340" s="8"/>
      <c r="F1340" s="8"/>
      <c r="G1340" s="5"/>
      <c r="H1340" s="5"/>
      <c r="I1340" s="5"/>
      <c r="J1340" s="8"/>
      <c r="K1340" s="8"/>
      <c r="L1340" s="5"/>
      <c r="M1340" s="8"/>
      <c r="N1340" s="8"/>
      <c r="O1340" s="8"/>
      <c r="P1340" s="8"/>
      <c r="Q1340" s="5"/>
      <c r="R1340" s="5"/>
      <c r="S1340" s="5"/>
      <c r="T1340" s="5"/>
      <c r="U1340" s="5"/>
      <c r="V1340" s="10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02"/>
      <c r="AU1340" s="502"/>
      <c r="AV1340" s="606"/>
      <c r="AW1340" s="502"/>
      <c r="AX1340" s="502"/>
      <c r="AY1340" s="502"/>
      <c r="AZ1340" s="502"/>
      <c r="BA1340" s="502"/>
      <c r="BB1340" s="502"/>
      <c r="BC1340" s="502"/>
      <c r="BD1340" s="502"/>
      <c r="BE1340" s="502"/>
      <c r="BF1340" s="502"/>
      <c r="BG1340" s="502"/>
      <c r="BH1340" s="502"/>
      <c r="BI1340" s="502"/>
      <c r="BJ1340" s="502"/>
      <c r="BK1340" s="502"/>
      <c r="BL1340" s="502"/>
      <c r="BM1340" s="502"/>
      <c r="BN1340" s="502"/>
      <c r="BO1340" s="502"/>
      <c r="BP1340" s="5"/>
      <c r="BQ1340" s="5"/>
      <c r="BR1340" s="5"/>
      <c r="BS1340" s="5"/>
      <c r="BT1340" s="5"/>
      <c r="BU1340" s="5"/>
      <c r="BV1340" s="5"/>
      <c r="BW1340" s="5"/>
      <c r="BX1340" s="5"/>
      <c r="BY1340" s="5"/>
      <c r="BZ1340" s="5"/>
      <c r="CA1340" s="5"/>
      <c r="CB1340" s="5"/>
      <c r="CC1340" s="5"/>
      <c r="CD1340" s="5"/>
      <c r="CE1340" s="5"/>
      <c r="CF1340" s="5"/>
      <c r="CG1340" s="5"/>
      <c r="CH1340" s="5"/>
      <c r="CI1340" s="5"/>
      <c r="CJ1340" s="5"/>
      <c r="CK1340" s="5"/>
      <c r="CL1340" s="5"/>
      <c r="CM1340" s="5"/>
      <c r="CN1340" s="5"/>
      <c r="CO1340" s="5"/>
      <c r="CP1340" s="5"/>
      <c r="CQ1340" s="5"/>
      <c r="CR1340" s="5"/>
      <c r="CS1340" s="5"/>
      <c r="CT1340" s="5"/>
      <c r="CU1340" s="5"/>
      <c r="CV1340" s="5"/>
      <c r="CW1340" s="5"/>
      <c r="CX1340" s="5"/>
      <c r="CY1340" s="5"/>
      <c r="CZ1340" s="5"/>
      <c r="DA1340" s="5"/>
      <c r="DB1340" s="5"/>
      <c r="DC1340" s="5"/>
      <c r="DD1340" s="5"/>
      <c r="DE1340" s="5"/>
      <c r="DF1340" s="5"/>
      <c r="DG1340" s="5"/>
      <c r="DH1340" s="5"/>
      <c r="DI1340" s="5"/>
      <c r="DJ1340" s="5"/>
      <c r="DK1340" s="5"/>
      <c r="DL1340" s="5"/>
      <c r="DM1340" s="5"/>
      <c r="DN1340" s="5"/>
      <c r="DO1340" s="5"/>
      <c r="DP1340" s="5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  <c r="GV1340" s="1"/>
      <c r="GW1340" s="1"/>
      <c r="GX1340" s="1"/>
      <c r="GY1340" s="1"/>
      <c r="GZ1340" s="1"/>
      <c r="HA1340" s="1"/>
      <c r="HB1340" s="1"/>
      <c r="HC1340" s="1"/>
      <c r="HD1340" s="1"/>
      <c r="HE1340" s="1"/>
      <c r="HF1340" s="1"/>
      <c r="HG1340" s="1"/>
      <c r="HH1340" s="1"/>
      <c r="HI1340" s="1"/>
      <c r="HJ1340" s="1"/>
      <c r="HK1340" s="1"/>
      <c r="HL1340" s="1"/>
      <c r="HM1340" s="1"/>
      <c r="HN1340" s="1"/>
      <c r="HO1340" s="1"/>
      <c r="HP1340" s="1"/>
      <c r="HQ1340" s="1"/>
      <c r="HR1340" s="1"/>
      <c r="HS1340" s="1"/>
      <c r="HT1340" s="1"/>
      <c r="HU1340" s="1"/>
      <c r="HV1340" s="1"/>
      <c r="HW1340" s="1"/>
      <c r="HX1340" s="1"/>
      <c r="HY1340" s="1"/>
      <c r="HZ1340" s="1"/>
      <c r="IA1340" s="1"/>
      <c r="IB1340" s="1"/>
      <c r="IC1340" s="1"/>
      <c r="ID1340" s="1"/>
      <c r="IE1340" s="1"/>
      <c r="IF1340" s="1"/>
      <c r="IG1340" s="1"/>
      <c r="IH1340" s="1"/>
      <c r="II1340" s="1"/>
      <c r="IJ1340" s="1"/>
      <c r="IK1340" s="1"/>
      <c r="IL1340" s="1"/>
      <c r="IM1340" s="1"/>
      <c r="IN1340" s="1"/>
      <c r="IO1340" s="1"/>
      <c r="IP1340" s="1"/>
      <c r="IQ1340" s="1"/>
      <c r="IR1340" s="1"/>
      <c r="IS1340" s="1"/>
      <c r="IT1340" s="1"/>
      <c r="IU1340" s="1"/>
      <c r="IV1340" s="1"/>
      <c r="IW1340" s="1"/>
      <c r="IX1340" s="1"/>
      <c r="IY1340" s="1"/>
      <c r="IZ1340" s="1"/>
      <c r="JA1340" s="1"/>
      <c r="JB1340" s="1"/>
      <c r="JC1340" s="1"/>
      <c r="JD1340" s="1"/>
    </row>
    <row r="1341" s="504" customFormat="true" ht="12.75" hidden="false" customHeight="true" outlineLevel="0" collapsed="false">
      <c r="A1341" s="5"/>
      <c r="B1341" s="5"/>
      <c r="C1341" s="5"/>
      <c r="D1341" s="8"/>
      <c r="E1341" s="8"/>
      <c r="F1341" s="8"/>
      <c r="G1341" s="5"/>
      <c r="H1341" s="5"/>
      <c r="I1341" s="5"/>
      <c r="J1341" s="8"/>
      <c r="K1341" s="8"/>
      <c r="L1341" s="5"/>
      <c r="M1341" s="8"/>
      <c r="N1341" s="8"/>
      <c r="O1341" s="8"/>
      <c r="P1341" s="8"/>
      <c r="Q1341" s="5"/>
      <c r="R1341" s="5"/>
      <c r="S1341" s="5"/>
      <c r="T1341" s="5"/>
      <c r="U1341" s="5"/>
      <c r="V1341" s="10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02"/>
      <c r="AU1341" s="502"/>
      <c r="AV1341" s="606"/>
      <c r="AW1341" s="502"/>
      <c r="AX1341" s="502"/>
      <c r="AY1341" s="502"/>
      <c r="AZ1341" s="502"/>
      <c r="BA1341" s="502"/>
      <c r="BB1341" s="502"/>
      <c r="BC1341" s="502"/>
      <c r="BD1341" s="502"/>
      <c r="BE1341" s="502"/>
      <c r="BF1341" s="502"/>
      <c r="BG1341" s="502"/>
      <c r="BH1341" s="502"/>
      <c r="BI1341" s="502"/>
      <c r="BJ1341" s="502"/>
      <c r="BK1341" s="502"/>
      <c r="BL1341" s="502"/>
      <c r="BM1341" s="502"/>
      <c r="BN1341" s="502"/>
      <c r="BO1341" s="502"/>
      <c r="BP1341" s="5"/>
      <c r="BQ1341" s="5"/>
      <c r="BR1341" s="5"/>
      <c r="BS1341" s="5"/>
      <c r="BT1341" s="5"/>
      <c r="BU1341" s="5"/>
      <c r="BV1341" s="5"/>
      <c r="BW1341" s="5"/>
      <c r="BX1341" s="5"/>
      <c r="BY1341" s="5"/>
      <c r="BZ1341" s="5"/>
      <c r="CA1341" s="5"/>
      <c r="CB1341" s="5"/>
      <c r="CC1341" s="5"/>
      <c r="CD1341" s="5"/>
      <c r="CE1341" s="5"/>
      <c r="CF1341" s="5"/>
      <c r="CG1341" s="5"/>
      <c r="CH1341" s="5"/>
      <c r="CI1341" s="5"/>
      <c r="CJ1341" s="5"/>
      <c r="CK1341" s="5"/>
      <c r="CL1341" s="5"/>
      <c r="CM1341" s="5"/>
      <c r="CN1341" s="5"/>
      <c r="CO1341" s="5"/>
      <c r="CP1341" s="5"/>
      <c r="CQ1341" s="5"/>
      <c r="CR1341" s="5"/>
      <c r="CS1341" s="5"/>
      <c r="CT1341" s="5"/>
      <c r="CU1341" s="5"/>
      <c r="CV1341" s="5"/>
      <c r="CW1341" s="5"/>
      <c r="CX1341" s="5"/>
      <c r="CY1341" s="5"/>
      <c r="CZ1341" s="5"/>
      <c r="DA1341" s="5"/>
      <c r="DB1341" s="5"/>
      <c r="DC1341" s="5"/>
      <c r="DD1341" s="5"/>
      <c r="DE1341" s="5"/>
      <c r="DF1341" s="5"/>
      <c r="DG1341" s="5"/>
      <c r="DH1341" s="5"/>
      <c r="DI1341" s="5"/>
      <c r="DJ1341" s="5"/>
      <c r="DK1341" s="5"/>
      <c r="DL1341" s="5"/>
      <c r="DM1341" s="5"/>
      <c r="DN1341" s="5"/>
      <c r="DO1341" s="5"/>
      <c r="DP1341" s="5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  <c r="GV1341" s="1"/>
      <c r="GW1341" s="1"/>
      <c r="GX1341" s="1"/>
      <c r="GY1341" s="1"/>
      <c r="GZ1341" s="1"/>
      <c r="HA1341" s="1"/>
      <c r="HB1341" s="1"/>
      <c r="HC1341" s="1"/>
      <c r="HD1341" s="1"/>
      <c r="HE1341" s="1"/>
      <c r="HF1341" s="1"/>
      <c r="HG1341" s="1"/>
      <c r="HH1341" s="1"/>
      <c r="HI1341" s="1"/>
      <c r="HJ1341" s="1"/>
      <c r="HK1341" s="1"/>
      <c r="HL1341" s="1"/>
      <c r="HM1341" s="1"/>
      <c r="HN1341" s="1"/>
      <c r="HO1341" s="1"/>
      <c r="HP1341" s="1"/>
      <c r="HQ1341" s="1"/>
      <c r="HR1341" s="1"/>
      <c r="HS1341" s="1"/>
      <c r="HT1341" s="1"/>
      <c r="HU1341" s="1"/>
      <c r="HV1341" s="1"/>
      <c r="HW1341" s="1"/>
      <c r="HX1341" s="1"/>
      <c r="HY1341" s="1"/>
      <c r="HZ1341" s="1"/>
      <c r="IA1341" s="1"/>
      <c r="IB1341" s="1"/>
      <c r="IC1341" s="1"/>
      <c r="ID1341" s="1"/>
      <c r="IE1341" s="1"/>
      <c r="IF1341" s="1"/>
      <c r="IG1341" s="1"/>
      <c r="IH1341" s="1"/>
      <c r="II1341" s="1"/>
      <c r="IJ1341" s="1"/>
      <c r="IK1341" s="1"/>
      <c r="IL1341" s="1"/>
      <c r="IM1341" s="1"/>
      <c r="IN1341" s="1"/>
      <c r="IO1341" s="1"/>
      <c r="IP1341" s="1"/>
      <c r="IQ1341" s="1"/>
      <c r="IR1341" s="1"/>
      <c r="IS1341" s="1"/>
      <c r="IT1341" s="1"/>
      <c r="IU1341" s="1"/>
      <c r="IV1341" s="1"/>
      <c r="IW1341" s="1"/>
      <c r="IX1341" s="1"/>
      <c r="IY1341" s="1"/>
      <c r="IZ1341" s="1"/>
      <c r="JA1341" s="1"/>
      <c r="JB1341" s="1"/>
      <c r="JC1341" s="1"/>
      <c r="JD1341" s="1"/>
    </row>
    <row r="1342" s="504" customFormat="true" ht="12.75" hidden="false" customHeight="true" outlineLevel="0" collapsed="false">
      <c r="A1342" s="5"/>
      <c r="B1342" s="5"/>
      <c r="C1342" s="5"/>
      <c r="D1342" s="8"/>
      <c r="E1342" s="8"/>
      <c r="F1342" s="8"/>
      <c r="G1342" s="5"/>
      <c r="H1342" s="5"/>
      <c r="I1342" s="5"/>
      <c r="J1342" s="8"/>
      <c r="K1342" s="8"/>
      <c r="L1342" s="5"/>
      <c r="M1342" s="8"/>
      <c r="N1342" s="8"/>
      <c r="O1342" s="8"/>
      <c r="P1342" s="8"/>
      <c r="Q1342" s="5"/>
      <c r="R1342" s="5"/>
      <c r="S1342" s="5"/>
      <c r="T1342" s="5"/>
      <c r="U1342" s="5"/>
      <c r="V1342" s="10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02"/>
      <c r="AU1342" s="502"/>
      <c r="AV1342" s="606"/>
      <c r="AW1342" s="502"/>
      <c r="AX1342" s="502"/>
      <c r="AY1342" s="502"/>
      <c r="AZ1342" s="502"/>
      <c r="BA1342" s="502"/>
      <c r="BB1342" s="502"/>
      <c r="BC1342" s="502"/>
      <c r="BD1342" s="502"/>
      <c r="BE1342" s="502"/>
      <c r="BF1342" s="502"/>
      <c r="BG1342" s="502"/>
      <c r="BH1342" s="502"/>
      <c r="BI1342" s="502"/>
      <c r="BJ1342" s="502"/>
      <c r="BK1342" s="502"/>
      <c r="BL1342" s="502"/>
      <c r="BM1342" s="502"/>
      <c r="BN1342" s="502"/>
      <c r="BO1342" s="502"/>
      <c r="BP1342" s="5"/>
      <c r="BQ1342" s="5"/>
      <c r="BR1342" s="5"/>
      <c r="BS1342" s="5"/>
      <c r="BT1342" s="5"/>
      <c r="BU1342" s="5"/>
      <c r="BV1342" s="5"/>
      <c r="BW1342" s="5"/>
      <c r="BX1342" s="5"/>
      <c r="BY1342" s="5"/>
      <c r="BZ1342" s="5"/>
      <c r="CA1342" s="5"/>
      <c r="CB1342" s="5"/>
      <c r="CC1342" s="5"/>
      <c r="CD1342" s="5"/>
      <c r="CE1342" s="5"/>
      <c r="CF1342" s="5"/>
      <c r="CG1342" s="5"/>
      <c r="CH1342" s="5"/>
      <c r="CI1342" s="5"/>
      <c r="CJ1342" s="5"/>
      <c r="CK1342" s="5"/>
      <c r="CL1342" s="5"/>
      <c r="CM1342" s="5"/>
      <c r="CN1342" s="5"/>
      <c r="CO1342" s="5"/>
      <c r="CP1342" s="5"/>
      <c r="CQ1342" s="5"/>
      <c r="CR1342" s="5"/>
      <c r="CS1342" s="5"/>
      <c r="CT1342" s="5"/>
      <c r="CU1342" s="5"/>
      <c r="CV1342" s="5"/>
      <c r="CW1342" s="5"/>
      <c r="CX1342" s="5"/>
      <c r="CY1342" s="5"/>
      <c r="CZ1342" s="5"/>
      <c r="DA1342" s="5"/>
      <c r="DB1342" s="5"/>
      <c r="DC1342" s="5"/>
      <c r="DD1342" s="5"/>
      <c r="DE1342" s="5"/>
      <c r="DF1342" s="5"/>
      <c r="DG1342" s="5"/>
      <c r="DH1342" s="5"/>
      <c r="DI1342" s="5"/>
      <c r="DJ1342" s="5"/>
      <c r="DK1342" s="5"/>
      <c r="DL1342" s="5"/>
      <c r="DM1342" s="5"/>
      <c r="DN1342" s="5"/>
      <c r="DO1342" s="5"/>
      <c r="DP1342" s="5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  <c r="GV1342" s="1"/>
      <c r="GW1342" s="1"/>
      <c r="GX1342" s="1"/>
      <c r="GY1342" s="1"/>
      <c r="GZ1342" s="1"/>
      <c r="HA1342" s="1"/>
      <c r="HB1342" s="1"/>
      <c r="HC1342" s="1"/>
      <c r="HD1342" s="1"/>
      <c r="HE1342" s="1"/>
      <c r="HF1342" s="1"/>
      <c r="HG1342" s="1"/>
      <c r="HH1342" s="1"/>
      <c r="HI1342" s="1"/>
      <c r="HJ1342" s="1"/>
      <c r="HK1342" s="1"/>
      <c r="HL1342" s="1"/>
      <c r="HM1342" s="1"/>
      <c r="HN1342" s="1"/>
      <c r="HO1342" s="1"/>
      <c r="HP1342" s="1"/>
      <c r="HQ1342" s="1"/>
      <c r="HR1342" s="1"/>
      <c r="HS1342" s="1"/>
      <c r="HT1342" s="1"/>
      <c r="HU1342" s="1"/>
      <c r="HV1342" s="1"/>
      <c r="HW1342" s="1"/>
      <c r="HX1342" s="1"/>
      <c r="HY1342" s="1"/>
      <c r="HZ1342" s="1"/>
      <c r="IA1342" s="1"/>
      <c r="IB1342" s="1"/>
      <c r="IC1342" s="1"/>
      <c r="ID1342" s="1"/>
      <c r="IE1342" s="1"/>
      <c r="IF1342" s="1"/>
      <c r="IG1342" s="1"/>
      <c r="IH1342" s="1"/>
      <c r="II1342" s="1"/>
      <c r="IJ1342" s="1"/>
      <c r="IK1342" s="1"/>
      <c r="IL1342" s="1"/>
      <c r="IM1342" s="1"/>
      <c r="IN1342" s="1"/>
      <c r="IO1342" s="1"/>
      <c r="IP1342" s="1"/>
      <c r="IQ1342" s="1"/>
      <c r="IR1342" s="1"/>
      <c r="IS1342" s="1"/>
      <c r="IT1342" s="1"/>
      <c r="IU1342" s="1"/>
      <c r="IV1342" s="1"/>
      <c r="IW1342" s="1"/>
      <c r="IX1342" s="1"/>
      <c r="IY1342" s="1"/>
      <c r="IZ1342" s="1"/>
      <c r="JA1342" s="1"/>
      <c r="JB1342" s="1"/>
      <c r="JC1342" s="1"/>
      <c r="JD1342" s="1"/>
    </row>
    <row r="1343" s="504" customFormat="true" ht="12.75" hidden="false" customHeight="true" outlineLevel="0" collapsed="false">
      <c r="A1343" s="5"/>
      <c r="B1343" s="5"/>
      <c r="C1343" s="5"/>
      <c r="D1343" s="8"/>
      <c r="E1343" s="8"/>
      <c r="F1343" s="8"/>
      <c r="G1343" s="5"/>
      <c r="H1343" s="5"/>
      <c r="I1343" s="5"/>
      <c r="J1343" s="8"/>
      <c r="K1343" s="8"/>
      <c r="L1343" s="5"/>
      <c r="M1343" s="8"/>
      <c r="N1343" s="8"/>
      <c r="O1343" s="8"/>
      <c r="P1343" s="8"/>
      <c r="Q1343" s="5"/>
      <c r="R1343" s="5"/>
      <c r="S1343" s="5"/>
      <c r="T1343" s="5"/>
      <c r="U1343" s="5"/>
      <c r="V1343" s="10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02"/>
      <c r="AU1343" s="502"/>
      <c r="AV1343" s="606"/>
      <c r="AW1343" s="502"/>
      <c r="AX1343" s="502"/>
      <c r="AY1343" s="502"/>
      <c r="AZ1343" s="502"/>
      <c r="BA1343" s="502"/>
      <c r="BB1343" s="502"/>
      <c r="BC1343" s="502"/>
      <c r="BD1343" s="502"/>
      <c r="BE1343" s="502"/>
      <c r="BF1343" s="502"/>
      <c r="BG1343" s="502"/>
      <c r="BH1343" s="502"/>
      <c r="BI1343" s="502"/>
      <c r="BJ1343" s="502"/>
      <c r="BK1343" s="502"/>
      <c r="BL1343" s="502"/>
      <c r="BM1343" s="502"/>
      <c r="BN1343" s="502"/>
      <c r="BO1343" s="502"/>
      <c r="BP1343" s="5"/>
      <c r="BQ1343" s="5"/>
      <c r="BR1343" s="5"/>
      <c r="BS1343" s="5"/>
      <c r="BT1343" s="5"/>
      <c r="BU1343" s="5"/>
      <c r="BV1343" s="5"/>
      <c r="BW1343" s="5"/>
      <c r="BX1343" s="5"/>
      <c r="BY1343" s="5"/>
      <c r="BZ1343" s="5"/>
      <c r="CA1343" s="5"/>
      <c r="CB1343" s="5"/>
      <c r="CC1343" s="5"/>
      <c r="CD1343" s="5"/>
      <c r="CE1343" s="5"/>
      <c r="CF1343" s="5"/>
      <c r="CG1343" s="5"/>
      <c r="CH1343" s="5"/>
      <c r="CI1343" s="5"/>
      <c r="CJ1343" s="5"/>
      <c r="CK1343" s="5"/>
      <c r="CL1343" s="5"/>
      <c r="CM1343" s="5"/>
      <c r="CN1343" s="5"/>
      <c r="CO1343" s="5"/>
      <c r="CP1343" s="5"/>
      <c r="CQ1343" s="5"/>
      <c r="CR1343" s="5"/>
      <c r="CS1343" s="5"/>
      <c r="CT1343" s="5"/>
      <c r="CU1343" s="5"/>
      <c r="CV1343" s="5"/>
      <c r="CW1343" s="5"/>
      <c r="CX1343" s="5"/>
      <c r="CY1343" s="5"/>
      <c r="CZ1343" s="5"/>
      <c r="DA1343" s="5"/>
      <c r="DB1343" s="5"/>
      <c r="DC1343" s="5"/>
      <c r="DD1343" s="5"/>
      <c r="DE1343" s="5"/>
      <c r="DF1343" s="5"/>
      <c r="DG1343" s="5"/>
      <c r="DH1343" s="5"/>
      <c r="DI1343" s="5"/>
      <c r="DJ1343" s="5"/>
      <c r="DK1343" s="5"/>
      <c r="DL1343" s="5"/>
      <c r="DM1343" s="5"/>
      <c r="DN1343" s="5"/>
      <c r="DO1343" s="5"/>
      <c r="DP1343" s="5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  <c r="GV1343" s="1"/>
      <c r="GW1343" s="1"/>
      <c r="GX1343" s="1"/>
      <c r="GY1343" s="1"/>
      <c r="GZ1343" s="1"/>
      <c r="HA1343" s="1"/>
      <c r="HB1343" s="1"/>
      <c r="HC1343" s="1"/>
      <c r="HD1343" s="1"/>
      <c r="HE1343" s="1"/>
      <c r="HF1343" s="1"/>
      <c r="HG1343" s="1"/>
      <c r="HH1343" s="1"/>
      <c r="HI1343" s="1"/>
      <c r="HJ1343" s="1"/>
      <c r="HK1343" s="1"/>
      <c r="HL1343" s="1"/>
      <c r="HM1343" s="1"/>
      <c r="HN1343" s="1"/>
      <c r="HO1343" s="1"/>
      <c r="HP1343" s="1"/>
      <c r="HQ1343" s="1"/>
      <c r="HR1343" s="1"/>
      <c r="HS1343" s="1"/>
      <c r="HT1343" s="1"/>
      <c r="HU1343" s="1"/>
      <c r="HV1343" s="1"/>
      <c r="HW1343" s="1"/>
      <c r="HX1343" s="1"/>
      <c r="HY1343" s="1"/>
      <c r="HZ1343" s="1"/>
      <c r="IA1343" s="1"/>
      <c r="IB1343" s="1"/>
      <c r="IC1343" s="1"/>
      <c r="ID1343" s="1"/>
      <c r="IE1343" s="1"/>
      <c r="IF1343" s="1"/>
      <c r="IG1343" s="1"/>
      <c r="IH1343" s="1"/>
      <c r="II1343" s="1"/>
      <c r="IJ1343" s="1"/>
      <c r="IK1343" s="1"/>
      <c r="IL1343" s="1"/>
      <c r="IM1343" s="1"/>
      <c r="IN1343" s="1"/>
      <c r="IO1343" s="1"/>
      <c r="IP1343" s="1"/>
      <c r="IQ1343" s="1"/>
      <c r="IR1343" s="1"/>
      <c r="IS1343" s="1"/>
      <c r="IT1343" s="1"/>
      <c r="IU1343" s="1"/>
      <c r="IV1343" s="1"/>
      <c r="IW1343" s="1"/>
      <c r="IX1343" s="1"/>
      <c r="IY1343" s="1"/>
      <c r="IZ1343" s="1"/>
      <c r="JA1343" s="1"/>
      <c r="JB1343" s="1"/>
      <c r="JC1343" s="1"/>
      <c r="JD1343" s="1"/>
    </row>
    <row r="1344" s="504" customFormat="true" ht="12.75" hidden="false" customHeight="true" outlineLevel="0" collapsed="false">
      <c r="A1344" s="5"/>
      <c r="B1344" s="5"/>
      <c r="C1344" s="5"/>
      <c r="D1344" s="8"/>
      <c r="E1344" s="8"/>
      <c r="F1344" s="8"/>
      <c r="G1344" s="5"/>
      <c r="H1344" s="5"/>
      <c r="I1344" s="5"/>
      <c r="J1344" s="8"/>
      <c r="K1344" s="8"/>
      <c r="L1344" s="5"/>
      <c r="M1344" s="8"/>
      <c r="N1344" s="8"/>
      <c r="O1344" s="8"/>
      <c r="P1344" s="8"/>
      <c r="Q1344" s="5"/>
      <c r="R1344" s="5"/>
      <c r="S1344" s="5"/>
      <c r="T1344" s="5"/>
      <c r="U1344" s="5"/>
      <c r="V1344" s="10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02"/>
      <c r="AU1344" s="502"/>
      <c r="AV1344" s="606"/>
      <c r="AW1344" s="502"/>
      <c r="AX1344" s="502"/>
      <c r="AY1344" s="502"/>
      <c r="AZ1344" s="502"/>
      <c r="BA1344" s="502"/>
      <c r="BB1344" s="502"/>
      <c r="BC1344" s="502"/>
      <c r="BD1344" s="502"/>
      <c r="BE1344" s="502"/>
      <c r="BF1344" s="502"/>
      <c r="BG1344" s="502"/>
      <c r="BH1344" s="502"/>
      <c r="BI1344" s="502"/>
      <c r="BJ1344" s="502"/>
      <c r="BK1344" s="502"/>
      <c r="BL1344" s="502"/>
      <c r="BM1344" s="502"/>
      <c r="BN1344" s="502"/>
      <c r="BO1344" s="502"/>
      <c r="BP1344" s="5"/>
      <c r="BQ1344" s="5"/>
      <c r="BR1344" s="5"/>
      <c r="BS1344" s="5"/>
      <c r="BT1344" s="5"/>
      <c r="BU1344" s="5"/>
      <c r="BV1344" s="5"/>
      <c r="BW1344" s="5"/>
      <c r="BX1344" s="5"/>
      <c r="BY1344" s="5"/>
      <c r="BZ1344" s="5"/>
      <c r="CA1344" s="5"/>
      <c r="CB1344" s="5"/>
      <c r="CC1344" s="5"/>
      <c r="CD1344" s="5"/>
      <c r="CE1344" s="5"/>
      <c r="CF1344" s="5"/>
      <c r="CG1344" s="5"/>
      <c r="CH1344" s="5"/>
      <c r="CI1344" s="5"/>
      <c r="CJ1344" s="5"/>
      <c r="CK1344" s="5"/>
      <c r="CL1344" s="5"/>
      <c r="CM1344" s="5"/>
      <c r="CN1344" s="5"/>
      <c r="CO1344" s="5"/>
      <c r="CP1344" s="5"/>
      <c r="CQ1344" s="5"/>
      <c r="CR1344" s="5"/>
      <c r="CS1344" s="5"/>
      <c r="CT1344" s="5"/>
      <c r="CU1344" s="5"/>
      <c r="CV1344" s="5"/>
      <c r="CW1344" s="5"/>
      <c r="CX1344" s="5"/>
      <c r="CY1344" s="5"/>
      <c r="CZ1344" s="5"/>
      <c r="DA1344" s="5"/>
      <c r="DB1344" s="5"/>
      <c r="DC1344" s="5"/>
      <c r="DD1344" s="5"/>
      <c r="DE1344" s="5"/>
      <c r="DF1344" s="5"/>
      <c r="DG1344" s="5"/>
      <c r="DH1344" s="5"/>
      <c r="DI1344" s="5"/>
      <c r="DJ1344" s="5"/>
      <c r="DK1344" s="5"/>
      <c r="DL1344" s="5"/>
      <c r="DM1344" s="5"/>
      <c r="DN1344" s="5"/>
      <c r="DO1344" s="5"/>
      <c r="DP1344" s="5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  <c r="GV1344" s="1"/>
      <c r="GW1344" s="1"/>
      <c r="GX1344" s="1"/>
      <c r="GY1344" s="1"/>
      <c r="GZ1344" s="1"/>
      <c r="HA1344" s="1"/>
      <c r="HB1344" s="1"/>
      <c r="HC1344" s="1"/>
      <c r="HD1344" s="1"/>
      <c r="HE1344" s="1"/>
      <c r="HF1344" s="1"/>
      <c r="HG1344" s="1"/>
      <c r="HH1344" s="1"/>
      <c r="HI1344" s="1"/>
      <c r="HJ1344" s="1"/>
      <c r="HK1344" s="1"/>
      <c r="HL1344" s="1"/>
      <c r="HM1344" s="1"/>
      <c r="HN1344" s="1"/>
      <c r="HO1344" s="1"/>
      <c r="HP1344" s="1"/>
      <c r="HQ1344" s="1"/>
      <c r="HR1344" s="1"/>
      <c r="HS1344" s="1"/>
      <c r="HT1344" s="1"/>
      <c r="HU1344" s="1"/>
      <c r="HV1344" s="1"/>
      <c r="HW1344" s="1"/>
      <c r="HX1344" s="1"/>
      <c r="HY1344" s="1"/>
      <c r="HZ1344" s="1"/>
      <c r="IA1344" s="1"/>
      <c r="IB1344" s="1"/>
      <c r="IC1344" s="1"/>
      <c r="ID1344" s="1"/>
      <c r="IE1344" s="1"/>
      <c r="IF1344" s="1"/>
      <c r="IG1344" s="1"/>
      <c r="IH1344" s="1"/>
      <c r="II1344" s="1"/>
      <c r="IJ1344" s="1"/>
      <c r="IK1344" s="1"/>
      <c r="IL1344" s="1"/>
      <c r="IM1344" s="1"/>
      <c r="IN1344" s="1"/>
      <c r="IO1344" s="1"/>
      <c r="IP1344" s="1"/>
      <c r="IQ1344" s="1"/>
      <c r="IR1344" s="1"/>
      <c r="IS1344" s="1"/>
      <c r="IT1344" s="1"/>
      <c r="IU1344" s="1"/>
      <c r="IV1344" s="1"/>
      <c r="IW1344" s="1"/>
      <c r="IX1344" s="1"/>
      <c r="IY1344" s="1"/>
      <c r="IZ1344" s="1"/>
      <c r="JA1344" s="1"/>
      <c r="JB1344" s="1"/>
      <c r="JC1344" s="1"/>
      <c r="JD1344" s="1"/>
    </row>
    <row r="1345" s="504" customFormat="true" ht="12.75" hidden="false" customHeight="true" outlineLevel="0" collapsed="false">
      <c r="A1345" s="5"/>
      <c r="B1345" s="5"/>
      <c r="C1345" s="5"/>
      <c r="D1345" s="8"/>
      <c r="E1345" s="8"/>
      <c r="F1345" s="8"/>
      <c r="G1345" s="5"/>
      <c r="H1345" s="5"/>
      <c r="I1345" s="5"/>
      <c r="J1345" s="8"/>
      <c r="K1345" s="8"/>
      <c r="L1345" s="5"/>
      <c r="M1345" s="8"/>
      <c r="N1345" s="8"/>
      <c r="O1345" s="8"/>
      <c r="P1345" s="8"/>
      <c r="Q1345" s="5"/>
      <c r="R1345" s="5"/>
      <c r="S1345" s="5"/>
      <c r="T1345" s="5"/>
      <c r="U1345" s="5"/>
      <c r="V1345" s="10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02"/>
      <c r="AU1345" s="502"/>
      <c r="AV1345" s="606"/>
      <c r="AW1345" s="502"/>
      <c r="AX1345" s="502"/>
      <c r="AY1345" s="502"/>
      <c r="AZ1345" s="502"/>
      <c r="BA1345" s="502"/>
      <c r="BB1345" s="502"/>
      <c r="BC1345" s="502"/>
      <c r="BD1345" s="502"/>
      <c r="BE1345" s="502"/>
      <c r="BF1345" s="502"/>
      <c r="BG1345" s="502"/>
      <c r="BH1345" s="502"/>
      <c r="BI1345" s="502"/>
      <c r="BJ1345" s="502"/>
      <c r="BK1345" s="502"/>
      <c r="BL1345" s="502"/>
      <c r="BM1345" s="502"/>
      <c r="BN1345" s="502"/>
      <c r="BO1345" s="502"/>
      <c r="BP1345" s="5"/>
      <c r="BQ1345" s="5"/>
      <c r="BR1345" s="5"/>
      <c r="BS1345" s="5"/>
      <c r="BT1345" s="5"/>
      <c r="BU1345" s="5"/>
      <c r="BV1345" s="5"/>
      <c r="BW1345" s="5"/>
      <c r="BX1345" s="5"/>
      <c r="BY1345" s="5"/>
      <c r="BZ1345" s="5"/>
      <c r="CA1345" s="5"/>
      <c r="CB1345" s="5"/>
      <c r="CC1345" s="5"/>
      <c r="CD1345" s="5"/>
      <c r="CE1345" s="5"/>
      <c r="CF1345" s="5"/>
      <c r="CG1345" s="5"/>
      <c r="CH1345" s="5"/>
      <c r="CI1345" s="5"/>
      <c r="CJ1345" s="5"/>
      <c r="CK1345" s="5"/>
      <c r="CL1345" s="5"/>
      <c r="CM1345" s="5"/>
      <c r="CN1345" s="5"/>
      <c r="CO1345" s="5"/>
      <c r="CP1345" s="5"/>
      <c r="CQ1345" s="5"/>
      <c r="CR1345" s="5"/>
      <c r="CS1345" s="5"/>
      <c r="CT1345" s="5"/>
      <c r="CU1345" s="5"/>
      <c r="CV1345" s="5"/>
      <c r="CW1345" s="5"/>
      <c r="CX1345" s="5"/>
      <c r="CY1345" s="5"/>
      <c r="CZ1345" s="5"/>
      <c r="DA1345" s="5"/>
      <c r="DB1345" s="5"/>
      <c r="DC1345" s="5"/>
      <c r="DD1345" s="5"/>
      <c r="DE1345" s="5"/>
      <c r="DF1345" s="5"/>
      <c r="DG1345" s="5"/>
      <c r="DH1345" s="5"/>
      <c r="DI1345" s="5"/>
      <c r="DJ1345" s="5"/>
      <c r="DK1345" s="5"/>
      <c r="DL1345" s="5"/>
      <c r="DM1345" s="5"/>
      <c r="DN1345" s="5"/>
      <c r="DO1345" s="5"/>
      <c r="DP1345" s="5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  <c r="GV1345" s="1"/>
      <c r="GW1345" s="1"/>
      <c r="GX1345" s="1"/>
      <c r="GY1345" s="1"/>
      <c r="GZ1345" s="1"/>
      <c r="HA1345" s="1"/>
      <c r="HB1345" s="1"/>
      <c r="HC1345" s="1"/>
      <c r="HD1345" s="1"/>
      <c r="HE1345" s="1"/>
      <c r="HF1345" s="1"/>
      <c r="HG1345" s="1"/>
      <c r="HH1345" s="1"/>
      <c r="HI1345" s="1"/>
      <c r="HJ1345" s="1"/>
      <c r="HK1345" s="1"/>
      <c r="HL1345" s="1"/>
      <c r="HM1345" s="1"/>
      <c r="HN1345" s="1"/>
      <c r="HO1345" s="1"/>
      <c r="HP1345" s="1"/>
      <c r="HQ1345" s="1"/>
      <c r="HR1345" s="1"/>
      <c r="HS1345" s="1"/>
      <c r="HT1345" s="1"/>
      <c r="HU1345" s="1"/>
      <c r="HV1345" s="1"/>
      <c r="HW1345" s="1"/>
      <c r="HX1345" s="1"/>
      <c r="HY1345" s="1"/>
      <c r="HZ1345" s="1"/>
      <c r="IA1345" s="1"/>
      <c r="IB1345" s="1"/>
      <c r="IC1345" s="1"/>
      <c r="ID1345" s="1"/>
      <c r="IE1345" s="1"/>
      <c r="IF1345" s="1"/>
      <c r="IG1345" s="1"/>
      <c r="IH1345" s="1"/>
      <c r="II1345" s="1"/>
      <c r="IJ1345" s="1"/>
      <c r="IK1345" s="1"/>
      <c r="IL1345" s="1"/>
      <c r="IM1345" s="1"/>
      <c r="IN1345" s="1"/>
      <c r="IO1345" s="1"/>
      <c r="IP1345" s="1"/>
      <c r="IQ1345" s="1"/>
      <c r="IR1345" s="1"/>
      <c r="IS1345" s="1"/>
      <c r="IT1345" s="1"/>
      <c r="IU1345" s="1"/>
      <c r="IV1345" s="1"/>
      <c r="IW1345" s="1"/>
      <c r="IX1345" s="1"/>
      <c r="IY1345" s="1"/>
      <c r="IZ1345" s="1"/>
      <c r="JA1345" s="1"/>
      <c r="JB1345" s="1"/>
      <c r="JC1345" s="1"/>
      <c r="JD1345" s="1"/>
    </row>
    <row r="1346" s="504" customFormat="true" ht="12.75" hidden="false" customHeight="true" outlineLevel="0" collapsed="false">
      <c r="A1346" s="5"/>
      <c r="B1346" s="5"/>
      <c r="C1346" s="5"/>
      <c r="D1346" s="8"/>
      <c r="E1346" s="8"/>
      <c r="F1346" s="8"/>
      <c r="G1346" s="5"/>
      <c r="H1346" s="5"/>
      <c r="I1346" s="5"/>
      <c r="J1346" s="8"/>
      <c r="K1346" s="8"/>
      <c r="L1346" s="5"/>
      <c r="M1346" s="8"/>
      <c r="N1346" s="8"/>
      <c r="O1346" s="8"/>
      <c r="P1346" s="8"/>
      <c r="Q1346" s="5"/>
      <c r="R1346" s="5"/>
      <c r="S1346" s="5"/>
      <c r="T1346" s="5"/>
      <c r="U1346" s="5"/>
      <c r="V1346" s="10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02"/>
      <c r="AU1346" s="502"/>
      <c r="AV1346" s="606"/>
      <c r="AW1346" s="502"/>
      <c r="AX1346" s="502"/>
      <c r="AY1346" s="502"/>
      <c r="AZ1346" s="502"/>
      <c r="BA1346" s="502"/>
      <c r="BB1346" s="502"/>
      <c r="BC1346" s="502"/>
      <c r="BD1346" s="502"/>
      <c r="BE1346" s="502"/>
      <c r="BF1346" s="502"/>
      <c r="BG1346" s="502"/>
      <c r="BH1346" s="502"/>
      <c r="BI1346" s="502"/>
      <c r="BJ1346" s="502"/>
      <c r="BK1346" s="502"/>
      <c r="BL1346" s="502"/>
      <c r="BM1346" s="502"/>
      <c r="BN1346" s="502"/>
      <c r="BO1346" s="502"/>
      <c r="BP1346" s="5"/>
      <c r="BQ1346" s="5"/>
      <c r="BR1346" s="5"/>
      <c r="BS1346" s="5"/>
      <c r="BT1346" s="5"/>
      <c r="BU1346" s="5"/>
      <c r="BV1346" s="5"/>
      <c r="BW1346" s="5"/>
      <c r="BX1346" s="5"/>
      <c r="BY1346" s="5"/>
      <c r="BZ1346" s="5"/>
      <c r="CA1346" s="5"/>
      <c r="CB1346" s="5"/>
      <c r="CC1346" s="5"/>
      <c r="CD1346" s="5"/>
      <c r="CE1346" s="5"/>
      <c r="CF1346" s="5"/>
      <c r="CG1346" s="5"/>
      <c r="CH1346" s="5"/>
      <c r="CI1346" s="5"/>
      <c r="CJ1346" s="5"/>
      <c r="CK1346" s="5"/>
      <c r="CL1346" s="5"/>
      <c r="CM1346" s="5"/>
      <c r="CN1346" s="5"/>
      <c r="CO1346" s="5"/>
      <c r="CP1346" s="5"/>
      <c r="CQ1346" s="5"/>
      <c r="CR1346" s="5"/>
      <c r="CS1346" s="5"/>
      <c r="CT1346" s="5"/>
      <c r="CU1346" s="5"/>
      <c r="CV1346" s="5"/>
      <c r="CW1346" s="5"/>
      <c r="CX1346" s="5"/>
      <c r="CY1346" s="5"/>
      <c r="CZ1346" s="5"/>
      <c r="DA1346" s="5"/>
      <c r="DB1346" s="5"/>
      <c r="DC1346" s="5"/>
      <c r="DD1346" s="5"/>
      <c r="DE1346" s="5"/>
      <c r="DF1346" s="5"/>
      <c r="DG1346" s="5"/>
      <c r="DH1346" s="5"/>
      <c r="DI1346" s="5"/>
      <c r="DJ1346" s="5"/>
      <c r="DK1346" s="5"/>
      <c r="DL1346" s="5"/>
      <c r="DM1346" s="5"/>
      <c r="DN1346" s="5"/>
      <c r="DO1346" s="5"/>
      <c r="DP1346" s="5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  <c r="GV1346" s="1"/>
      <c r="GW1346" s="1"/>
      <c r="GX1346" s="1"/>
      <c r="GY1346" s="1"/>
      <c r="GZ1346" s="1"/>
      <c r="HA1346" s="1"/>
      <c r="HB1346" s="1"/>
      <c r="HC1346" s="1"/>
      <c r="HD1346" s="1"/>
      <c r="HE1346" s="1"/>
      <c r="HF1346" s="1"/>
      <c r="HG1346" s="1"/>
      <c r="HH1346" s="1"/>
      <c r="HI1346" s="1"/>
      <c r="HJ1346" s="1"/>
      <c r="HK1346" s="1"/>
      <c r="HL1346" s="1"/>
      <c r="HM1346" s="1"/>
      <c r="HN1346" s="1"/>
      <c r="HO1346" s="1"/>
      <c r="HP1346" s="1"/>
      <c r="HQ1346" s="1"/>
      <c r="HR1346" s="1"/>
      <c r="HS1346" s="1"/>
      <c r="HT1346" s="1"/>
      <c r="HU1346" s="1"/>
      <c r="HV1346" s="1"/>
      <c r="HW1346" s="1"/>
      <c r="HX1346" s="1"/>
      <c r="HY1346" s="1"/>
      <c r="HZ1346" s="1"/>
      <c r="IA1346" s="1"/>
      <c r="IB1346" s="1"/>
      <c r="IC1346" s="1"/>
      <c r="ID1346" s="1"/>
      <c r="IE1346" s="1"/>
      <c r="IF1346" s="1"/>
      <c r="IG1346" s="1"/>
      <c r="IH1346" s="1"/>
      <c r="II1346" s="1"/>
      <c r="IJ1346" s="1"/>
      <c r="IK1346" s="1"/>
      <c r="IL1346" s="1"/>
      <c r="IM1346" s="1"/>
      <c r="IN1346" s="1"/>
      <c r="IO1346" s="1"/>
      <c r="IP1346" s="1"/>
      <c r="IQ1346" s="1"/>
      <c r="IR1346" s="1"/>
      <c r="IS1346" s="1"/>
      <c r="IT1346" s="1"/>
      <c r="IU1346" s="1"/>
      <c r="IV1346" s="1"/>
      <c r="IW1346" s="1"/>
      <c r="IX1346" s="1"/>
      <c r="IY1346" s="1"/>
      <c r="IZ1346" s="1"/>
      <c r="JA1346" s="1"/>
      <c r="JB1346" s="1"/>
      <c r="JC1346" s="1"/>
      <c r="JD1346" s="1"/>
    </row>
    <row r="1347" s="504" customFormat="true" ht="12.75" hidden="false" customHeight="true" outlineLevel="0" collapsed="false">
      <c r="A1347" s="5"/>
      <c r="B1347" s="5"/>
      <c r="C1347" s="5"/>
      <c r="D1347" s="8"/>
      <c r="E1347" s="8"/>
      <c r="F1347" s="8"/>
      <c r="G1347" s="5"/>
      <c r="H1347" s="5"/>
      <c r="I1347" s="5"/>
      <c r="J1347" s="8"/>
      <c r="K1347" s="8"/>
      <c r="L1347" s="5"/>
      <c r="M1347" s="8"/>
      <c r="N1347" s="8"/>
      <c r="O1347" s="8"/>
      <c r="P1347" s="8"/>
      <c r="Q1347" s="5"/>
      <c r="R1347" s="5"/>
      <c r="S1347" s="5"/>
      <c r="T1347" s="5"/>
      <c r="U1347" s="5"/>
      <c r="V1347" s="10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02"/>
      <c r="AU1347" s="502"/>
      <c r="AV1347" s="606"/>
      <c r="AW1347" s="502"/>
      <c r="AX1347" s="502"/>
      <c r="AY1347" s="502"/>
      <c r="AZ1347" s="502"/>
      <c r="BA1347" s="502"/>
      <c r="BB1347" s="502"/>
      <c r="BC1347" s="502"/>
      <c r="BD1347" s="502"/>
      <c r="BE1347" s="502"/>
      <c r="BF1347" s="502"/>
      <c r="BG1347" s="502"/>
      <c r="BH1347" s="502"/>
      <c r="BI1347" s="502"/>
      <c r="BJ1347" s="502"/>
      <c r="BK1347" s="502"/>
      <c r="BL1347" s="502"/>
      <c r="BM1347" s="502"/>
      <c r="BN1347" s="502"/>
      <c r="BO1347" s="502"/>
      <c r="BP1347" s="5"/>
      <c r="BQ1347" s="5"/>
      <c r="BR1347" s="5"/>
      <c r="BS1347" s="5"/>
      <c r="BT1347" s="5"/>
      <c r="BU1347" s="5"/>
      <c r="BV1347" s="5"/>
      <c r="BW1347" s="5"/>
      <c r="BX1347" s="5"/>
      <c r="BY1347" s="5"/>
      <c r="BZ1347" s="5"/>
      <c r="CA1347" s="5"/>
      <c r="CB1347" s="5"/>
      <c r="CC1347" s="5"/>
      <c r="CD1347" s="5"/>
      <c r="CE1347" s="5"/>
      <c r="CF1347" s="5"/>
      <c r="CG1347" s="5"/>
      <c r="CH1347" s="5"/>
      <c r="CI1347" s="5"/>
      <c r="CJ1347" s="5"/>
      <c r="CK1347" s="5"/>
      <c r="CL1347" s="5"/>
      <c r="CM1347" s="5"/>
      <c r="CN1347" s="5"/>
      <c r="CO1347" s="5"/>
      <c r="CP1347" s="5"/>
      <c r="CQ1347" s="5"/>
      <c r="CR1347" s="5"/>
      <c r="CS1347" s="5"/>
      <c r="CT1347" s="5"/>
      <c r="CU1347" s="5"/>
      <c r="CV1347" s="5"/>
      <c r="CW1347" s="5"/>
      <c r="CX1347" s="5"/>
      <c r="CY1347" s="5"/>
      <c r="CZ1347" s="5"/>
      <c r="DA1347" s="5"/>
      <c r="DB1347" s="5"/>
      <c r="DC1347" s="5"/>
      <c r="DD1347" s="5"/>
      <c r="DE1347" s="5"/>
      <c r="DF1347" s="5"/>
      <c r="DG1347" s="5"/>
      <c r="DH1347" s="5"/>
      <c r="DI1347" s="5"/>
      <c r="DJ1347" s="5"/>
      <c r="DK1347" s="5"/>
      <c r="DL1347" s="5"/>
      <c r="DM1347" s="5"/>
      <c r="DN1347" s="5"/>
      <c r="DO1347" s="5"/>
      <c r="DP1347" s="5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  <c r="GV1347" s="1"/>
      <c r="GW1347" s="1"/>
      <c r="GX1347" s="1"/>
      <c r="GY1347" s="1"/>
      <c r="GZ1347" s="1"/>
      <c r="HA1347" s="1"/>
      <c r="HB1347" s="1"/>
      <c r="HC1347" s="1"/>
      <c r="HD1347" s="1"/>
      <c r="HE1347" s="1"/>
      <c r="HF1347" s="1"/>
      <c r="HG1347" s="1"/>
      <c r="HH1347" s="1"/>
      <c r="HI1347" s="1"/>
      <c r="HJ1347" s="1"/>
      <c r="HK1347" s="1"/>
      <c r="HL1347" s="1"/>
      <c r="HM1347" s="1"/>
      <c r="HN1347" s="1"/>
      <c r="HO1347" s="1"/>
      <c r="HP1347" s="1"/>
      <c r="HQ1347" s="1"/>
      <c r="HR1347" s="1"/>
      <c r="HS1347" s="1"/>
      <c r="HT1347" s="1"/>
      <c r="HU1347" s="1"/>
      <c r="HV1347" s="1"/>
      <c r="HW1347" s="1"/>
      <c r="HX1347" s="1"/>
      <c r="HY1347" s="1"/>
      <c r="HZ1347" s="1"/>
      <c r="IA1347" s="1"/>
      <c r="IB1347" s="1"/>
      <c r="IC1347" s="1"/>
      <c r="ID1347" s="1"/>
      <c r="IE1347" s="1"/>
      <c r="IF1347" s="1"/>
      <c r="IG1347" s="1"/>
      <c r="IH1347" s="1"/>
      <c r="II1347" s="1"/>
      <c r="IJ1347" s="1"/>
      <c r="IK1347" s="1"/>
      <c r="IL1347" s="1"/>
      <c r="IM1347" s="1"/>
      <c r="IN1347" s="1"/>
      <c r="IO1347" s="1"/>
      <c r="IP1347" s="1"/>
      <c r="IQ1347" s="1"/>
      <c r="IR1347" s="1"/>
      <c r="IS1347" s="1"/>
      <c r="IT1347" s="1"/>
      <c r="IU1347" s="1"/>
      <c r="IV1347" s="1"/>
      <c r="IW1347" s="1"/>
      <c r="IX1347" s="1"/>
      <c r="IY1347" s="1"/>
      <c r="IZ1347" s="1"/>
      <c r="JA1347" s="1"/>
      <c r="JB1347" s="1"/>
      <c r="JC1347" s="1"/>
      <c r="JD1347" s="1"/>
    </row>
    <row r="1348" s="504" customFormat="true" ht="12.75" hidden="false" customHeight="true" outlineLevel="0" collapsed="false">
      <c r="A1348" s="5"/>
      <c r="B1348" s="5"/>
      <c r="C1348" s="5"/>
      <c r="D1348" s="8"/>
      <c r="E1348" s="8"/>
      <c r="F1348" s="8"/>
      <c r="G1348" s="5"/>
      <c r="H1348" s="5"/>
      <c r="I1348" s="5"/>
      <c r="J1348" s="8"/>
      <c r="K1348" s="8"/>
      <c r="L1348" s="5"/>
      <c r="M1348" s="8"/>
      <c r="N1348" s="8"/>
      <c r="O1348" s="8"/>
      <c r="P1348" s="8"/>
      <c r="Q1348" s="5"/>
      <c r="R1348" s="5"/>
      <c r="S1348" s="5"/>
      <c r="T1348" s="5"/>
      <c r="U1348" s="5"/>
      <c r="V1348" s="10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02"/>
      <c r="AU1348" s="502"/>
      <c r="AV1348" s="606"/>
      <c r="AW1348" s="502"/>
      <c r="AX1348" s="502"/>
      <c r="AY1348" s="502"/>
      <c r="AZ1348" s="502"/>
      <c r="BA1348" s="502"/>
      <c r="BB1348" s="502"/>
      <c r="BC1348" s="502"/>
      <c r="BD1348" s="502"/>
      <c r="BE1348" s="502"/>
      <c r="BF1348" s="502"/>
      <c r="BG1348" s="502"/>
      <c r="BH1348" s="502"/>
      <c r="BI1348" s="502"/>
      <c r="BJ1348" s="502"/>
      <c r="BK1348" s="502"/>
      <c r="BL1348" s="502"/>
      <c r="BM1348" s="502"/>
      <c r="BN1348" s="502"/>
      <c r="BO1348" s="502"/>
      <c r="BP1348" s="5"/>
      <c r="BQ1348" s="5"/>
      <c r="BR1348" s="5"/>
      <c r="BS1348" s="5"/>
      <c r="BT1348" s="5"/>
      <c r="BU1348" s="5"/>
      <c r="BV1348" s="5"/>
      <c r="BW1348" s="5"/>
      <c r="BX1348" s="5"/>
      <c r="BY1348" s="5"/>
      <c r="BZ1348" s="5"/>
      <c r="CA1348" s="5"/>
      <c r="CB1348" s="5"/>
      <c r="CC1348" s="5"/>
      <c r="CD1348" s="5"/>
      <c r="CE1348" s="5"/>
      <c r="CF1348" s="5"/>
      <c r="CG1348" s="5"/>
      <c r="CH1348" s="5"/>
      <c r="CI1348" s="5"/>
      <c r="CJ1348" s="5"/>
      <c r="CK1348" s="5"/>
      <c r="CL1348" s="5"/>
      <c r="CM1348" s="5"/>
      <c r="CN1348" s="5"/>
      <c r="CO1348" s="5"/>
      <c r="CP1348" s="5"/>
      <c r="CQ1348" s="5"/>
      <c r="CR1348" s="5"/>
      <c r="CS1348" s="5"/>
      <c r="CT1348" s="5"/>
      <c r="CU1348" s="5"/>
      <c r="CV1348" s="5"/>
      <c r="CW1348" s="5"/>
      <c r="CX1348" s="5"/>
      <c r="CY1348" s="5"/>
      <c r="CZ1348" s="5"/>
      <c r="DA1348" s="5"/>
      <c r="DB1348" s="5"/>
      <c r="DC1348" s="5"/>
      <c r="DD1348" s="5"/>
      <c r="DE1348" s="5"/>
      <c r="DF1348" s="5"/>
      <c r="DG1348" s="5"/>
      <c r="DH1348" s="5"/>
      <c r="DI1348" s="5"/>
      <c r="DJ1348" s="5"/>
      <c r="DK1348" s="5"/>
      <c r="DL1348" s="5"/>
      <c r="DM1348" s="5"/>
      <c r="DN1348" s="5"/>
      <c r="DO1348" s="5"/>
      <c r="DP1348" s="5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  <c r="GT1348" s="1"/>
      <c r="GU1348" s="1"/>
      <c r="GV1348" s="1"/>
      <c r="GW1348" s="1"/>
      <c r="GX1348" s="1"/>
      <c r="GY1348" s="1"/>
      <c r="GZ1348" s="1"/>
      <c r="HA1348" s="1"/>
      <c r="HB1348" s="1"/>
      <c r="HC1348" s="1"/>
      <c r="HD1348" s="1"/>
      <c r="HE1348" s="1"/>
      <c r="HF1348" s="1"/>
      <c r="HG1348" s="1"/>
      <c r="HH1348" s="1"/>
      <c r="HI1348" s="1"/>
      <c r="HJ1348" s="1"/>
      <c r="HK1348" s="1"/>
      <c r="HL1348" s="1"/>
      <c r="HM1348" s="1"/>
      <c r="HN1348" s="1"/>
      <c r="HO1348" s="1"/>
      <c r="HP1348" s="1"/>
      <c r="HQ1348" s="1"/>
      <c r="HR1348" s="1"/>
      <c r="HS1348" s="1"/>
      <c r="HT1348" s="1"/>
      <c r="HU1348" s="1"/>
      <c r="HV1348" s="1"/>
      <c r="HW1348" s="1"/>
      <c r="HX1348" s="1"/>
      <c r="HY1348" s="1"/>
      <c r="HZ1348" s="1"/>
      <c r="IA1348" s="1"/>
      <c r="IB1348" s="1"/>
      <c r="IC1348" s="1"/>
      <c r="ID1348" s="1"/>
      <c r="IE1348" s="1"/>
      <c r="IF1348" s="1"/>
      <c r="IG1348" s="1"/>
      <c r="IH1348" s="1"/>
      <c r="II1348" s="1"/>
      <c r="IJ1348" s="1"/>
      <c r="IK1348" s="1"/>
      <c r="IL1348" s="1"/>
      <c r="IM1348" s="1"/>
      <c r="IN1348" s="1"/>
      <c r="IO1348" s="1"/>
      <c r="IP1348" s="1"/>
      <c r="IQ1348" s="1"/>
      <c r="IR1348" s="1"/>
      <c r="IS1348" s="1"/>
      <c r="IT1348" s="1"/>
      <c r="IU1348" s="1"/>
      <c r="IV1348" s="1"/>
      <c r="IW1348" s="1"/>
      <c r="IX1348" s="1"/>
      <c r="IY1348" s="1"/>
      <c r="IZ1348" s="1"/>
      <c r="JA1348" s="1"/>
      <c r="JB1348" s="1"/>
      <c r="JC1348" s="1"/>
      <c r="JD1348" s="1"/>
    </row>
    <row r="1349" s="504" customFormat="true" ht="12.75" hidden="false" customHeight="true" outlineLevel="0" collapsed="false">
      <c r="A1349" s="5"/>
      <c r="B1349" s="5"/>
      <c r="C1349" s="5"/>
      <c r="D1349" s="8"/>
      <c r="E1349" s="8"/>
      <c r="F1349" s="8"/>
      <c r="G1349" s="5"/>
      <c r="H1349" s="5"/>
      <c r="I1349" s="5"/>
      <c r="J1349" s="8"/>
      <c r="K1349" s="8"/>
      <c r="L1349" s="5"/>
      <c r="M1349" s="8"/>
      <c r="N1349" s="8"/>
      <c r="O1349" s="8"/>
      <c r="P1349" s="8"/>
      <c r="Q1349" s="5"/>
      <c r="R1349" s="5"/>
      <c r="S1349" s="5"/>
      <c r="T1349" s="5"/>
      <c r="U1349" s="5"/>
      <c r="V1349" s="10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  <c r="AR1349" s="5"/>
      <c r="AS1349" s="5"/>
      <c r="AT1349" s="502"/>
      <c r="AU1349" s="502"/>
      <c r="AV1349" s="606"/>
      <c r="AW1349" s="502"/>
      <c r="AX1349" s="502"/>
      <c r="AY1349" s="502"/>
      <c r="AZ1349" s="502"/>
      <c r="BA1349" s="502"/>
      <c r="BB1349" s="502"/>
      <c r="BC1349" s="502"/>
      <c r="BD1349" s="502"/>
      <c r="BE1349" s="502"/>
      <c r="BF1349" s="502"/>
      <c r="BG1349" s="502"/>
      <c r="BH1349" s="502"/>
      <c r="BI1349" s="502"/>
      <c r="BJ1349" s="502"/>
      <c r="BK1349" s="502"/>
      <c r="BL1349" s="502"/>
      <c r="BM1349" s="502"/>
      <c r="BN1349" s="502"/>
      <c r="BO1349" s="502"/>
      <c r="BP1349" s="5"/>
      <c r="BQ1349" s="5"/>
      <c r="BR1349" s="5"/>
      <c r="BS1349" s="5"/>
      <c r="BT1349" s="5"/>
      <c r="BU1349" s="5"/>
      <c r="BV1349" s="5"/>
      <c r="BW1349" s="5"/>
      <c r="BX1349" s="5"/>
      <c r="BY1349" s="5"/>
      <c r="BZ1349" s="5"/>
      <c r="CA1349" s="5"/>
      <c r="CB1349" s="5"/>
      <c r="CC1349" s="5"/>
      <c r="CD1349" s="5"/>
      <c r="CE1349" s="5"/>
      <c r="CF1349" s="5"/>
      <c r="CG1349" s="5"/>
      <c r="CH1349" s="5"/>
      <c r="CI1349" s="5"/>
      <c r="CJ1349" s="5"/>
      <c r="CK1349" s="5"/>
      <c r="CL1349" s="5"/>
      <c r="CM1349" s="5"/>
      <c r="CN1349" s="5"/>
      <c r="CO1349" s="5"/>
      <c r="CP1349" s="5"/>
      <c r="CQ1349" s="5"/>
      <c r="CR1349" s="5"/>
      <c r="CS1349" s="5"/>
      <c r="CT1349" s="5"/>
      <c r="CU1349" s="5"/>
      <c r="CV1349" s="5"/>
      <c r="CW1349" s="5"/>
      <c r="CX1349" s="5"/>
      <c r="CY1349" s="5"/>
      <c r="CZ1349" s="5"/>
      <c r="DA1349" s="5"/>
      <c r="DB1349" s="5"/>
      <c r="DC1349" s="5"/>
      <c r="DD1349" s="5"/>
      <c r="DE1349" s="5"/>
      <c r="DF1349" s="5"/>
      <c r="DG1349" s="5"/>
      <c r="DH1349" s="5"/>
      <c r="DI1349" s="5"/>
      <c r="DJ1349" s="5"/>
      <c r="DK1349" s="5"/>
      <c r="DL1349" s="5"/>
      <c r="DM1349" s="5"/>
      <c r="DN1349" s="5"/>
      <c r="DO1349" s="5"/>
      <c r="DP1349" s="5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  <c r="GV1349" s="1"/>
      <c r="GW1349" s="1"/>
      <c r="GX1349" s="1"/>
      <c r="GY1349" s="1"/>
      <c r="GZ1349" s="1"/>
      <c r="HA1349" s="1"/>
      <c r="HB1349" s="1"/>
      <c r="HC1349" s="1"/>
      <c r="HD1349" s="1"/>
      <c r="HE1349" s="1"/>
      <c r="HF1349" s="1"/>
      <c r="HG1349" s="1"/>
      <c r="HH1349" s="1"/>
      <c r="HI1349" s="1"/>
      <c r="HJ1349" s="1"/>
      <c r="HK1349" s="1"/>
      <c r="HL1349" s="1"/>
      <c r="HM1349" s="1"/>
      <c r="HN1349" s="1"/>
      <c r="HO1349" s="1"/>
      <c r="HP1349" s="1"/>
      <c r="HQ1349" s="1"/>
      <c r="HR1349" s="1"/>
      <c r="HS1349" s="1"/>
      <c r="HT1349" s="1"/>
      <c r="HU1349" s="1"/>
      <c r="HV1349" s="1"/>
      <c r="HW1349" s="1"/>
      <c r="HX1349" s="1"/>
      <c r="HY1349" s="1"/>
      <c r="HZ1349" s="1"/>
      <c r="IA1349" s="1"/>
      <c r="IB1349" s="1"/>
      <c r="IC1349" s="1"/>
      <c r="ID1349" s="1"/>
      <c r="IE1349" s="1"/>
      <c r="IF1349" s="1"/>
      <c r="IG1349" s="1"/>
      <c r="IH1349" s="1"/>
      <c r="II1349" s="1"/>
      <c r="IJ1349" s="1"/>
      <c r="IK1349" s="1"/>
      <c r="IL1349" s="1"/>
      <c r="IM1349" s="1"/>
      <c r="IN1349" s="1"/>
      <c r="IO1349" s="1"/>
      <c r="IP1349" s="1"/>
      <c r="IQ1349" s="1"/>
      <c r="IR1349" s="1"/>
      <c r="IS1349" s="1"/>
      <c r="IT1349" s="1"/>
      <c r="IU1349" s="1"/>
      <c r="IV1349" s="1"/>
      <c r="IW1349" s="1"/>
      <c r="IX1349" s="1"/>
      <c r="IY1349" s="1"/>
      <c r="IZ1349" s="1"/>
      <c r="JA1349" s="1"/>
      <c r="JB1349" s="1"/>
      <c r="JC1349" s="1"/>
      <c r="JD1349" s="1"/>
    </row>
    <row r="1350" s="504" customFormat="true" ht="12.75" hidden="false" customHeight="true" outlineLevel="0" collapsed="false">
      <c r="A1350" s="5"/>
      <c r="B1350" s="5"/>
      <c r="C1350" s="5"/>
      <c r="D1350" s="8"/>
      <c r="E1350" s="8"/>
      <c r="F1350" s="8"/>
      <c r="G1350" s="5"/>
      <c r="H1350" s="5"/>
      <c r="I1350" s="5"/>
      <c r="J1350" s="8"/>
      <c r="K1350" s="8"/>
      <c r="L1350" s="5"/>
      <c r="M1350" s="8"/>
      <c r="N1350" s="8"/>
      <c r="O1350" s="8"/>
      <c r="P1350" s="8"/>
      <c r="Q1350" s="5"/>
      <c r="R1350" s="5"/>
      <c r="S1350" s="5"/>
      <c r="T1350" s="5"/>
      <c r="U1350" s="5"/>
      <c r="V1350" s="10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02"/>
      <c r="AU1350" s="502"/>
      <c r="AV1350" s="606"/>
      <c r="AW1350" s="502"/>
      <c r="AX1350" s="502"/>
      <c r="AY1350" s="502"/>
      <c r="AZ1350" s="502"/>
      <c r="BA1350" s="502"/>
      <c r="BB1350" s="502"/>
      <c r="BC1350" s="502"/>
      <c r="BD1350" s="502"/>
      <c r="BE1350" s="502"/>
      <c r="BF1350" s="502"/>
      <c r="BG1350" s="502"/>
      <c r="BH1350" s="502"/>
      <c r="BI1350" s="502"/>
      <c r="BJ1350" s="502"/>
      <c r="BK1350" s="502"/>
      <c r="BL1350" s="502"/>
      <c r="BM1350" s="502"/>
      <c r="BN1350" s="502"/>
      <c r="BO1350" s="502"/>
      <c r="BP1350" s="5"/>
      <c r="BQ1350" s="5"/>
      <c r="BR1350" s="5"/>
      <c r="BS1350" s="5"/>
      <c r="BT1350" s="5"/>
      <c r="BU1350" s="5"/>
      <c r="BV1350" s="5"/>
      <c r="BW1350" s="5"/>
      <c r="BX1350" s="5"/>
      <c r="BY1350" s="5"/>
      <c r="BZ1350" s="5"/>
      <c r="CA1350" s="5"/>
      <c r="CB1350" s="5"/>
      <c r="CC1350" s="5"/>
      <c r="CD1350" s="5"/>
      <c r="CE1350" s="5"/>
      <c r="CF1350" s="5"/>
      <c r="CG1350" s="5"/>
      <c r="CH1350" s="5"/>
      <c r="CI1350" s="5"/>
      <c r="CJ1350" s="5"/>
      <c r="CK1350" s="5"/>
      <c r="CL1350" s="5"/>
      <c r="CM1350" s="5"/>
      <c r="CN1350" s="5"/>
      <c r="CO1350" s="5"/>
      <c r="CP1350" s="5"/>
      <c r="CQ1350" s="5"/>
      <c r="CR1350" s="5"/>
      <c r="CS1350" s="5"/>
      <c r="CT1350" s="5"/>
      <c r="CU1350" s="5"/>
      <c r="CV1350" s="5"/>
      <c r="CW1350" s="5"/>
      <c r="CX1350" s="5"/>
      <c r="CY1350" s="5"/>
      <c r="CZ1350" s="5"/>
      <c r="DA1350" s="5"/>
      <c r="DB1350" s="5"/>
      <c r="DC1350" s="5"/>
      <c r="DD1350" s="5"/>
      <c r="DE1350" s="5"/>
      <c r="DF1350" s="5"/>
      <c r="DG1350" s="5"/>
      <c r="DH1350" s="5"/>
      <c r="DI1350" s="5"/>
      <c r="DJ1350" s="5"/>
      <c r="DK1350" s="5"/>
      <c r="DL1350" s="5"/>
      <c r="DM1350" s="5"/>
      <c r="DN1350" s="5"/>
      <c r="DO1350" s="5"/>
      <c r="DP1350" s="5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  <c r="GV1350" s="1"/>
      <c r="GW1350" s="1"/>
      <c r="GX1350" s="1"/>
      <c r="GY1350" s="1"/>
      <c r="GZ1350" s="1"/>
      <c r="HA1350" s="1"/>
      <c r="HB1350" s="1"/>
      <c r="HC1350" s="1"/>
      <c r="HD1350" s="1"/>
      <c r="HE1350" s="1"/>
      <c r="HF1350" s="1"/>
      <c r="HG1350" s="1"/>
      <c r="HH1350" s="1"/>
      <c r="HI1350" s="1"/>
      <c r="HJ1350" s="1"/>
      <c r="HK1350" s="1"/>
      <c r="HL1350" s="1"/>
      <c r="HM1350" s="1"/>
      <c r="HN1350" s="1"/>
      <c r="HO1350" s="1"/>
      <c r="HP1350" s="1"/>
      <c r="HQ1350" s="1"/>
      <c r="HR1350" s="1"/>
      <c r="HS1350" s="1"/>
      <c r="HT1350" s="1"/>
      <c r="HU1350" s="1"/>
      <c r="HV1350" s="1"/>
      <c r="HW1350" s="1"/>
      <c r="HX1350" s="1"/>
      <c r="HY1350" s="1"/>
      <c r="HZ1350" s="1"/>
      <c r="IA1350" s="1"/>
      <c r="IB1350" s="1"/>
      <c r="IC1350" s="1"/>
      <c r="ID1350" s="1"/>
      <c r="IE1350" s="1"/>
      <c r="IF1350" s="1"/>
      <c r="IG1350" s="1"/>
      <c r="IH1350" s="1"/>
      <c r="II1350" s="1"/>
      <c r="IJ1350" s="1"/>
      <c r="IK1350" s="1"/>
      <c r="IL1350" s="1"/>
      <c r="IM1350" s="1"/>
      <c r="IN1350" s="1"/>
      <c r="IO1350" s="1"/>
      <c r="IP1350" s="1"/>
      <c r="IQ1350" s="1"/>
      <c r="IR1350" s="1"/>
      <c r="IS1350" s="1"/>
      <c r="IT1350" s="1"/>
      <c r="IU1350" s="1"/>
      <c r="IV1350" s="1"/>
      <c r="IW1350" s="1"/>
      <c r="IX1350" s="1"/>
      <c r="IY1350" s="1"/>
      <c r="IZ1350" s="1"/>
      <c r="JA1350" s="1"/>
      <c r="JB1350" s="1"/>
      <c r="JC1350" s="1"/>
      <c r="JD1350" s="1"/>
    </row>
    <row r="1351" s="504" customFormat="true" ht="12.75" hidden="false" customHeight="true" outlineLevel="0" collapsed="false">
      <c r="A1351" s="5"/>
      <c r="B1351" s="5"/>
      <c r="C1351" s="5"/>
      <c r="D1351" s="8"/>
      <c r="E1351" s="8"/>
      <c r="F1351" s="8"/>
      <c r="G1351" s="5"/>
      <c r="H1351" s="5"/>
      <c r="I1351" s="5"/>
      <c r="J1351" s="8"/>
      <c r="K1351" s="8"/>
      <c r="L1351" s="5"/>
      <c r="M1351" s="8"/>
      <c r="N1351" s="8"/>
      <c r="O1351" s="8"/>
      <c r="P1351" s="8"/>
      <c r="Q1351" s="5"/>
      <c r="R1351" s="5"/>
      <c r="S1351" s="5"/>
      <c r="T1351" s="5"/>
      <c r="U1351" s="5"/>
      <c r="V1351" s="10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02"/>
      <c r="AU1351" s="502"/>
      <c r="AV1351" s="606"/>
      <c r="AW1351" s="502"/>
      <c r="AX1351" s="502"/>
      <c r="AY1351" s="502"/>
      <c r="AZ1351" s="502"/>
      <c r="BA1351" s="502"/>
      <c r="BB1351" s="502"/>
      <c r="BC1351" s="502"/>
      <c r="BD1351" s="502"/>
      <c r="BE1351" s="502"/>
      <c r="BF1351" s="502"/>
      <c r="BG1351" s="502"/>
      <c r="BH1351" s="502"/>
      <c r="BI1351" s="502"/>
      <c r="BJ1351" s="502"/>
      <c r="BK1351" s="502"/>
      <c r="BL1351" s="502"/>
      <c r="BM1351" s="502"/>
      <c r="BN1351" s="502"/>
      <c r="BO1351" s="502"/>
      <c r="BP1351" s="5"/>
      <c r="BQ1351" s="5"/>
      <c r="BR1351" s="5"/>
      <c r="BS1351" s="5"/>
      <c r="BT1351" s="5"/>
      <c r="BU1351" s="5"/>
      <c r="BV1351" s="5"/>
      <c r="BW1351" s="5"/>
      <c r="BX1351" s="5"/>
      <c r="BY1351" s="5"/>
      <c r="BZ1351" s="5"/>
      <c r="CA1351" s="5"/>
      <c r="CB1351" s="5"/>
      <c r="CC1351" s="5"/>
      <c r="CD1351" s="5"/>
      <c r="CE1351" s="5"/>
      <c r="CF1351" s="5"/>
      <c r="CG1351" s="5"/>
      <c r="CH1351" s="5"/>
      <c r="CI1351" s="5"/>
      <c r="CJ1351" s="5"/>
      <c r="CK1351" s="5"/>
      <c r="CL1351" s="5"/>
      <c r="CM1351" s="5"/>
      <c r="CN1351" s="5"/>
      <c r="CO1351" s="5"/>
      <c r="CP1351" s="5"/>
      <c r="CQ1351" s="5"/>
      <c r="CR1351" s="5"/>
      <c r="CS1351" s="5"/>
      <c r="CT1351" s="5"/>
      <c r="CU1351" s="5"/>
      <c r="CV1351" s="5"/>
      <c r="CW1351" s="5"/>
      <c r="CX1351" s="5"/>
      <c r="CY1351" s="5"/>
      <c r="CZ1351" s="5"/>
      <c r="DA1351" s="5"/>
      <c r="DB1351" s="5"/>
      <c r="DC1351" s="5"/>
      <c r="DD1351" s="5"/>
      <c r="DE1351" s="5"/>
      <c r="DF1351" s="5"/>
      <c r="DG1351" s="5"/>
      <c r="DH1351" s="5"/>
      <c r="DI1351" s="5"/>
      <c r="DJ1351" s="5"/>
      <c r="DK1351" s="5"/>
      <c r="DL1351" s="5"/>
      <c r="DM1351" s="5"/>
      <c r="DN1351" s="5"/>
      <c r="DO1351" s="5"/>
      <c r="DP1351" s="5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  <c r="GV1351" s="1"/>
      <c r="GW1351" s="1"/>
      <c r="GX1351" s="1"/>
      <c r="GY1351" s="1"/>
      <c r="GZ1351" s="1"/>
      <c r="HA1351" s="1"/>
      <c r="HB1351" s="1"/>
      <c r="HC1351" s="1"/>
      <c r="HD1351" s="1"/>
      <c r="HE1351" s="1"/>
      <c r="HF1351" s="1"/>
      <c r="HG1351" s="1"/>
      <c r="HH1351" s="1"/>
      <c r="HI1351" s="1"/>
      <c r="HJ1351" s="1"/>
      <c r="HK1351" s="1"/>
      <c r="HL1351" s="1"/>
      <c r="HM1351" s="1"/>
      <c r="HN1351" s="1"/>
      <c r="HO1351" s="1"/>
      <c r="HP1351" s="1"/>
      <c r="HQ1351" s="1"/>
      <c r="HR1351" s="1"/>
      <c r="HS1351" s="1"/>
      <c r="HT1351" s="1"/>
      <c r="HU1351" s="1"/>
      <c r="HV1351" s="1"/>
      <c r="HW1351" s="1"/>
      <c r="HX1351" s="1"/>
      <c r="HY1351" s="1"/>
      <c r="HZ1351" s="1"/>
      <c r="IA1351" s="1"/>
      <c r="IB1351" s="1"/>
      <c r="IC1351" s="1"/>
      <c r="ID1351" s="1"/>
      <c r="IE1351" s="1"/>
      <c r="IF1351" s="1"/>
      <c r="IG1351" s="1"/>
      <c r="IH1351" s="1"/>
      <c r="II1351" s="1"/>
      <c r="IJ1351" s="1"/>
      <c r="IK1351" s="1"/>
      <c r="IL1351" s="1"/>
      <c r="IM1351" s="1"/>
      <c r="IN1351" s="1"/>
      <c r="IO1351" s="1"/>
      <c r="IP1351" s="1"/>
      <c r="IQ1351" s="1"/>
      <c r="IR1351" s="1"/>
      <c r="IS1351" s="1"/>
      <c r="IT1351" s="1"/>
      <c r="IU1351" s="1"/>
      <c r="IV1351" s="1"/>
      <c r="IW1351" s="1"/>
      <c r="IX1351" s="1"/>
      <c r="IY1351" s="1"/>
      <c r="IZ1351" s="1"/>
      <c r="JA1351" s="1"/>
      <c r="JB1351" s="1"/>
      <c r="JC1351" s="1"/>
      <c r="JD1351" s="1"/>
    </row>
    <row r="1352" s="504" customFormat="true" ht="12.75" hidden="false" customHeight="true" outlineLevel="0" collapsed="false">
      <c r="A1352" s="5"/>
      <c r="B1352" s="5"/>
      <c r="C1352" s="5"/>
      <c r="D1352" s="8"/>
      <c r="E1352" s="8"/>
      <c r="F1352" s="8"/>
      <c r="G1352" s="5"/>
      <c r="H1352" s="5"/>
      <c r="I1352" s="5"/>
      <c r="J1352" s="8"/>
      <c r="K1352" s="8"/>
      <c r="L1352" s="5"/>
      <c r="M1352" s="8"/>
      <c r="N1352" s="8"/>
      <c r="O1352" s="8"/>
      <c r="P1352" s="8"/>
      <c r="Q1352" s="5"/>
      <c r="R1352" s="5"/>
      <c r="S1352" s="5"/>
      <c r="T1352" s="5"/>
      <c r="U1352" s="5"/>
      <c r="V1352" s="10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02"/>
      <c r="AU1352" s="502"/>
      <c r="AV1352" s="606"/>
      <c r="AW1352" s="502"/>
      <c r="AX1352" s="502"/>
      <c r="AY1352" s="502"/>
      <c r="AZ1352" s="502"/>
      <c r="BA1352" s="502"/>
      <c r="BB1352" s="502"/>
      <c r="BC1352" s="502"/>
      <c r="BD1352" s="502"/>
      <c r="BE1352" s="502"/>
      <c r="BF1352" s="502"/>
      <c r="BG1352" s="502"/>
      <c r="BH1352" s="502"/>
      <c r="BI1352" s="502"/>
      <c r="BJ1352" s="502"/>
      <c r="BK1352" s="502"/>
      <c r="BL1352" s="502"/>
      <c r="BM1352" s="502"/>
      <c r="BN1352" s="502"/>
      <c r="BO1352" s="502"/>
      <c r="BP1352" s="5"/>
      <c r="BQ1352" s="5"/>
      <c r="BR1352" s="5"/>
      <c r="BS1352" s="5"/>
      <c r="BT1352" s="5"/>
      <c r="BU1352" s="5"/>
      <c r="BV1352" s="5"/>
      <c r="BW1352" s="5"/>
      <c r="BX1352" s="5"/>
      <c r="BY1352" s="5"/>
      <c r="BZ1352" s="5"/>
      <c r="CA1352" s="5"/>
      <c r="CB1352" s="5"/>
      <c r="CC1352" s="5"/>
      <c r="CD1352" s="5"/>
      <c r="CE1352" s="5"/>
      <c r="CF1352" s="5"/>
      <c r="CG1352" s="5"/>
      <c r="CH1352" s="5"/>
      <c r="CI1352" s="5"/>
      <c r="CJ1352" s="5"/>
      <c r="CK1352" s="5"/>
      <c r="CL1352" s="5"/>
      <c r="CM1352" s="5"/>
      <c r="CN1352" s="5"/>
      <c r="CO1352" s="5"/>
      <c r="CP1352" s="5"/>
      <c r="CQ1352" s="5"/>
      <c r="CR1352" s="5"/>
      <c r="CS1352" s="5"/>
      <c r="CT1352" s="5"/>
      <c r="CU1352" s="5"/>
      <c r="CV1352" s="5"/>
      <c r="CW1352" s="5"/>
      <c r="CX1352" s="5"/>
      <c r="CY1352" s="5"/>
      <c r="CZ1352" s="5"/>
      <c r="DA1352" s="5"/>
      <c r="DB1352" s="5"/>
      <c r="DC1352" s="5"/>
      <c r="DD1352" s="5"/>
      <c r="DE1352" s="5"/>
      <c r="DF1352" s="5"/>
      <c r="DG1352" s="5"/>
      <c r="DH1352" s="5"/>
      <c r="DI1352" s="5"/>
      <c r="DJ1352" s="5"/>
      <c r="DK1352" s="5"/>
      <c r="DL1352" s="5"/>
      <c r="DM1352" s="5"/>
      <c r="DN1352" s="5"/>
      <c r="DO1352" s="5"/>
      <c r="DP1352" s="5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  <c r="GV1352" s="1"/>
      <c r="GW1352" s="1"/>
      <c r="GX1352" s="1"/>
      <c r="GY1352" s="1"/>
      <c r="GZ1352" s="1"/>
      <c r="HA1352" s="1"/>
      <c r="HB1352" s="1"/>
      <c r="HC1352" s="1"/>
      <c r="HD1352" s="1"/>
      <c r="HE1352" s="1"/>
      <c r="HF1352" s="1"/>
      <c r="HG1352" s="1"/>
      <c r="HH1352" s="1"/>
      <c r="HI1352" s="1"/>
      <c r="HJ1352" s="1"/>
      <c r="HK1352" s="1"/>
      <c r="HL1352" s="1"/>
      <c r="HM1352" s="1"/>
      <c r="HN1352" s="1"/>
      <c r="HO1352" s="1"/>
      <c r="HP1352" s="1"/>
      <c r="HQ1352" s="1"/>
      <c r="HR1352" s="1"/>
      <c r="HS1352" s="1"/>
      <c r="HT1352" s="1"/>
      <c r="HU1352" s="1"/>
      <c r="HV1352" s="1"/>
      <c r="HW1352" s="1"/>
      <c r="HX1352" s="1"/>
      <c r="HY1352" s="1"/>
      <c r="HZ1352" s="1"/>
      <c r="IA1352" s="1"/>
      <c r="IB1352" s="1"/>
      <c r="IC1352" s="1"/>
      <c r="ID1352" s="1"/>
      <c r="IE1352" s="1"/>
      <c r="IF1352" s="1"/>
      <c r="IG1352" s="1"/>
      <c r="IH1352" s="1"/>
      <c r="II1352" s="1"/>
      <c r="IJ1352" s="1"/>
      <c r="IK1352" s="1"/>
      <c r="IL1352" s="1"/>
      <c r="IM1352" s="1"/>
      <c r="IN1352" s="1"/>
      <c r="IO1352" s="1"/>
      <c r="IP1352" s="1"/>
      <c r="IQ1352" s="1"/>
      <c r="IR1352" s="1"/>
      <c r="IS1352" s="1"/>
      <c r="IT1352" s="1"/>
      <c r="IU1352" s="1"/>
      <c r="IV1352" s="1"/>
      <c r="IW1352" s="1"/>
      <c r="IX1352" s="1"/>
      <c r="IY1352" s="1"/>
      <c r="IZ1352" s="1"/>
      <c r="JA1352" s="1"/>
      <c r="JB1352" s="1"/>
      <c r="JC1352" s="1"/>
      <c r="JD1352" s="1"/>
    </row>
    <row r="1353" s="504" customFormat="true" ht="12.75" hidden="false" customHeight="true" outlineLevel="0" collapsed="false">
      <c r="A1353" s="5"/>
      <c r="B1353" s="5"/>
      <c r="C1353" s="5"/>
      <c r="D1353" s="8"/>
      <c r="E1353" s="8"/>
      <c r="F1353" s="8"/>
      <c r="G1353" s="5"/>
      <c r="H1353" s="5"/>
      <c r="I1353" s="5"/>
      <c r="J1353" s="8"/>
      <c r="K1353" s="8"/>
      <c r="L1353" s="5"/>
      <c r="M1353" s="8"/>
      <c r="N1353" s="8"/>
      <c r="O1353" s="8"/>
      <c r="P1353" s="8"/>
      <c r="Q1353" s="5"/>
      <c r="R1353" s="5"/>
      <c r="S1353" s="5"/>
      <c r="T1353" s="5"/>
      <c r="U1353" s="5"/>
      <c r="V1353" s="10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02"/>
      <c r="AU1353" s="502"/>
      <c r="AV1353" s="606"/>
      <c r="AW1353" s="502"/>
      <c r="AX1353" s="502"/>
      <c r="AY1353" s="502"/>
      <c r="AZ1353" s="502"/>
      <c r="BA1353" s="502"/>
      <c r="BB1353" s="502"/>
      <c r="BC1353" s="502"/>
      <c r="BD1353" s="502"/>
      <c r="BE1353" s="502"/>
      <c r="BF1353" s="502"/>
      <c r="BG1353" s="502"/>
      <c r="BH1353" s="502"/>
      <c r="BI1353" s="502"/>
      <c r="BJ1353" s="502"/>
      <c r="BK1353" s="502"/>
      <c r="BL1353" s="502"/>
      <c r="BM1353" s="502"/>
      <c r="BN1353" s="502"/>
      <c r="BO1353" s="502"/>
      <c r="BP1353" s="5"/>
      <c r="BQ1353" s="5"/>
      <c r="BR1353" s="5"/>
      <c r="BS1353" s="5"/>
      <c r="BT1353" s="5"/>
      <c r="BU1353" s="5"/>
      <c r="BV1353" s="5"/>
      <c r="BW1353" s="5"/>
      <c r="BX1353" s="5"/>
      <c r="BY1353" s="5"/>
      <c r="BZ1353" s="5"/>
      <c r="CA1353" s="5"/>
      <c r="CB1353" s="5"/>
      <c r="CC1353" s="5"/>
      <c r="CD1353" s="5"/>
      <c r="CE1353" s="5"/>
      <c r="CF1353" s="5"/>
      <c r="CG1353" s="5"/>
      <c r="CH1353" s="5"/>
      <c r="CI1353" s="5"/>
      <c r="CJ1353" s="5"/>
      <c r="CK1353" s="5"/>
      <c r="CL1353" s="5"/>
      <c r="CM1353" s="5"/>
      <c r="CN1353" s="5"/>
      <c r="CO1353" s="5"/>
      <c r="CP1353" s="5"/>
      <c r="CQ1353" s="5"/>
      <c r="CR1353" s="5"/>
      <c r="CS1353" s="5"/>
      <c r="CT1353" s="5"/>
      <c r="CU1353" s="5"/>
      <c r="CV1353" s="5"/>
      <c r="CW1353" s="5"/>
      <c r="CX1353" s="5"/>
      <c r="CY1353" s="5"/>
      <c r="CZ1353" s="5"/>
      <c r="DA1353" s="5"/>
      <c r="DB1353" s="5"/>
      <c r="DC1353" s="5"/>
      <c r="DD1353" s="5"/>
      <c r="DE1353" s="5"/>
      <c r="DF1353" s="5"/>
      <c r="DG1353" s="5"/>
      <c r="DH1353" s="5"/>
      <c r="DI1353" s="5"/>
      <c r="DJ1353" s="5"/>
      <c r="DK1353" s="5"/>
      <c r="DL1353" s="5"/>
      <c r="DM1353" s="5"/>
      <c r="DN1353" s="5"/>
      <c r="DO1353" s="5"/>
      <c r="DP1353" s="5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  <c r="GV1353" s="1"/>
      <c r="GW1353" s="1"/>
      <c r="GX1353" s="1"/>
      <c r="GY1353" s="1"/>
      <c r="GZ1353" s="1"/>
      <c r="HA1353" s="1"/>
      <c r="HB1353" s="1"/>
      <c r="HC1353" s="1"/>
      <c r="HD1353" s="1"/>
      <c r="HE1353" s="1"/>
      <c r="HF1353" s="1"/>
      <c r="HG1353" s="1"/>
      <c r="HH1353" s="1"/>
      <c r="HI1353" s="1"/>
      <c r="HJ1353" s="1"/>
      <c r="HK1353" s="1"/>
      <c r="HL1353" s="1"/>
      <c r="HM1353" s="1"/>
      <c r="HN1353" s="1"/>
      <c r="HO1353" s="1"/>
      <c r="HP1353" s="1"/>
      <c r="HQ1353" s="1"/>
      <c r="HR1353" s="1"/>
      <c r="HS1353" s="1"/>
      <c r="HT1353" s="1"/>
      <c r="HU1353" s="1"/>
      <c r="HV1353" s="1"/>
      <c r="HW1353" s="1"/>
      <c r="HX1353" s="1"/>
      <c r="HY1353" s="1"/>
      <c r="HZ1353" s="1"/>
      <c r="IA1353" s="1"/>
      <c r="IB1353" s="1"/>
      <c r="IC1353" s="1"/>
      <c r="ID1353" s="1"/>
      <c r="IE1353" s="1"/>
      <c r="IF1353" s="1"/>
      <c r="IG1353" s="1"/>
      <c r="IH1353" s="1"/>
      <c r="II1353" s="1"/>
      <c r="IJ1353" s="1"/>
      <c r="IK1353" s="1"/>
      <c r="IL1353" s="1"/>
      <c r="IM1353" s="1"/>
      <c r="IN1353" s="1"/>
      <c r="IO1353" s="1"/>
      <c r="IP1353" s="1"/>
      <c r="IQ1353" s="1"/>
      <c r="IR1353" s="1"/>
      <c r="IS1353" s="1"/>
      <c r="IT1353" s="1"/>
      <c r="IU1353" s="1"/>
      <c r="IV1353" s="1"/>
      <c r="IW1353" s="1"/>
      <c r="IX1353" s="1"/>
      <c r="IY1353" s="1"/>
      <c r="IZ1353" s="1"/>
      <c r="JA1353" s="1"/>
      <c r="JB1353" s="1"/>
      <c r="JC1353" s="1"/>
      <c r="JD1353" s="1"/>
    </row>
    <row r="1354" s="504" customFormat="true" ht="12.75" hidden="false" customHeight="true" outlineLevel="0" collapsed="false">
      <c r="A1354" s="5"/>
      <c r="B1354" s="5"/>
      <c r="C1354" s="5"/>
      <c r="D1354" s="8"/>
      <c r="E1354" s="8"/>
      <c r="F1354" s="8"/>
      <c r="G1354" s="5"/>
      <c r="H1354" s="5"/>
      <c r="I1354" s="5"/>
      <c r="J1354" s="8"/>
      <c r="K1354" s="8"/>
      <c r="L1354" s="5"/>
      <c r="M1354" s="8"/>
      <c r="N1354" s="8"/>
      <c r="O1354" s="8"/>
      <c r="P1354" s="8"/>
      <c r="Q1354" s="5"/>
      <c r="R1354" s="5"/>
      <c r="S1354" s="5"/>
      <c r="T1354" s="5"/>
      <c r="U1354" s="5"/>
      <c r="V1354" s="10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02"/>
      <c r="AU1354" s="502"/>
      <c r="AV1354" s="606"/>
      <c r="AW1354" s="502"/>
      <c r="AX1354" s="502"/>
      <c r="AY1354" s="502"/>
      <c r="AZ1354" s="502"/>
      <c r="BA1354" s="502"/>
      <c r="BB1354" s="502"/>
      <c r="BC1354" s="502"/>
      <c r="BD1354" s="502"/>
      <c r="BE1354" s="502"/>
      <c r="BF1354" s="502"/>
      <c r="BG1354" s="502"/>
      <c r="BH1354" s="502"/>
      <c r="BI1354" s="502"/>
      <c r="BJ1354" s="502"/>
      <c r="BK1354" s="502"/>
      <c r="BL1354" s="502"/>
      <c r="BM1354" s="502"/>
      <c r="BN1354" s="502"/>
      <c r="BO1354" s="502"/>
      <c r="BP1354" s="5"/>
      <c r="BQ1354" s="5"/>
      <c r="BR1354" s="5"/>
      <c r="BS1354" s="5"/>
      <c r="BT1354" s="5"/>
      <c r="BU1354" s="5"/>
      <c r="BV1354" s="5"/>
      <c r="BW1354" s="5"/>
      <c r="BX1354" s="5"/>
      <c r="BY1354" s="5"/>
      <c r="BZ1354" s="5"/>
      <c r="CA1354" s="5"/>
      <c r="CB1354" s="5"/>
      <c r="CC1354" s="5"/>
      <c r="CD1354" s="5"/>
      <c r="CE1354" s="5"/>
      <c r="CF1354" s="5"/>
      <c r="CG1354" s="5"/>
      <c r="CH1354" s="5"/>
      <c r="CI1354" s="5"/>
      <c r="CJ1354" s="5"/>
      <c r="CK1354" s="5"/>
      <c r="CL1354" s="5"/>
      <c r="CM1354" s="5"/>
      <c r="CN1354" s="5"/>
      <c r="CO1354" s="5"/>
      <c r="CP1354" s="5"/>
      <c r="CQ1354" s="5"/>
      <c r="CR1354" s="5"/>
      <c r="CS1354" s="5"/>
      <c r="CT1354" s="5"/>
      <c r="CU1354" s="5"/>
      <c r="CV1354" s="5"/>
      <c r="CW1354" s="5"/>
      <c r="CX1354" s="5"/>
      <c r="CY1354" s="5"/>
      <c r="CZ1354" s="5"/>
      <c r="DA1354" s="5"/>
      <c r="DB1354" s="5"/>
      <c r="DC1354" s="5"/>
      <c r="DD1354" s="5"/>
      <c r="DE1354" s="5"/>
      <c r="DF1354" s="5"/>
      <c r="DG1354" s="5"/>
      <c r="DH1354" s="5"/>
      <c r="DI1354" s="5"/>
      <c r="DJ1354" s="5"/>
      <c r="DK1354" s="5"/>
      <c r="DL1354" s="5"/>
      <c r="DM1354" s="5"/>
      <c r="DN1354" s="5"/>
      <c r="DO1354" s="5"/>
      <c r="DP1354" s="5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  <c r="GV1354" s="1"/>
      <c r="GW1354" s="1"/>
      <c r="GX1354" s="1"/>
      <c r="GY1354" s="1"/>
      <c r="GZ1354" s="1"/>
      <c r="HA1354" s="1"/>
      <c r="HB1354" s="1"/>
      <c r="HC1354" s="1"/>
      <c r="HD1354" s="1"/>
      <c r="HE1354" s="1"/>
      <c r="HF1354" s="1"/>
      <c r="HG1354" s="1"/>
      <c r="HH1354" s="1"/>
      <c r="HI1354" s="1"/>
      <c r="HJ1354" s="1"/>
      <c r="HK1354" s="1"/>
      <c r="HL1354" s="1"/>
      <c r="HM1354" s="1"/>
      <c r="HN1354" s="1"/>
      <c r="HO1354" s="1"/>
      <c r="HP1354" s="1"/>
      <c r="HQ1354" s="1"/>
      <c r="HR1354" s="1"/>
      <c r="HS1354" s="1"/>
      <c r="HT1354" s="1"/>
      <c r="HU1354" s="1"/>
      <c r="HV1354" s="1"/>
      <c r="HW1354" s="1"/>
      <c r="HX1354" s="1"/>
      <c r="HY1354" s="1"/>
      <c r="HZ1354" s="1"/>
      <c r="IA1354" s="1"/>
      <c r="IB1354" s="1"/>
      <c r="IC1354" s="1"/>
      <c r="ID1354" s="1"/>
      <c r="IE1354" s="1"/>
      <c r="IF1354" s="1"/>
      <c r="IG1354" s="1"/>
      <c r="IH1354" s="1"/>
      <c r="II1354" s="1"/>
      <c r="IJ1354" s="1"/>
      <c r="IK1354" s="1"/>
      <c r="IL1354" s="1"/>
      <c r="IM1354" s="1"/>
      <c r="IN1354" s="1"/>
      <c r="IO1354" s="1"/>
      <c r="IP1354" s="1"/>
      <c r="IQ1354" s="1"/>
      <c r="IR1354" s="1"/>
      <c r="IS1354" s="1"/>
      <c r="IT1354" s="1"/>
      <c r="IU1354" s="1"/>
      <c r="IV1354" s="1"/>
      <c r="IW1354" s="1"/>
      <c r="IX1354" s="1"/>
      <c r="IY1354" s="1"/>
      <c r="IZ1354" s="1"/>
      <c r="JA1354" s="1"/>
      <c r="JB1354" s="1"/>
      <c r="JC1354" s="1"/>
      <c r="JD1354" s="1"/>
    </row>
    <row r="1355" s="504" customFormat="true" ht="12.75" hidden="false" customHeight="true" outlineLevel="0" collapsed="false">
      <c r="A1355" s="5"/>
      <c r="B1355" s="5"/>
      <c r="C1355" s="5"/>
      <c r="D1355" s="8"/>
      <c r="E1355" s="8"/>
      <c r="F1355" s="8"/>
      <c r="G1355" s="5"/>
      <c r="H1355" s="5"/>
      <c r="I1355" s="5"/>
      <c r="J1355" s="8"/>
      <c r="K1355" s="8"/>
      <c r="L1355" s="5"/>
      <c r="M1355" s="8"/>
      <c r="N1355" s="8"/>
      <c r="O1355" s="8"/>
      <c r="P1355" s="8"/>
      <c r="Q1355" s="5"/>
      <c r="R1355" s="5"/>
      <c r="S1355" s="5"/>
      <c r="T1355" s="5"/>
      <c r="U1355" s="5"/>
      <c r="V1355" s="10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02"/>
      <c r="AU1355" s="502"/>
      <c r="AV1355" s="606"/>
      <c r="AW1355" s="502"/>
      <c r="AX1355" s="502"/>
      <c r="AY1355" s="502"/>
      <c r="AZ1355" s="502"/>
      <c r="BA1355" s="502"/>
      <c r="BB1355" s="502"/>
      <c r="BC1355" s="502"/>
      <c r="BD1355" s="502"/>
      <c r="BE1355" s="502"/>
      <c r="BF1355" s="502"/>
      <c r="BG1355" s="502"/>
      <c r="BH1355" s="502"/>
      <c r="BI1355" s="502"/>
      <c r="BJ1355" s="502"/>
      <c r="BK1355" s="502"/>
      <c r="BL1355" s="502"/>
      <c r="BM1355" s="502"/>
      <c r="BN1355" s="502"/>
      <c r="BO1355" s="502"/>
      <c r="BP1355" s="5"/>
      <c r="BQ1355" s="5"/>
      <c r="BR1355" s="5"/>
      <c r="BS1355" s="5"/>
      <c r="BT1355" s="5"/>
      <c r="BU1355" s="5"/>
      <c r="BV1355" s="5"/>
      <c r="BW1355" s="5"/>
      <c r="BX1355" s="5"/>
      <c r="BY1355" s="5"/>
      <c r="BZ1355" s="5"/>
      <c r="CA1355" s="5"/>
      <c r="CB1355" s="5"/>
      <c r="CC1355" s="5"/>
      <c r="CD1355" s="5"/>
      <c r="CE1355" s="5"/>
      <c r="CF1355" s="5"/>
      <c r="CG1355" s="5"/>
      <c r="CH1355" s="5"/>
      <c r="CI1355" s="5"/>
      <c r="CJ1355" s="5"/>
      <c r="CK1355" s="5"/>
      <c r="CL1355" s="5"/>
      <c r="CM1355" s="5"/>
      <c r="CN1355" s="5"/>
      <c r="CO1355" s="5"/>
      <c r="CP1355" s="5"/>
      <c r="CQ1355" s="5"/>
      <c r="CR1355" s="5"/>
      <c r="CS1355" s="5"/>
      <c r="CT1355" s="5"/>
      <c r="CU1355" s="5"/>
      <c r="CV1355" s="5"/>
      <c r="CW1355" s="5"/>
      <c r="CX1355" s="5"/>
      <c r="CY1355" s="5"/>
      <c r="CZ1355" s="5"/>
      <c r="DA1355" s="5"/>
      <c r="DB1355" s="5"/>
      <c r="DC1355" s="5"/>
      <c r="DD1355" s="5"/>
      <c r="DE1355" s="5"/>
      <c r="DF1355" s="5"/>
      <c r="DG1355" s="5"/>
      <c r="DH1355" s="5"/>
      <c r="DI1355" s="5"/>
      <c r="DJ1355" s="5"/>
      <c r="DK1355" s="5"/>
      <c r="DL1355" s="5"/>
      <c r="DM1355" s="5"/>
      <c r="DN1355" s="5"/>
      <c r="DO1355" s="5"/>
      <c r="DP1355" s="5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  <c r="GV1355" s="1"/>
      <c r="GW1355" s="1"/>
      <c r="GX1355" s="1"/>
      <c r="GY1355" s="1"/>
      <c r="GZ1355" s="1"/>
      <c r="HA1355" s="1"/>
      <c r="HB1355" s="1"/>
      <c r="HC1355" s="1"/>
      <c r="HD1355" s="1"/>
      <c r="HE1355" s="1"/>
      <c r="HF1355" s="1"/>
      <c r="HG1355" s="1"/>
      <c r="HH1355" s="1"/>
      <c r="HI1355" s="1"/>
      <c r="HJ1355" s="1"/>
      <c r="HK1355" s="1"/>
      <c r="HL1355" s="1"/>
      <c r="HM1355" s="1"/>
      <c r="HN1355" s="1"/>
      <c r="HO1355" s="1"/>
      <c r="HP1355" s="1"/>
      <c r="HQ1355" s="1"/>
      <c r="HR1355" s="1"/>
      <c r="HS1355" s="1"/>
      <c r="HT1355" s="1"/>
      <c r="HU1355" s="1"/>
      <c r="HV1355" s="1"/>
      <c r="HW1355" s="1"/>
      <c r="HX1355" s="1"/>
      <c r="HY1355" s="1"/>
      <c r="HZ1355" s="1"/>
      <c r="IA1355" s="1"/>
      <c r="IB1355" s="1"/>
      <c r="IC1355" s="1"/>
      <c r="ID1355" s="1"/>
      <c r="IE1355" s="1"/>
      <c r="IF1355" s="1"/>
      <c r="IG1355" s="1"/>
      <c r="IH1355" s="1"/>
      <c r="II1355" s="1"/>
      <c r="IJ1355" s="1"/>
      <c r="IK1355" s="1"/>
      <c r="IL1355" s="1"/>
      <c r="IM1355" s="1"/>
      <c r="IN1355" s="1"/>
      <c r="IO1355" s="1"/>
      <c r="IP1355" s="1"/>
      <c r="IQ1355" s="1"/>
      <c r="IR1355" s="1"/>
      <c r="IS1355" s="1"/>
      <c r="IT1355" s="1"/>
      <c r="IU1355" s="1"/>
      <c r="IV1355" s="1"/>
      <c r="IW1355" s="1"/>
      <c r="IX1355" s="1"/>
      <c r="IY1355" s="1"/>
      <c r="IZ1355" s="1"/>
      <c r="JA1355" s="1"/>
      <c r="JB1355" s="1"/>
      <c r="JC1355" s="1"/>
      <c r="JD1355" s="1"/>
    </row>
    <row r="1356" s="504" customFormat="true" ht="12.75" hidden="false" customHeight="true" outlineLevel="0" collapsed="false">
      <c r="A1356" s="5"/>
      <c r="B1356" s="5"/>
      <c r="C1356" s="5"/>
      <c r="D1356" s="8"/>
      <c r="E1356" s="8"/>
      <c r="F1356" s="8"/>
      <c r="G1356" s="5"/>
      <c r="H1356" s="5"/>
      <c r="I1356" s="5"/>
      <c r="J1356" s="8"/>
      <c r="K1356" s="8"/>
      <c r="L1356" s="5"/>
      <c r="M1356" s="8"/>
      <c r="N1356" s="8"/>
      <c r="O1356" s="8"/>
      <c r="P1356" s="8"/>
      <c r="Q1356" s="5"/>
      <c r="R1356" s="5"/>
      <c r="S1356" s="5"/>
      <c r="T1356" s="5"/>
      <c r="U1356" s="5"/>
      <c r="V1356" s="10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02"/>
      <c r="AU1356" s="502"/>
      <c r="AV1356" s="606"/>
      <c r="AW1356" s="502"/>
      <c r="AX1356" s="502"/>
      <c r="AY1356" s="502"/>
      <c r="AZ1356" s="502"/>
      <c r="BA1356" s="502"/>
      <c r="BB1356" s="502"/>
      <c r="BC1356" s="502"/>
      <c r="BD1356" s="502"/>
      <c r="BE1356" s="502"/>
      <c r="BF1356" s="502"/>
      <c r="BG1356" s="502"/>
      <c r="BH1356" s="502"/>
      <c r="BI1356" s="502"/>
      <c r="BJ1356" s="502"/>
      <c r="BK1356" s="502"/>
      <c r="BL1356" s="502"/>
      <c r="BM1356" s="502"/>
      <c r="BN1356" s="502"/>
      <c r="BO1356" s="502"/>
      <c r="BP1356" s="5"/>
      <c r="BQ1356" s="5"/>
      <c r="BR1356" s="5"/>
      <c r="BS1356" s="5"/>
      <c r="BT1356" s="5"/>
      <c r="BU1356" s="5"/>
      <c r="BV1356" s="5"/>
      <c r="BW1356" s="5"/>
      <c r="BX1356" s="5"/>
      <c r="BY1356" s="5"/>
      <c r="BZ1356" s="5"/>
      <c r="CA1356" s="5"/>
      <c r="CB1356" s="5"/>
      <c r="CC1356" s="5"/>
      <c r="CD1356" s="5"/>
      <c r="CE1356" s="5"/>
      <c r="CF1356" s="5"/>
      <c r="CG1356" s="5"/>
      <c r="CH1356" s="5"/>
      <c r="CI1356" s="5"/>
      <c r="CJ1356" s="5"/>
      <c r="CK1356" s="5"/>
      <c r="CL1356" s="5"/>
      <c r="CM1356" s="5"/>
      <c r="CN1356" s="5"/>
      <c r="CO1356" s="5"/>
      <c r="CP1356" s="5"/>
      <c r="CQ1356" s="5"/>
      <c r="CR1356" s="5"/>
      <c r="CS1356" s="5"/>
      <c r="CT1356" s="5"/>
      <c r="CU1356" s="5"/>
      <c r="CV1356" s="5"/>
      <c r="CW1356" s="5"/>
      <c r="CX1356" s="5"/>
      <c r="CY1356" s="5"/>
      <c r="CZ1356" s="5"/>
      <c r="DA1356" s="5"/>
      <c r="DB1356" s="5"/>
      <c r="DC1356" s="5"/>
      <c r="DD1356" s="5"/>
      <c r="DE1356" s="5"/>
      <c r="DF1356" s="5"/>
      <c r="DG1356" s="5"/>
      <c r="DH1356" s="5"/>
      <c r="DI1356" s="5"/>
      <c r="DJ1356" s="5"/>
      <c r="DK1356" s="5"/>
      <c r="DL1356" s="5"/>
      <c r="DM1356" s="5"/>
      <c r="DN1356" s="5"/>
      <c r="DO1356" s="5"/>
      <c r="DP1356" s="5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  <c r="GV1356" s="1"/>
      <c r="GW1356" s="1"/>
      <c r="GX1356" s="1"/>
      <c r="GY1356" s="1"/>
      <c r="GZ1356" s="1"/>
      <c r="HA1356" s="1"/>
      <c r="HB1356" s="1"/>
      <c r="HC1356" s="1"/>
      <c r="HD1356" s="1"/>
      <c r="HE1356" s="1"/>
      <c r="HF1356" s="1"/>
      <c r="HG1356" s="1"/>
      <c r="HH1356" s="1"/>
      <c r="HI1356" s="1"/>
      <c r="HJ1356" s="1"/>
      <c r="HK1356" s="1"/>
      <c r="HL1356" s="1"/>
      <c r="HM1356" s="1"/>
      <c r="HN1356" s="1"/>
      <c r="HO1356" s="1"/>
      <c r="HP1356" s="1"/>
      <c r="HQ1356" s="1"/>
      <c r="HR1356" s="1"/>
      <c r="HS1356" s="1"/>
      <c r="HT1356" s="1"/>
      <c r="HU1356" s="1"/>
      <c r="HV1356" s="1"/>
      <c r="HW1356" s="1"/>
      <c r="HX1356" s="1"/>
      <c r="HY1356" s="1"/>
      <c r="HZ1356" s="1"/>
      <c r="IA1356" s="1"/>
      <c r="IB1356" s="1"/>
      <c r="IC1356" s="1"/>
      <c r="ID1356" s="1"/>
      <c r="IE1356" s="1"/>
      <c r="IF1356" s="1"/>
      <c r="IG1356" s="1"/>
      <c r="IH1356" s="1"/>
      <c r="II1356" s="1"/>
      <c r="IJ1356" s="1"/>
      <c r="IK1356" s="1"/>
      <c r="IL1356" s="1"/>
      <c r="IM1356" s="1"/>
      <c r="IN1356" s="1"/>
      <c r="IO1356" s="1"/>
      <c r="IP1356" s="1"/>
      <c r="IQ1356" s="1"/>
      <c r="IR1356" s="1"/>
      <c r="IS1356" s="1"/>
      <c r="IT1356" s="1"/>
      <c r="IU1356" s="1"/>
      <c r="IV1356" s="1"/>
      <c r="IW1356" s="1"/>
      <c r="IX1356" s="1"/>
      <c r="IY1356" s="1"/>
      <c r="IZ1356" s="1"/>
      <c r="JA1356" s="1"/>
      <c r="JB1356" s="1"/>
      <c r="JC1356" s="1"/>
      <c r="JD1356" s="1"/>
    </row>
    <row r="1357" s="504" customFormat="true" ht="12.75" hidden="false" customHeight="true" outlineLevel="0" collapsed="false">
      <c r="A1357" s="5"/>
      <c r="B1357" s="5"/>
      <c r="C1357" s="5"/>
      <c r="D1357" s="8"/>
      <c r="E1357" s="8"/>
      <c r="F1357" s="8"/>
      <c r="G1357" s="5"/>
      <c r="H1357" s="5"/>
      <c r="I1357" s="5"/>
      <c r="J1357" s="8"/>
      <c r="K1357" s="8"/>
      <c r="L1357" s="5"/>
      <c r="M1357" s="8"/>
      <c r="N1357" s="8"/>
      <c r="O1357" s="8"/>
      <c r="P1357" s="8"/>
      <c r="Q1357" s="5"/>
      <c r="R1357" s="5"/>
      <c r="S1357" s="5"/>
      <c r="T1357" s="5"/>
      <c r="U1357" s="5"/>
      <c r="V1357" s="10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02"/>
      <c r="AU1357" s="502"/>
      <c r="AV1357" s="606"/>
      <c r="AW1357" s="502"/>
      <c r="AX1357" s="502"/>
      <c r="AY1357" s="502"/>
      <c r="AZ1357" s="502"/>
      <c r="BA1357" s="502"/>
      <c r="BB1357" s="502"/>
      <c r="BC1357" s="502"/>
      <c r="BD1357" s="502"/>
      <c r="BE1357" s="502"/>
      <c r="BF1357" s="502"/>
      <c r="BG1357" s="502"/>
      <c r="BH1357" s="502"/>
      <c r="BI1357" s="502"/>
      <c r="BJ1357" s="502"/>
      <c r="BK1357" s="502"/>
      <c r="BL1357" s="502"/>
      <c r="BM1357" s="502"/>
      <c r="BN1357" s="502"/>
      <c r="BO1357" s="502"/>
      <c r="BP1357" s="5"/>
      <c r="BQ1357" s="5"/>
      <c r="BR1357" s="5"/>
      <c r="BS1357" s="5"/>
      <c r="BT1357" s="5"/>
      <c r="BU1357" s="5"/>
      <c r="BV1357" s="5"/>
      <c r="BW1357" s="5"/>
      <c r="BX1357" s="5"/>
      <c r="BY1357" s="5"/>
      <c r="BZ1357" s="5"/>
      <c r="CA1357" s="5"/>
      <c r="CB1357" s="5"/>
      <c r="CC1357" s="5"/>
      <c r="CD1357" s="5"/>
      <c r="CE1357" s="5"/>
      <c r="CF1357" s="5"/>
      <c r="CG1357" s="5"/>
      <c r="CH1357" s="5"/>
      <c r="CI1357" s="5"/>
      <c r="CJ1357" s="5"/>
      <c r="CK1357" s="5"/>
      <c r="CL1357" s="5"/>
      <c r="CM1357" s="5"/>
      <c r="CN1357" s="5"/>
      <c r="CO1357" s="5"/>
      <c r="CP1357" s="5"/>
      <c r="CQ1357" s="5"/>
      <c r="CR1357" s="5"/>
      <c r="CS1357" s="5"/>
      <c r="CT1357" s="5"/>
      <c r="CU1357" s="5"/>
      <c r="CV1357" s="5"/>
      <c r="CW1357" s="5"/>
      <c r="CX1357" s="5"/>
      <c r="CY1357" s="5"/>
      <c r="CZ1357" s="5"/>
      <c r="DA1357" s="5"/>
      <c r="DB1357" s="5"/>
      <c r="DC1357" s="5"/>
      <c r="DD1357" s="5"/>
      <c r="DE1357" s="5"/>
      <c r="DF1357" s="5"/>
      <c r="DG1357" s="5"/>
      <c r="DH1357" s="5"/>
      <c r="DI1357" s="5"/>
      <c r="DJ1357" s="5"/>
      <c r="DK1357" s="5"/>
      <c r="DL1357" s="5"/>
      <c r="DM1357" s="5"/>
      <c r="DN1357" s="5"/>
      <c r="DO1357" s="5"/>
      <c r="DP1357" s="5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  <c r="GT1357" s="1"/>
      <c r="GU1357" s="1"/>
      <c r="GV1357" s="1"/>
      <c r="GW1357" s="1"/>
      <c r="GX1357" s="1"/>
      <c r="GY1357" s="1"/>
      <c r="GZ1357" s="1"/>
      <c r="HA1357" s="1"/>
      <c r="HB1357" s="1"/>
      <c r="HC1357" s="1"/>
      <c r="HD1357" s="1"/>
      <c r="HE1357" s="1"/>
      <c r="HF1357" s="1"/>
      <c r="HG1357" s="1"/>
      <c r="HH1357" s="1"/>
      <c r="HI1357" s="1"/>
      <c r="HJ1357" s="1"/>
      <c r="HK1357" s="1"/>
      <c r="HL1357" s="1"/>
      <c r="HM1357" s="1"/>
      <c r="HN1357" s="1"/>
      <c r="HO1357" s="1"/>
      <c r="HP1357" s="1"/>
      <c r="HQ1357" s="1"/>
      <c r="HR1357" s="1"/>
      <c r="HS1357" s="1"/>
      <c r="HT1357" s="1"/>
      <c r="HU1357" s="1"/>
      <c r="HV1357" s="1"/>
      <c r="HW1357" s="1"/>
      <c r="HX1357" s="1"/>
      <c r="HY1357" s="1"/>
      <c r="HZ1357" s="1"/>
      <c r="IA1357" s="1"/>
      <c r="IB1357" s="1"/>
      <c r="IC1357" s="1"/>
      <c r="ID1357" s="1"/>
      <c r="IE1357" s="1"/>
      <c r="IF1357" s="1"/>
      <c r="IG1357" s="1"/>
      <c r="IH1357" s="1"/>
      <c r="II1357" s="1"/>
      <c r="IJ1357" s="1"/>
      <c r="IK1357" s="1"/>
      <c r="IL1357" s="1"/>
      <c r="IM1357" s="1"/>
      <c r="IN1357" s="1"/>
      <c r="IO1357" s="1"/>
      <c r="IP1357" s="1"/>
      <c r="IQ1357" s="1"/>
      <c r="IR1357" s="1"/>
      <c r="IS1357" s="1"/>
      <c r="IT1357" s="1"/>
      <c r="IU1357" s="1"/>
      <c r="IV1357" s="1"/>
      <c r="IW1357" s="1"/>
      <c r="IX1357" s="1"/>
      <c r="IY1357" s="1"/>
      <c r="IZ1357" s="1"/>
      <c r="JA1357" s="1"/>
      <c r="JB1357" s="1"/>
      <c r="JC1357" s="1"/>
      <c r="JD1357" s="1"/>
    </row>
    <row r="1358" s="504" customFormat="true" ht="12.75" hidden="false" customHeight="true" outlineLevel="0" collapsed="false">
      <c r="A1358" s="5"/>
      <c r="B1358" s="5"/>
      <c r="C1358" s="5"/>
      <c r="D1358" s="8"/>
      <c r="E1358" s="8"/>
      <c r="F1358" s="8"/>
      <c r="G1358" s="5"/>
      <c r="H1358" s="5"/>
      <c r="I1358" s="5"/>
      <c r="J1358" s="8"/>
      <c r="K1358" s="8"/>
      <c r="L1358" s="5"/>
      <c r="M1358" s="8"/>
      <c r="N1358" s="8"/>
      <c r="O1358" s="8"/>
      <c r="P1358" s="8"/>
      <c r="Q1358" s="5"/>
      <c r="R1358" s="5"/>
      <c r="S1358" s="5"/>
      <c r="T1358" s="5"/>
      <c r="U1358" s="5"/>
      <c r="V1358" s="10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02"/>
      <c r="AU1358" s="502"/>
      <c r="AV1358" s="606"/>
      <c r="AW1358" s="502"/>
      <c r="AX1358" s="502"/>
      <c r="AY1358" s="502"/>
      <c r="AZ1358" s="502"/>
      <c r="BA1358" s="502"/>
      <c r="BB1358" s="502"/>
      <c r="BC1358" s="502"/>
      <c r="BD1358" s="502"/>
      <c r="BE1358" s="502"/>
      <c r="BF1358" s="502"/>
      <c r="BG1358" s="502"/>
      <c r="BH1358" s="502"/>
      <c r="BI1358" s="502"/>
      <c r="BJ1358" s="502"/>
      <c r="BK1358" s="502"/>
      <c r="BL1358" s="502"/>
      <c r="BM1358" s="502"/>
      <c r="BN1358" s="502"/>
      <c r="BO1358" s="502"/>
      <c r="BP1358" s="5"/>
      <c r="BQ1358" s="5"/>
      <c r="BR1358" s="5"/>
      <c r="BS1358" s="5"/>
      <c r="BT1358" s="5"/>
      <c r="BU1358" s="5"/>
      <c r="BV1358" s="5"/>
      <c r="BW1358" s="5"/>
      <c r="BX1358" s="5"/>
      <c r="BY1358" s="5"/>
      <c r="BZ1358" s="5"/>
      <c r="CA1358" s="5"/>
      <c r="CB1358" s="5"/>
      <c r="CC1358" s="5"/>
      <c r="CD1358" s="5"/>
      <c r="CE1358" s="5"/>
      <c r="CF1358" s="5"/>
      <c r="CG1358" s="5"/>
      <c r="CH1358" s="5"/>
      <c r="CI1358" s="5"/>
      <c r="CJ1358" s="5"/>
      <c r="CK1358" s="5"/>
      <c r="CL1358" s="5"/>
      <c r="CM1358" s="5"/>
      <c r="CN1358" s="5"/>
      <c r="CO1358" s="5"/>
      <c r="CP1358" s="5"/>
      <c r="CQ1358" s="5"/>
      <c r="CR1358" s="5"/>
      <c r="CS1358" s="5"/>
      <c r="CT1358" s="5"/>
      <c r="CU1358" s="5"/>
      <c r="CV1358" s="5"/>
      <c r="CW1358" s="5"/>
      <c r="CX1358" s="5"/>
      <c r="CY1358" s="5"/>
      <c r="CZ1358" s="5"/>
      <c r="DA1358" s="5"/>
      <c r="DB1358" s="5"/>
      <c r="DC1358" s="5"/>
      <c r="DD1358" s="5"/>
      <c r="DE1358" s="5"/>
      <c r="DF1358" s="5"/>
      <c r="DG1358" s="5"/>
      <c r="DH1358" s="5"/>
      <c r="DI1358" s="5"/>
      <c r="DJ1358" s="5"/>
      <c r="DK1358" s="5"/>
      <c r="DL1358" s="5"/>
      <c r="DM1358" s="5"/>
      <c r="DN1358" s="5"/>
      <c r="DO1358" s="5"/>
      <c r="DP1358" s="5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  <c r="GV1358" s="1"/>
      <c r="GW1358" s="1"/>
      <c r="GX1358" s="1"/>
      <c r="GY1358" s="1"/>
      <c r="GZ1358" s="1"/>
      <c r="HA1358" s="1"/>
      <c r="HB1358" s="1"/>
      <c r="HC1358" s="1"/>
      <c r="HD1358" s="1"/>
      <c r="HE1358" s="1"/>
      <c r="HF1358" s="1"/>
      <c r="HG1358" s="1"/>
      <c r="HH1358" s="1"/>
      <c r="HI1358" s="1"/>
      <c r="HJ1358" s="1"/>
      <c r="HK1358" s="1"/>
      <c r="HL1358" s="1"/>
      <c r="HM1358" s="1"/>
      <c r="HN1358" s="1"/>
      <c r="HO1358" s="1"/>
      <c r="HP1358" s="1"/>
      <c r="HQ1358" s="1"/>
      <c r="HR1358" s="1"/>
      <c r="HS1358" s="1"/>
      <c r="HT1358" s="1"/>
      <c r="HU1358" s="1"/>
      <c r="HV1358" s="1"/>
      <c r="HW1358" s="1"/>
      <c r="HX1358" s="1"/>
      <c r="HY1358" s="1"/>
      <c r="HZ1358" s="1"/>
      <c r="IA1358" s="1"/>
      <c r="IB1358" s="1"/>
      <c r="IC1358" s="1"/>
      <c r="ID1358" s="1"/>
      <c r="IE1358" s="1"/>
      <c r="IF1358" s="1"/>
      <c r="IG1358" s="1"/>
      <c r="IH1358" s="1"/>
      <c r="II1358" s="1"/>
      <c r="IJ1358" s="1"/>
      <c r="IK1358" s="1"/>
      <c r="IL1358" s="1"/>
      <c r="IM1358" s="1"/>
      <c r="IN1358" s="1"/>
      <c r="IO1358" s="1"/>
      <c r="IP1358" s="1"/>
      <c r="IQ1358" s="1"/>
      <c r="IR1358" s="1"/>
      <c r="IS1358" s="1"/>
      <c r="IT1358" s="1"/>
      <c r="IU1358" s="1"/>
      <c r="IV1358" s="1"/>
      <c r="IW1358" s="1"/>
      <c r="IX1358" s="1"/>
      <c r="IY1358" s="1"/>
      <c r="IZ1358" s="1"/>
      <c r="JA1358" s="1"/>
      <c r="JB1358" s="1"/>
      <c r="JC1358" s="1"/>
      <c r="JD1358" s="1"/>
    </row>
    <row r="1359" s="504" customFormat="true" ht="12.75" hidden="false" customHeight="true" outlineLevel="0" collapsed="false">
      <c r="A1359" s="5"/>
      <c r="B1359" s="5"/>
      <c r="C1359" s="5"/>
      <c r="D1359" s="8"/>
      <c r="E1359" s="8"/>
      <c r="F1359" s="8"/>
      <c r="G1359" s="5"/>
      <c r="H1359" s="5"/>
      <c r="I1359" s="5"/>
      <c r="J1359" s="8"/>
      <c r="K1359" s="8"/>
      <c r="L1359" s="5"/>
      <c r="M1359" s="8"/>
      <c r="N1359" s="8"/>
      <c r="O1359" s="8"/>
      <c r="P1359" s="8"/>
      <c r="Q1359" s="5"/>
      <c r="R1359" s="5"/>
      <c r="S1359" s="5"/>
      <c r="T1359" s="5"/>
      <c r="U1359" s="5"/>
      <c r="V1359" s="10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02"/>
      <c r="AU1359" s="502"/>
      <c r="AV1359" s="606"/>
      <c r="AW1359" s="502"/>
      <c r="AX1359" s="502"/>
      <c r="AY1359" s="502"/>
      <c r="AZ1359" s="502"/>
      <c r="BA1359" s="502"/>
      <c r="BB1359" s="502"/>
      <c r="BC1359" s="502"/>
      <c r="BD1359" s="502"/>
      <c r="BE1359" s="502"/>
      <c r="BF1359" s="502"/>
      <c r="BG1359" s="502"/>
      <c r="BH1359" s="502"/>
      <c r="BI1359" s="502"/>
      <c r="BJ1359" s="502"/>
      <c r="BK1359" s="502"/>
      <c r="BL1359" s="502"/>
      <c r="BM1359" s="502"/>
      <c r="BN1359" s="502"/>
      <c r="BO1359" s="502"/>
      <c r="BP1359" s="5"/>
      <c r="BQ1359" s="5"/>
      <c r="BR1359" s="5"/>
      <c r="BS1359" s="5"/>
      <c r="BT1359" s="5"/>
      <c r="BU1359" s="5"/>
      <c r="BV1359" s="5"/>
      <c r="BW1359" s="5"/>
      <c r="BX1359" s="5"/>
      <c r="BY1359" s="5"/>
      <c r="BZ1359" s="5"/>
      <c r="CA1359" s="5"/>
      <c r="CB1359" s="5"/>
      <c r="CC1359" s="5"/>
      <c r="CD1359" s="5"/>
      <c r="CE1359" s="5"/>
      <c r="CF1359" s="5"/>
      <c r="CG1359" s="5"/>
      <c r="CH1359" s="5"/>
      <c r="CI1359" s="5"/>
      <c r="CJ1359" s="5"/>
      <c r="CK1359" s="5"/>
      <c r="CL1359" s="5"/>
      <c r="CM1359" s="5"/>
      <c r="CN1359" s="5"/>
      <c r="CO1359" s="5"/>
      <c r="CP1359" s="5"/>
      <c r="CQ1359" s="5"/>
      <c r="CR1359" s="5"/>
      <c r="CS1359" s="5"/>
      <c r="CT1359" s="5"/>
      <c r="CU1359" s="5"/>
      <c r="CV1359" s="5"/>
      <c r="CW1359" s="5"/>
      <c r="CX1359" s="5"/>
      <c r="CY1359" s="5"/>
      <c r="CZ1359" s="5"/>
      <c r="DA1359" s="5"/>
      <c r="DB1359" s="5"/>
      <c r="DC1359" s="5"/>
      <c r="DD1359" s="5"/>
      <c r="DE1359" s="5"/>
      <c r="DF1359" s="5"/>
      <c r="DG1359" s="5"/>
      <c r="DH1359" s="5"/>
      <c r="DI1359" s="5"/>
      <c r="DJ1359" s="5"/>
      <c r="DK1359" s="5"/>
      <c r="DL1359" s="5"/>
      <c r="DM1359" s="5"/>
      <c r="DN1359" s="5"/>
      <c r="DO1359" s="5"/>
      <c r="DP1359" s="5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  <c r="GV1359" s="1"/>
      <c r="GW1359" s="1"/>
      <c r="GX1359" s="1"/>
      <c r="GY1359" s="1"/>
      <c r="GZ1359" s="1"/>
      <c r="HA1359" s="1"/>
      <c r="HB1359" s="1"/>
      <c r="HC1359" s="1"/>
      <c r="HD1359" s="1"/>
      <c r="HE1359" s="1"/>
      <c r="HF1359" s="1"/>
      <c r="HG1359" s="1"/>
      <c r="HH1359" s="1"/>
      <c r="HI1359" s="1"/>
      <c r="HJ1359" s="1"/>
      <c r="HK1359" s="1"/>
      <c r="HL1359" s="1"/>
      <c r="HM1359" s="1"/>
      <c r="HN1359" s="1"/>
      <c r="HO1359" s="1"/>
      <c r="HP1359" s="1"/>
      <c r="HQ1359" s="1"/>
      <c r="HR1359" s="1"/>
      <c r="HS1359" s="1"/>
      <c r="HT1359" s="1"/>
      <c r="HU1359" s="1"/>
      <c r="HV1359" s="1"/>
      <c r="HW1359" s="1"/>
      <c r="HX1359" s="1"/>
      <c r="HY1359" s="1"/>
      <c r="HZ1359" s="1"/>
      <c r="IA1359" s="1"/>
      <c r="IB1359" s="1"/>
      <c r="IC1359" s="1"/>
      <c r="ID1359" s="1"/>
      <c r="IE1359" s="1"/>
      <c r="IF1359" s="1"/>
      <c r="IG1359" s="1"/>
      <c r="IH1359" s="1"/>
      <c r="II1359" s="1"/>
      <c r="IJ1359" s="1"/>
      <c r="IK1359" s="1"/>
      <c r="IL1359" s="1"/>
      <c r="IM1359" s="1"/>
      <c r="IN1359" s="1"/>
      <c r="IO1359" s="1"/>
      <c r="IP1359" s="1"/>
      <c r="IQ1359" s="1"/>
      <c r="IR1359" s="1"/>
      <c r="IS1359" s="1"/>
      <c r="IT1359" s="1"/>
      <c r="IU1359" s="1"/>
      <c r="IV1359" s="1"/>
      <c r="IW1359" s="1"/>
      <c r="IX1359" s="1"/>
      <c r="IY1359" s="1"/>
      <c r="IZ1359" s="1"/>
      <c r="JA1359" s="1"/>
      <c r="JB1359" s="1"/>
      <c r="JC1359" s="1"/>
      <c r="JD1359" s="1"/>
    </row>
    <row r="1360" s="504" customFormat="true" ht="12.75" hidden="false" customHeight="true" outlineLevel="0" collapsed="false">
      <c r="A1360" s="5"/>
      <c r="B1360" s="5"/>
      <c r="C1360" s="5"/>
      <c r="D1360" s="8"/>
      <c r="E1360" s="8"/>
      <c r="F1360" s="8"/>
      <c r="G1360" s="5"/>
      <c r="H1360" s="5"/>
      <c r="I1360" s="5"/>
      <c r="J1360" s="8"/>
      <c r="K1360" s="8"/>
      <c r="L1360" s="5"/>
      <c r="M1360" s="8"/>
      <c r="N1360" s="8"/>
      <c r="O1360" s="8"/>
      <c r="P1360" s="8"/>
      <c r="Q1360" s="5"/>
      <c r="R1360" s="5"/>
      <c r="S1360" s="5"/>
      <c r="T1360" s="5"/>
      <c r="U1360" s="5"/>
      <c r="V1360" s="10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02"/>
      <c r="AU1360" s="502"/>
      <c r="AV1360" s="606"/>
      <c r="AW1360" s="502"/>
      <c r="AX1360" s="502"/>
      <c r="AY1360" s="502"/>
      <c r="AZ1360" s="502"/>
      <c r="BA1360" s="502"/>
      <c r="BB1360" s="502"/>
      <c r="BC1360" s="502"/>
      <c r="BD1360" s="502"/>
      <c r="BE1360" s="502"/>
      <c r="BF1360" s="502"/>
      <c r="BG1360" s="502"/>
      <c r="BH1360" s="502"/>
      <c r="BI1360" s="502"/>
      <c r="BJ1360" s="502"/>
      <c r="BK1360" s="502"/>
      <c r="BL1360" s="502"/>
      <c r="BM1360" s="502"/>
      <c r="BN1360" s="502"/>
      <c r="BO1360" s="502"/>
      <c r="BP1360" s="5"/>
      <c r="BQ1360" s="5"/>
      <c r="BR1360" s="5"/>
      <c r="BS1360" s="5"/>
      <c r="BT1360" s="5"/>
      <c r="BU1360" s="5"/>
      <c r="BV1360" s="5"/>
      <c r="BW1360" s="5"/>
      <c r="BX1360" s="5"/>
      <c r="BY1360" s="5"/>
      <c r="BZ1360" s="5"/>
      <c r="CA1360" s="5"/>
      <c r="CB1360" s="5"/>
      <c r="CC1360" s="5"/>
      <c r="CD1360" s="5"/>
      <c r="CE1360" s="5"/>
      <c r="CF1360" s="5"/>
      <c r="CG1360" s="5"/>
      <c r="CH1360" s="5"/>
      <c r="CI1360" s="5"/>
      <c r="CJ1360" s="5"/>
      <c r="CK1360" s="5"/>
      <c r="CL1360" s="5"/>
      <c r="CM1360" s="5"/>
      <c r="CN1360" s="5"/>
      <c r="CO1360" s="5"/>
      <c r="CP1360" s="5"/>
      <c r="CQ1360" s="5"/>
      <c r="CR1360" s="5"/>
      <c r="CS1360" s="5"/>
      <c r="CT1360" s="5"/>
      <c r="CU1360" s="5"/>
      <c r="CV1360" s="5"/>
      <c r="CW1360" s="5"/>
      <c r="CX1360" s="5"/>
      <c r="CY1360" s="5"/>
      <c r="CZ1360" s="5"/>
      <c r="DA1360" s="5"/>
      <c r="DB1360" s="5"/>
      <c r="DC1360" s="5"/>
      <c r="DD1360" s="5"/>
      <c r="DE1360" s="5"/>
      <c r="DF1360" s="5"/>
      <c r="DG1360" s="5"/>
      <c r="DH1360" s="5"/>
      <c r="DI1360" s="5"/>
      <c r="DJ1360" s="5"/>
      <c r="DK1360" s="5"/>
      <c r="DL1360" s="5"/>
      <c r="DM1360" s="5"/>
      <c r="DN1360" s="5"/>
      <c r="DO1360" s="5"/>
      <c r="DP1360" s="5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  <c r="GV1360" s="1"/>
      <c r="GW1360" s="1"/>
      <c r="GX1360" s="1"/>
      <c r="GY1360" s="1"/>
      <c r="GZ1360" s="1"/>
      <c r="HA1360" s="1"/>
      <c r="HB1360" s="1"/>
      <c r="HC1360" s="1"/>
      <c r="HD1360" s="1"/>
      <c r="HE1360" s="1"/>
      <c r="HF1360" s="1"/>
      <c r="HG1360" s="1"/>
      <c r="HH1360" s="1"/>
      <c r="HI1360" s="1"/>
      <c r="HJ1360" s="1"/>
      <c r="HK1360" s="1"/>
      <c r="HL1360" s="1"/>
      <c r="HM1360" s="1"/>
      <c r="HN1360" s="1"/>
      <c r="HO1360" s="1"/>
      <c r="HP1360" s="1"/>
      <c r="HQ1360" s="1"/>
      <c r="HR1360" s="1"/>
      <c r="HS1360" s="1"/>
      <c r="HT1360" s="1"/>
      <c r="HU1360" s="1"/>
      <c r="HV1360" s="1"/>
      <c r="HW1360" s="1"/>
      <c r="HX1360" s="1"/>
      <c r="HY1360" s="1"/>
      <c r="HZ1360" s="1"/>
      <c r="IA1360" s="1"/>
      <c r="IB1360" s="1"/>
      <c r="IC1360" s="1"/>
      <c r="ID1360" s="1"/>
      <c r="IE1360" s="1"/>
      <c r="IF1360" s="1"/>
      <c r="IG1360" s="1"/>
      <c r="IH1360" s="1"/>
      <c r="II1360" s="1"/>
      <c r="IJ1360" s="1"/>
      <c r="IK1360" s="1"/>
      <c r="IL1360" s="1"/>
      <c r="IM1360" s="1"/>
      <c r="IN1360" s="1"/>
      <c r="IO1360" s="1"/>
      <c r="IP1360" s="1"/>
      <c r="IQ1360" s="1"/>
      <c r="IR1360" s="1"/>
      <c r="IS1360" s="1"/>
      <c r="IT1360" s="1"/>
      <c r="IU1360" s="1"/>
      <c r="IV1360" s="1"/>
      <c r="IW1360" s="1"/>
      <c r="IX1360" s="1"/>
      <c r="IY1360" s="1"/>
      <c r="IZ1360" s="1"/>
      <c r="JA1360" s="1"/>
      <c r="JB1360" s="1"/>
      <c r="JC1360" s="1"/>
      <c r="JD1360" s="1"/>
    </row>
    <row r="1361" s="504" customFormat="true" ht="12.75" hidden="false" customHeight="true" outlineLevel="0" collapsed="false">
      <c r="A1361" s="5"/>
      <c r="B1361" s="5"/>
      <c r="C1361" s="5"/>
      <c r="D1361" s="8"/>
      <c r="E1361" s="8"/>
      <c r="F1361" s="8"/>
      <c r="G1361" s="5"/>
      <c r="H1361" s="5"/>
      <c r="I1361" s="5"/>
      <c r="J1361" s="8"/>
      <c r="K1361" s="8"/>
      <c r="L1361" s="5"/>
      <c r="M1361" s="8"/>
      <c r="N1361" s="8"/>
      <c r="O1361" s="8"/>
      <c r="P1361" s="8"/>
      <c r="Q1361" s="5"/>
      <c r="R1361" s="5"/>
      <c r="S1361" s="5"/>
      <c r="T1361" s="5"/>
      <c r="U1361" s="5"/>
      <c r="V1361" s="10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02"/>
      <c r="AU1361" s="502"/>
      <c r="AV1361" s="606"/>
      <c r="AW1361" s="502"/>
      <c r="AX1361" s="502"/>
      <c r="AY1361" s="502"/>
      <c r="AZ1361" s="502"/>
      <c r="BA1361" s="502"/>
      <c r="BB1361" s="502"/>
      <c r="BC1361" s="502"/>
      <c r="BD1361" s="502"/>
      <c r="BE1361" s="502"/>
      <c r="BF1361" s="502"/>
      <c r="BG1361" s="502"/>
      <c r="BH1361" s="502"/>
      <c r="BI1361" s="502"/>
      <c r="BJ1361" s="502"/>
      <c r="BK1361" s="502"/>
      <c r="BL1361" s="502"/>
      <c r="BM1361" s="502"/>
      <c r="BN1361" s="502"/>
      <c r="BO1361" s="502"/>
      <c r="BP1361" s="5"/>
      <c r="BQ1361" s="5"/>
      <c r="BR1361" s="5"/>
      <c r="BS1361" s="5"/>
      <c r="BT1361" s="5"/>
      <c r="BU1361" s="5"/>
      <c r="BV1361" s="5"/>
      <c r="BW1361" s="5"/>
      <c r="BX1361" s="5"/>
      <c r="BY1361" s="5"/>
      <c r="BZ1361" s="5"/>
      <c r="CA1361" s="5"/>
      <c r="CB1361" s="5"/>
      <c r="CC1361" s="5"/>
      <c r="CD1361" s="5"/>
      <c r="CE1361" s="5"/>
      <c r="CF1361" s="5"/>
      <c r="CG1361" s="5"/>
      <c r="CH1361" s="5"/>
      <c r="CI1361" s="5"/>
      <c r="CJ1361" s="5"/>
      <c r="CK1361" s="5"/>
      <c r="CL1361" s="5"/>
      <c r="CM1361" s="5"/>
      <c r="CN1361" s="5"/>
      <c r="CO1361" s="5"/>
      <c r="CP1361" s="5"/>
      <c r="CQ1361" s="5"/>
      <c r="CR1361" s="5"/>
      <c r="CS1361" s="5"/>
      <c r="CT1361" s="5"/>
      <c r="CU1361" s="5"/>
      <c r="CV1361" s="5"/>
      <c r="CW1361" s="5"/>
      <c r="CX1361" s="5"/>
      <c r="CY1361" s="5"/>
      <c r="CZ1361" s="5"/>
      <c r="DA1361" s="5"/>
      <c r="DB1361" s="5"/>
      <c r="DC1361" s="5"/>
      <c r="DD1361" s="5"/>
      <c r="DE1361" s="5"/>
      <c r="DF1361" s="5"/>
      <c r="DG1361" s="5"/>
      <c r="DH1361" s="5"/>
      <c r="DI1361" s="5"/>
      <c r="DJ1361" s="5"/>
      <c r="DK1361" s="5"/>
      <c r="DL1361" s="5"/>
      <c r="DM1361" s="5"/>
      <c r="DN1361" s="5"/>
      <c r="DO1361" s="5"/>
      <c r="DP1361" s="5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  <c r="GV1361" s="1"/>
      <c r="GW1361" s="1"/>
      <c r="GX1361" s="1"/>
      <c r="GY1361" s="1"/>
      <c r="GZ1361" s="1"/>
      <c r="HA1361" s="1"/>
      <c r="HB1361" s="1"/>
      <c r="HC1361" s="1"/>
      <c r="HD1361" s="1"/>
      <c r="HE1361" s="1"/>
      <c r="HF1361" s="1"/>
      <c r="HG1361" s="1"/>
      <c r="HH1361" s="1"/>
      <c r="HI1361" s="1"/>
      <c r="HJ1361" s="1"/>
      <c r="HK1361" s="1"/>
      <c r="HL1361" s="1"/>
      <c r="HM1361" s="1"/>
      <c r="HN1361" s="1"/>
      <c r="HO1361" s="1"/>
      <c r="HP1361" s="1"/>
      <c r="HQ1361" s="1"/>
      <c r="HR1361" s="1"/>
      <c r="HS1361" s="1"/>
      <c r="HT1361" s="1"/>
      <c r="HU1361" s="1"/>
      <c r="HV1361" s="1"/>
      <c r="HW1361" s="1"/>
      <c r="HX1361" s="1"/>
      <c r="HY1361" s="1"/>
      <c r="HZ1361" s="1"/>
      <c r="IA1361" s="1"/>
      <c r="IB1361" s="1"/>
      <c r="IC1361" s="1"/>
      <c r="ID1361" s="1"/>
      <c r="IE1361" s="1"/>
      <c r="IF1361" s="1"/>
      <c r="IG1361" s="1"/>
      <c r="IH1361" s="1"/>
      <c r="II1361" s="1"/>
      <c r="IJ1361" s="1"/>
      <c r="IK1361" s="1"/>
      <c r="IL1361" s="1"/>
      <c r="IM1361" s="1"/>
      <c r="IN1361" s="1"/>
      <c r="IO1361" s="1"/>
      <c r="IP1361" s="1"/>
      <c r="IQ1361" s="1"/>
      <c r="IR1361" s="1"/>
      <c r="IS1361" s="1"/>
      <c r="IT1361" s="1"/>
      <c r="IU1361" s="1"/>
      <c r="IV1361" s="1"/>
      <c r="IW1361" s="1"/>
      <c r="IX1361" s="1"/>
      <c r="IY1361" s="1"/>
      <c r="IZ1361" s="1"/>
      <c r="JA1361" s="1"/>
      <c r="JB1361" s="1"/>
      <c r="JC1361" s="1"/>
      <c r="JD1361" s="1"/>
    </row>
    <row r="1362" s="504" customFormat="true" ht="12.75" hidden="false" customHeight="true" outlineLevel="0" collapsed="false">
      <c r="A1362" s="5"/>
      <c r="B1362" s="5"/>
      <c r="C1362" s="5"/>
      <c r="D1362" s="8"/>
      <c r="E1362" s="8"/>
      <c r="F1362" s="8"/>
      <c r="G1362" s="5"/>
      <c r="H1362" s="5"/>
      <c r="I1362" s="5"/>
      <c r="J1362" s="8"/>
      <c r="K1362" s="8"/>
      <c r="L1362" s="5"/>
      <c r="M1362" s="8"/>
      <c r="N1362" s="8"/>
      <c r="O1362" s="8"/>
      <c r="P1362" s="8"/>
      <c r="Q1362" s="5"/>
      <c r="R1362" s="5"/>
      <c r="S1362" s="5"/>
      <c r="T1362" s="5"/>
      <c r="U1362" s="5"/>
      <c r="V1362" s="10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02"/>
      <c r="AU1362" s="502"/>
      <c r="AV1362" s="606"/>
      <c r="AW1362" s="502"/>
      <c r="AX1362" s="502"/>
      <c r="AY1362" s="502"/>
      <c r="AZ1362" s="502"/>
      <c r="BA1362" s="502"/>
      <c r="BB1362" s="502"/>
      <c r="BC1362" s="502"/>
      <c r="BD1362" s="502"/>
      <c r="BE1362" s="502"/>
      <c r="BF1362" s="502"/>
      <c r="BG1362" s="502"/>
      <c r="BH1362" s="502"/>
      <c r="BI1362" s="502"/>
      <c r="BJ1362" s="502"/>
      <c r="BK1362" s="502"/>
      <c r="BL1362" s="502"/>
      <c r="BM1362" s="502"/>
      <c r="BN1362" s="502"/>
      <c r="BO1362" s="502"/>
      <c r="BP1362" s="5"/>
      <c r="BQ1362" s="5"/>
      <c r="BR1362" s="5"/>
      <c r="BS1362" s="5"/>
      <c r="BT1362" s="5"/>
      <c r="BU1362" s="5"/>
      <c r="BV1362" s="5"/>
      <c r="BW1362" s="5"/>
      <c r="BX1362" s="5"/>
      <c r="BY1362" s="5"/>
      <c r="BZ1362" s="5"/>
      <c r="CA1362" s="5"/>
      <c r="CB1362" s="5"/>
      <c r="CC1362" s="5"/>
      <c r="CD1362" s="5"/>
      <c r="CE1362" s="5"/>
      <c r="CF1362" s="5"/>
      <c r="CG1362" s="5"/>
      <c r="CH1362" s="5"/>
      <c r="CI1362" s="5"/>
      <c r="CJ1362" s="5"/>
      <c r="CK1362" s="5"/>
      <c r="CL1362" s="5"/>
      <c r="CM1362" s="5"/>
      <c r="CN1362" s="5"/>
      <c r="CO1362" s="5"/>
      <c r="CP1362" s="5"/>
      <c r="CQ1362" s="5"/>
      <c r="CR1362" s="5"/>
      <c r="CS1362" s="5"/>
      <c r="CT1362" s="5"/>
      <c r="CU1362" s="5"/>
      <c r="CV1362" s="5"/>
      <c r="CW1362" s="5"/>
      <c r="CX1362" s="5"/>
      <c r="CY1362" s="5"/>
      <c r="CZ1362" s="5"/>
      <c r="DA1362" s="5"/>
      <c r="DB1362" s="5"/>
      <c r="DC1362" s="5"/>
      <c r="DD1362" s="5"/>
      <c r="DE1362" s="5"/>
      <c r="DF1362" s="5"/>
      <c r="DG1362" s="5"/>
      <c r="DH1362" s="5"/>
      <c r="DI1362" s="5"/>
      <c r="DJ1362" s="5"/>
      <c r="DK1362" s="5"/>
      <c r="DL1362" s="5"/>
      <c r="DM1362" s="5"/>
      <c r="DN1362" s="5"/>
      <c r="DO1362" s="5"/>
      <c r="DP1362" s="5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  <c r="GV1362" s="1"/>
      <c r="GW1362" s="1"/>
      <c r="GX1362" s="1"/>
      <c r="GY1362" s="1"/>
      <c r="GZ1362" s="1"/>
      <c r="HA1362" s="1"/>
      <c r="HB1362" s="1"/>
      <c r="HC1362" s="1"/>
      <c r="HD1362" s="1"/>
      <c r="HE1362" s="1"/>
      <c r="HF1362" s="1"/>
      <c r="HG1362" s="1"/>
      <c r="HH1362" s="1"/>
      <c r="HI1362" s="1"/>
      <c r="HJ1362" s="1"/>
      <c r="HK1362" s="1"/>
      <c r="HL1362" s="1"/>
      <c r="HM1362" s="1"/>
      <c r="HN1362" s="1"/>
      <c r="HO1362" s="1"/>
      <c r="HP1362" s="1"/>
      <c r="HQ1362" s="1"/>
      <c r="HR1362" s="1"/>
      <c r="HS1362" s="1"/>
      <c r="HT1362" s="1"/>
      <c r="HU1362" s="1"/>
      <c r="HV1362" s="1"/>
      <c r="HW1362" s="1"/>
      <c r="HX1362" s="1"/>
      <c r="HY1362" s="1"/>
      <c r="HZ1362" s="1"/>
      <c r="IA1362" s="1"/>
      <c r="IB1362" s="1"/>
      <c r="IC1362" s="1"/>
      <c r="ID1362" s="1"/>
      <c r="IE1362" s="1"/>
      <c r="IF1362" s="1"/>
      <c r="IG1362" s="1"/>
      <c r="IH1362" s="1"/>
      <c r="II1362" s="1"/>
      <c r="IJ1362" s="1"/>
      <c r="IK1362" s="1"/>
      <c r="IL1362" s="1"/>
      <c r="IM1362" s="1"/>
      <c r="IN1362" s="1"/>
      <c r="IO1362" s="1"/>
      <c r="IP1362" s="1"/>
      <c r="IQ1362" s="1"/>
      <c r="IR1362" s="1"/>
      <c r="IS1362" s="1"/>
      <c r="IT1362" s="1"/>
      <c r="IU1362" s="1"/>
      <c r="IV1362" s="1"/>
      <c r="IW1362" s="1"/>
      <c r="IX1362" s="1"/>
      <c r="IY1362" s="1"/>
      <c r="IZ1362" s="1"/>
      <c r="JA1362" s="1"/>
      <c r="JB1362" s="1"/>
      <c r="JC1362" s="1"/>
      <c r="JD1362" s="1"/>
    </row>
    <row r="1363" s="504" customFormat="true" ht="12.75" hidden="false" customHeight="true" outlineLevel="0" collapsed="false">
      <c r="A1363" s="5"/>
      <c r="B1363" s="5"/>
      <c r="C1363" s="5"/>
      <c r="D1363" s="8"/>
      <c r="E1363" s="8"/>
      <c r="F1363" s="8"/>
      <c r="G1363" s="5"/>
      <c r="H1363" s="5"/>
      <c r="I1363" s="5"/>
      <c r="J1363" s="8"/>
      <c r="K1363" s="8"/>
      <c r="L1363" s="5"/>
      <c r="M1363" s="8"/>
      <c r="N1363" s="8"/>
      <c r="O1363" s="8"/>
      <c r="P1363" s="8"/>
      <c r="Q1363" s="5"/>
      <c r="R1363" s="5"/>
      <c r="S1363" s="5"/>
      <c r="T1363" s="5"/>
      <c r="U1363" s="5"/>
      <c r="V1363" s="10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02"/>
      <c r="AU1363" s="502"/>
      <c r="AV1363" s="606"/>
      <c r="AW1363" s="502"/>
      <c r="AX1363" s="502"/>
      <c r="AY1363" s="502"/>
      <c r="AZ1363" s="502"/>
      <c r="BA1363" s="502"/>
      <c r="BB1363" s="502"/>
      <c r="BC1363" s="502"/>
      <c r="BD1363" s="502"/>
      <c r="BE1363" s="502"/>
      <c r="BF1363" s="502"/>
      <c r="BG1363" s="502"/>
      <c r="BH1363" s="502"/>
      <c r="BI1363" s="502"/>
      <c r="BJ1363" s="502"/>
      <c r="BK1363" s="502"/>
      <c r="BL1363" s="502"/>
      <c r="BM1363" s="502"/>
      <c r="BN1363" s="502"/>
      <c r="BO1363" s="502"/>
      <c r="BP1363" s="5"/>
      <c r="BQ1363" s="5"/>
      <c r="BR1363" s="5"/>
      <c r="BS1363" s="5"/>
      <c r="BT1363" s="5"/>
      <c r="BU1363" s="5"/>
      <c r="BV1363" s="5"/>
      <c r="BW1363" s="5"/>
      <c r="BX1363" s="5"/>
      <c r="BY1363" s="5"/>
      <c r="BZ1363" s="5"/>
      <c r="CA1363" s="5"/>
      <c r="CB1363" s="5"/>
      <c r="CC1363" s="5"/>
      <c r="CD1363" s="5"/>
      <c r="CE1363" s="5"/>
      <c r="CF1363" s="5"/>
      <c r="CG1363" s="5"/>
      <c r="CH1363" s="5"/>
      <c r="CI1363" s="5"/>
      <c r="CJ1363" s="5"/>
      <c r="CK1363" s="5"/>
      <c r="CL1363" s="5"/>
      <c r="CM1363" s="5"/>
      <c r="CN1363" s="5"/>
      <c r="CO1363" s="5"/>
      <c r="CP1363" s="5"/>
      <c r="CQ1363" s="5"/>
      <c r="CR1363" s="5"/>
      <c r="CS1363" s="5"/>
      <c r="CT1363" s="5"/>
      <c r="CU1363" s="5"/>
      <c r="CV1363" s="5"/>
      <c r="CW1363" s="5"/>
      <c r="CX1363" s="5"/>
      <c r="CY1363" s="5"/>
      <c r="CZ1363" s="5"/>
      <c r="DA1363" s="5"/>
      <c r="DB1363" s="5"/>
      <c r="DC1363" s="5"/>
      <c r="DD1363" s="5"/>
      <c r="DE1363" s="5"/>
      <c r="DF1363" s="5"/>
      <c r="DG1363" s="5"/>
      <c r="DH1363" s="5"/>
      <c r="DI1363" s="5"/>
      <c r="DJ1363" s="5"/>
      <c r="DK1363" s="5"/>
      <c r="DL1363" s="5"/>
      <c r="DM1363" s="5"/>
      <c r="DN1363" s="5"/>
      <c r="DO1363" s="5"/>
      <c r="DP1363" s="5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  <c r="GT1363" s="1"/>
      <c r="GU1363" s="1"/>
      <c r="GV1363" s="1"/>
      <c r="GW1363" s="1"/>
      <c r="GX1363" s="1"/>
      <c r="GY1363" s="1"/>
      <c r="GZ1363" s="1"/>
      <c r="HA1363" s="1"/>
      <c r="HB1363" s="1"/>
      <c r="HC1363" s="1"/>
      <c r="HD1363" s="1"/>
      <c r="HE1363" s="1"/>
      <c r="HF1363" s="1"/>
      <c r="HG1363" s="1"/>
      <c r="HH1363" s="1"/>
      <c r="HI1363" s="1"/>
      <c r="HJ1363" s="1"/>
      <c r="HK1363" s="1"/>
      <c r="HL1363" s="1"/>
      <c r="HM1363" s="1"/>
      <c r="HN1363" s="1"/>
      <c r="HO1363" s="1"/>
      <c r="HP1363" s="1"/>
      <c r="HQ1363" s="1"/>
      <c r="HR1363" s="1"/>
      <c r="HS1363" s="1"/>
      <c r="HT1363" s="1"/>
      <c r="HU1363" s="1"/>
      <c r="HV1363" s="1"/>
      <c r="HW1363" s="1"/>
      <c r="HX1363" s="1"/>
      <c r="HY1363" s="1"/>
      <c r="HZ1363" s="1"/>
      <c r="IA1363" s="1"/>
      <c r="IB1363" s="1"/>
      <c r="IC1363" s="1"/>
      <c r="ID1363" s="1"/>
      <c r="IE1363" s="1"/>
      <c r="IF1363" s="1"/>
      <c r="IG1363" s="1"/>
      <c r="IH1363" s="1"/>
      <c r="II1363" s="1"/>
      <c r="IJ1363" s="1"/>
      <c r="IK1363" s="1"/>
      <c r="IL1363" s="1"/>
      <c r="IM1363" s="1"/>
      <c r="IN1363" s="1"/>
      <c r="IO1363" s="1"/>
      <c r="IP1363" s="1"/>
      <c r="IQ1363" s="1"/>
      <c r="IR1363" s="1"/>
      <c r="IS1363" s="1"/>
      <c r="IT1363" s="1"/>
      <c r="IU1363" s="1"/>
      <c r="IV1363" s="1"/>
      <c r="IW1363" s="1"/>
      <c r="IX1363" s="1"/>
      <c r="IY1363" s="1"/>
      <c r="IZ1363" s="1"/>
      <c r="JA1363" s="1"/>
      <c r="JB1363" s="1"/>
      <c r="JC1363" s="1"/>
      <c r="JD1363" s="1"/>
    </row>
    <row r="1364" s="504" customFormat="true" ht="12.75" hidden="false" customHeight="true" outlineLevel="0" collapsed="false">
      <c r="A1364" s="5"/>
      <c r="B1364" s="5"/>
      <c r="C1364" s="5"/>
      <c r="D1364" s="8"/>
      <c r="E1364" s="8"/>
      <c r="F1364" s="8"/>
      <c r="G1364" s="5"/>
      <c r="H1364" s="5"/>
      <c r="I1364" s="5"/>
      <c r="J1364" s="8"/>
      <c r="K1364" s="8"/>
      <c r="L1364" s="5"/>
      <c r="M1364" s="8"/>
      <c r="N1364" s="8"/>
      <c r="O1364" s="8"/>
      <c r="P1364" s="8"/>
      <c r="Q1364" s="5"/>
      <c r="R1364" s="5"/>
      <c r="S1364" s="5"/>
      <c r="T1364" s="5"/>
      <c r="U1364" s="5"/>
      <c r="V1364" s="10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02"/>
      <c r="AU1364" s="502"/>
      <c r="AV1364" s="606"/>
      <c r="AW1364" s="502"/>
      <c r="AX1364" s="502"/>
      <c r="AY1364" s="502"/>
      <c r="AZ1364" s="502"/>
      <c r="BA1364" s="502"/>
      <c r="BB1364" s="502"/>
      <c r="BC1364" s="502"/>
      <c r="BD1364" s="502"/>
      <c r="BE1364" s="502"/>
      <c r="BF1364" s="502"/>
      <c r="BG1364" s="502"/>
      <c r="BH1364" s="502"/>
      <c r="BI1364" s="502"/>
      <c r="BJ1364" s="502"/>
      <c r="BK1364" s="502"/>
      <c r="BL1364" s="502"/>
      <c r="BM1364" s="502"/>
      <c r="BN1364" s="502"/>
      <c r="BO1364" s="502"/>
      <c r="BP1364" s="5"/>
      <c r="BQ1364" s="5"/>
      <c r="BR1364" s="5"/>
      <c r="BS1364" s="5"/>
      <c r="BT1364" s="5"/>
      <c r="BU1364" s="5"/>
      <c r="BV1364" s="5"/>
      <c r="BW1364" s="5"/>
      <c r="BX1364" s="5"/>
      <c r="BY1364" s="5"/>
      <c r="BZ1364" s="5"/>
      <c r="CA1364" s="5"/>
      <c r="CB1364" s="5"/>
      <c r="CC1364" s="5"/>
      <c r="CD1364" s="5"/>
      <c r="CE1364" s="5"/>
      <c r="CF1364" s="5"/>
      <c r="CG1364" s="5"/>
      <c r="CH1364" s="5"/>
      <c r="CI1364" s="5"/>
      <c r="CJ1364" s="5"/>
      <c r="CK1364" s="5"/>
      <c r="CL1364" s="5"/>
      <c r="CM1364" s="5"/>
      <c r="CN1364" s="5"/>
      <c r="CO1364" s="5"/>
      <c r="CP1364" s="5"/>
      <c r="CQ1364" s="5"/>
      <c r="CR1364" s="5"/>
      <c r="CS1364" s="5"/>
      <c r="CT1364" s="5"/>
      <c r="CU1364" s="5"/>
      <c r="CV1364" s="5"/>
      <c r="CW1364" s="5"/>
      <c r="CX1364" s="5"/>
      <c r="CY1364" s="5"/>
      <c r="CZ1364" s="5"/>
      <c r="DA1364" s="5"/>
      <c r="DB1364" s="5"/>
      <c r="DC1364" s="5"/>
      <c r="DD1364" s="5"/>
      <c r="DE1364" s="5"/>
      <c r="DF1364" s="5"/>
      <c r="DG1364" s="5"/>
      <c r="DH1364" s="5"/>
      <c r="DI1364" s="5"/>
      <c r="DJ1364" s="5"/>
      <c r="DK1364" s="5"/>
      <c r="DL1364" s="5"/>
      <c r="DM1364" s="5"/>
      <c r="DN1364" s="5"/>
      <c r="DO1364" s="5"/>
      <c r="DP1364" s="5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  <c r="GT1364" s="1"/>
      <c r="GU1364" s="1"/>
      <c r="GV1364" s="1"/>
      <c r="GW1364" s="1"/>
      <c r="GX1364" s="1"/>
      <c r="GY1364" s="1"/>
      <c r="GZ1364" s="1"/>
      <c r="HA1364" s="1"/>
      <c r="HB1364" s="1"/>
      <c r="HC1364" s="1"/>
      <c r="HD1364" s="1"/>
      <c r="HE1364" s="1"/>
      <c r="HF1364" s="1"/>
      <c r="HG1364" s="1"/>
      <c r="HH1364" s="1"/>
      <c r="HI1364" s="1"/>
      <c r="HJ1364" s="1"/>
      <c r="HK1364" s="1"/>
      <c r="HL1364" s="1"/>
      <c r="HM1364" s="1"/>
      <c r="HN1364" s="1"/>
      <c r="HO1364" s="1"/>
      <c r="HP1364" s="1"/>
      <c r="HQ1364" s="1"/>
      <c r="HR1364" s="1"/>
      <c r="HS1364" s="1"/>
      <c r="HT1364" s="1"/>
      <c r="HU1364" s="1"/>
      <c r="HV1364" s="1"/>
      <c r="HW1364" s="1"/>
      <c r="HX1364" s="1"/>
      <c r="HY1364" s="1"/>
      <c r="HZ1364" s="1"/>
      <c r="IA1364" s="1"/>
      <c r="IB1364" s="1"/>
      <c r="IC1364" s="1"/>
      <c r="ID1364" s="1"/>
      <c r="IE1364" s="1"/>
      <c r="IF1364" s="1"/>
      <c r="IG1364" s="1"/>
      <c r="IH1364" s="1"/>
      <c r="II1364" s="1"/>
      <c r="IJ1364" s="1"/>
      <c r="IK1364" s="1"/>
      <c r="IL1364" s="1"/>
      <c r="IM1364" s="1"/>
      <c r="IN1364" s="1"/>
      <c r="IO1364" s="1"/>
      <c r="IP1364" s="1"/>
      <c r="IQ1364" s="1"/>
      <c r="IR1364" s="1"/>
      <c r="IS1364" s="1"/>
      <c r="IT1364" s="1"/>
      <c r="IU1364" s="1"/>
      <c r="IV1364" s="1"/>
      <c r="IW1364" s="1"/>
      <c r="IX1364" s="1"/>
      <c r="IY1364" s="1"/>
      <c r="IZ1364" s="1"/>
      <c r="JA1364" s="1"/>
      <c r="JB1364" s="1"/>
      <c r="JC1364" s="1"/>
      <c r="JD1364" s="1"/>
    </row>
    <row r="1365" s="504" customFormat="true" ht="12.75" hidden="false" customHeight="true" outlineLevel="0" collapsed="false">
      <c r="A1365" s="5"/>
      <c r="B1365" s="5"/>
      <c r="C1365" s="5"/>
      <c r="D1365" s="8"/>
      <c r="E1365" s="8"/>
      <c r="F1365" s="8"/>
      <c r="G1365" s="5"/>
      <c r="H1365" s="5"/>
      <c r="I1365" s="5"/>
      <c r="J1365" s="8"/>
      <c r="K1365" s="8"/>
      <c r="L1365" s="5"/>
      <c r="M1365" s="8"/>
      <c r="N1365" s="8"/>
      <c r="O1365" s="8"/>
      <c r="P1365" s="8"/>
      <c r="Q1365" s="5"/>
      <c r="R1365" s="5"/>
      <c r="S1365" s="5"/>
      <c r="T1365" s="5"/>
      <c r="U1365" s="5"/>
      <c r="V1365" s="10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02"/>
      <c r="AU1365" s="502"/>
      <c r="AV1365" s="606"/>
      <c r="AW1365" s="502"/>
      <c r="AX1365" s="502"/>
      <c r="AY1365" s="502"/>
      <c r="AZ1365" s="502"/>
      <c r="BA1365" s="502"/>
      <c r="BB1365" s="502"/>
      <c r="BC1365" s="502"/>
      <c r="BD1365" s="502"/>
      <c r="BE1365" s="502"/>
      <c r="BF1365" s="502"/>
      <c r="BG1365" s="502"/>
      <c r="BH1365" s="502"/>
      <c r="BI1365" s="502"/>
      <c r="BJ1365" s="502"/>
      <c r="BK1365" s="502"/>
      <c r="BL1365" s="502"/>
      <c r="BM1365" s="502"/>
      <c r="BN1365" s="502"/>
      <c r="BO1365" s="502"/>
      <c r="BP1365" s="5"/>
      <c r="BQ1365" s="5"/>
      <c r="BR1365" s="5"/>
      <c r="BS1365" s="5"/>
      <c r="BT1365" s="5"/>
      <c r="BU1365" s="5"/>
      <c r="BV1365" s="5"/>
      <c r="BW1365" s="5"/>
      <c r="BX1365" s="5"/>
      <c r="BY1365" s="5"/>
      <c r="BZ1365" s="5"/>
      <c r="CA1365" s="5"/>
      <c r="CB1365" s="5"/>
      <c r="CC1365" s="5"/>
      <c r="CD1365" s="5"/>
      <c r="CE1365" s="5"/>
      <c r="CF1365" s="5"/>
      <c r="CG1365" s="5"/>
      <c r="CH1365" s="5"/>
      <c r="CI1365" s="5"/>
      <c r="CJ1365" s="5"/>
      <c r="CK1365" s="5"/>
      <c r="CL1365" s="5"/>
      <c r="CM1365" s="5"/>
      <c r="CN1365" s="5"/>
      <c r="CO1365" s="5"/>
      <c r="CP1365" s="5"/>
      <c r="CQ1365" s="5"/>
      <c r="CR1365" s="5"/>
      <c r="CS1365" s="5"/>
      <c r="CT1365" s="5"/>
      <c r="CU1365" s="5"/>
      <c r="CV1365" s="5"/>
      <c r="CW1365" s="5"/>
      <c r="CX1365" s="5"/>
      <c r="CY1365" s="5"/>
      <c r="CZ1365" s="5"/>
      <c r="DA1365" s="5"/>
      <c r="DB1365" s="5"/>
      <c r="DC1365" s="5"/>
      <c r="DD1365" s="5"/>
      <c r="DE1365" s="5"/>
      <c r="DF1365" s="5"/>
      <c r="DG1365" s="5"/>
      <c r="DH1365" s="5"/>
      <c r="DI1365" s="5"/>
      <c r="DJ1365" s="5"/>
      <c r="DK1365" s="5"/>
      <c r="DL1365" s="5"/>
      <c r="DM1365" s="5"/>
      <c r="DN1365" s="5"/>
      <c r="DO1365" s="5"/>
      <c r="DP1365" s="5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  <c r="GT1365" s="1"/>
      <c r="GU1365" s="1"/>
      <c r="GV1365" s="1"/>
      <c r="GW1365" s="1"/>
      <c r="GX1365" s="1"/>
      <c r="GY1365" s="1"/>
      <c r="GZ1365" s="1"/>
      <c r="HA1365" s="1"/>
      <c r="HB1365" s="1"/>
      <c r="HC1365" s="1"/>
      <c r="HD1365" s="1"/>
      <c r="HE1365" s="1"/>
      <c r="HF1365" s="1"/>
      <c r="HG1365" s="1"/>
      <c r="HH1365" s="1"/>
      <c r="HI1365" s="1"/>
      <c r="HJ1365" s="1"/>
      <c r="HK1365" s="1"/>
      <c r="HL1365" s="1"/>
      <c r="HM1365" s="1"/>
      <c r="HN1365" s="1"/>
      <c r="HO1365" s="1"/>
      <c r="HP1365" s="1"/>
      <c r="HQ1365" s="1"/>
      <c r="HR1365" s="1"/>
      <c r="HS1365" s="1"/>
      <c r="HT1365" s="1"/>
      <c r="HU1365" s="1"/>
      <c r="HV1365" s="1"/>
      <c r="HW1365" s="1"/>
      <c r="HX1365" s="1"/>
      <c r="HY1365" s="1"/>
      <c r="HZ1365" s="1"/>
      <c r="IA1365" s="1"/>
      <c r="IB1365" s="1"/>
      <c r="IC1365" s="1"/>
      <c r="ID1365" s="1"/>
      <c r="IE1365" s="1"/>
      <c r="IF1365" s="1"/>
      <c r="IG1365" s="1"/>
      <c r="IH1365" s="1"/>
      <c r="II1365" s="1"/>
      <c r="IJ1365" s="1"/>
      <c r="IK1365" s="1"/>
      <c r="IL1365" s="1"/>
      <c r="IM1365" s="1"/>
      <c r="IN1365" s="1"/>
      <c r="IO1365" s="1"/>
      <c r="IP1365" s="1"/>
      <c r="IQ1365" s="1"/>
      <c r="IR1365" s="1"/>
      <c r="IS1365" s="1"/>
      <c r="IT1365" s="1"/>
      <c r="IU1365" s="1"/>
      <c r="IV1365" s="1"/>
      <c r="IW1365" s="1"/>
      <c r="IX1365" s="1"/>
      <c r="IY1365" s="1"/>
      <c r="IZ1365" s="1"/>
      <c r="JA1365" s="1"/>
      <c r="JB1365" s="1"/>
      <c r="JC1365" s="1"/>
      <c r="JD1365" s="1"/>
    </row>
    <row r="1366" s="504" customFormat="true" ht="12.75" hidden="false" customHeight="true" outlineLevel="0" collapsed="false">
      <c r="A1366" s="5"/>
      <c r="B1366" s="5"/>
      <c r="C1366" s="5"/>
      <c r="D1366" s="8"/>
      <c r="E1366" s="8"/>
      <c r="F1366" s="8"/>
      <c r="G1366" s="5"/>
      <c r="H1366" s="5"/>
      <c r="I1366" s="5"/>
      <c r="J1366" s="8"/>
      <c r="K1366" s="8"/>
      <c r="L1366" s="5"/>
      <c r="M1366" s="8"/>
      <c r="N1366" s="8"/>
      <c r="O1366" s="8"/>
      <c r="P1366" s="8"/>
      <c r="Q1366" s="5"/>
      <c r="R1366" s="5"/>
      <c r="S1366" s="5"/>
      <c r="T1366" s="5"/>
      <c r="U1366" s="5"/>
      <c r="V1366" s="10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02"/>
      <c r="AU1366" s="502"/>
      <c r="AV1366" s="606"/>
      <c r="AW1366" s="502"/>
      <c r="AX1366" s="502"/>
      <c r="AY1366" s="502"/>
      <c r="AZ1366" s="502"/>
      <c r="BA1366" s="502"/>
      <c r="BB1366" s="502"/>
      <c r="BC1366" s="502"/>
      <c r="BD1366" s="502"/>
      <c r="BE1366" s="502"/>
      <c r="BF1366" s="502"/>
      <c r="BG1366" s="502"/>
      <c r="BH1366" s="502"/>
      <c r="BI1366" s="502"/>
      <c r="BJ1366" s="502"/>
      <c r="BK1366" s="502"/>
      <c r="BL1366" s="502"/>
      <c r="BM1366" s="502"/>
      <c r="BN1366" s="502"/>
      <c r="BO1366" s="502"/>
      <c r="BP1366" s="5"/>
      <c r="BQ1366" s="5"/>
      <c r="BR1366" s="5"/>
      <c r="BS1366" s="5"/>
      <c r="BT1366" s="5"/>
      <c r="BU1366" s="5"/>
      <c r="BV1366" s="5"/>
      <c r="BW1366" s="5"/>
      <c r="BX1366" s="5"/>
      <c r="BY1366" s="5"/>
      <c r="BZ1366" s="5"/>
      <c r="CA1366" s="5"/>
      <c r="CB1366" s="5"/>
      <c r="CC1366" s="5"/>
      <c r="CD1366" s="5"/>
      <c r="CE1366" s="5"/>
      <c r="CF1366" s="5"/>
      <c r="CG1366" s="5"/>
      <c r="CH1366" s="5"/>
      <c r="CI1366" s="5"/>
      <c r="CJ1366" s="5"/>
      <c r="CK1366" s="5"/>
      <c r="CL1366" s="5"/>
      <c r="CM1366" s="5"/>
      <c r="CN1366" s="5"/>
      <c r="CO1366" s="5"/>
      <c r="CP1366" s="5"/>
      <c r="CQ1366" s="5"/>
      <c r="CR1366" s="5"/>
      <c r="CS1366" s="5"/>
      <c r="CT1366" s="5"/>
      <c r="CU1366" s="5"/>
      <c r="CV1366" s="5"/>
      <c r="CW1366" s="5"/>
      <c r="CX1366" s="5"/>
      <c r="CY1366" s="5"/>
      <c r="CZ1366" s="5"/>
      <c r="DA1366" s="5"/>
      <c r="DB1366" s="5"/>
      <c r="DC1366" s="5"/>
      <c r="DD1366" s="5"/>
      <c r="DE1366" s="5"/>
      <c r="DF1366" s="5"/>
      <c r="DG1366" s="5"/>
      <c r="DH1366" s="5"/>
      <c r="DI1366" s="5"/>
      <c r="DJ1366" s="5"/>
      <c r="DK1366" s="5"/>
      <c r="DL1366" s="5"/>
      <c r="DM1366" s="5"/>
      <c r="DN1366" s="5"/>
      <c r="DO1366" s="5"/>
      <c r="DP1366" s="5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  <c r="GV1366" s="1"/>
      <c r="GW1366" s="1"/>
      <c r="GX1366" s="1"/>
      <c r="GY1366" s="1"/>
      <c r="GZ1366" s="1"/>
      <c r="HA1366" s="1"/>
      <c r="HB1366" s="1"/>
      <c r="HC1366" s="1"/>
      <c r="HD1366" s="1"/>
      <c r="HE1366" s="1"/>
      <c r="HF1366" s="1"/>
      <c r="HG1366" s="1"/>
      <c r="HH1366" s="1"/>
      <c r="HI1366" s="1"/>
      <c r="HJ1366" s="1"/>
      <c r="HK1366" s="1"/>
      <c r="HL1366" s="1"/>
      <c r="HM1366" s="1"/>
      <c r="HN1366" s="1"/>
      <c r="HO1366" s="1"/>
      <c r="HP1366" s="1"/>
      <c r="HQ1366" s="1"/>
      <c r="HR1366" s="1"/>
      <c r="HS1366" s="1"/>
      <c r="HT1366" s="1"/>
      <c r="HU1366" s="1"/>
      <c r="HV1366" s="1"/>
      <c r="HW1366" s="1"/>
      <c r="HX1366" s="1"/>
      <c r="HY1366" s="1"/>
      <c r="HZ1366" s="1"/>
      <c r="IA1366" s="1"/>
      <c r="IB1366" s="1"/>
      <c r="IC1366" s="1"/>
      <c r="ID1366" s="1"/>
      <c r="IE1366" s="1"/>
      <c r="IF1366" s="1"/>
      <c r="IG1366" s="1"/>
      <c r="IH1366" s="1"/>
      <c r="II1366" s="1"/>
      <c r="IJ1366" s="1"/>
      <c r="IK1366" s="1"/>
      <c r="IL1366" s="1"/>
      <c r="IM1366" s="1"/>
      <c r="IN1366" s="1"/>
      <c r="IO1366" s="1"/>
      <c r="IP1366" s="1"/>
      <c r="IQ1366" s="1"/>
      <c r="IR1366" s="1"/>
      <c r="IS1366" s="1"/>
      <c r="IT1366" s="1"/>
      <c r="IU1366" s="1"/>
      <c r="IV1366" s="1"/>
      <c r="IW1366" s="1"/>
      <c r="IX1366" s="1"/>
      <c r="IY1366" s="1"/>
      <c r="IZ1366" s="1"/>
      <c r="JA1366" s="1"/>
      <c r="JB1366" s="1"/>
      <c r="JC1366" s="1"/>
      <c r="JD1366" s="1"/>
    </row>
    <row r="1367" s="504" customFormat="true" ht="12.75" hidden="false" customHeight="true" outlineLevel="0" collapsed="false">
      <c r="A1367" s="5"/>
      <c r="B1367" s="5"/>
      <c r="C1367" s="5"/>
      <c r="D1367" s="8"/>
      <c r="E1367" s="8"/>
      <c r="F1367" s="8"/>
      <c r="G1367" s="5"/>
      <c r="H1367" s="5"/>
      <c r="I1367" s="5"/>
      <c r="J1367" s="8"/>
      <c r="K1367" s="8"/>
      <c r="L1367" s="5"/>
      <c r="M1367" s="8"/>
      <c r="N1367" s="8"/>
      <c r="O1367" s="8"/>
      <c r="P1367" s="8"/>
      <c r="Q1367" s="5"/>
      <c r="R1367" s="5"/>
      <c r="S1367" s="5"/>
      <c r="T1367" s="5"/>
      <c r="U1367" s="5"/>
      <c r="V1367" s="10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02"/>
      <c r="AU1367" s="502"/>
      <c r="AV1367" s="606"/>
      <c r="AW1367" s="502"/>
      <c r="AX1367" s="502"/>
      <c r="AY1367" s="502"/>
      <c r="AZ1367" s="502"/>
      <c r="BA1367" s="502"/>
      <c r="BB1367" s="502"/>
      <c r="BC1367" s="502"/>
      <c r="BD1367" s="502"/>
      <c r="BE1367" s="502"/>
      <c r="BF1367" s="502"/>
      <c r="BG1367" s="502"/>
      <c r="BH1367" s="502"/>
      <c r="BI1367" s="502"/>
      <c r="BJ1367" s="502"/>
      <c r="BK1367" s="502"/>
      <c r="BL1367" s="502"/>
      <c r="BM1367" s="502"/>
      <c r="BN1367" s="502"/>
      <c r="BO1367" s="502"/>
      <c r="BP1367" s="5"/>
      <c r="BQ1367" s="5"/>
      <c r="BR1367" s="5"/>
      <c r="BS1367" s="5"/>
      <c r="BT1367" s="5"/>
      <c r="BU1367" s="5"/>
      <c r="BV1367" s="5"/>
      <c r="BW1367" s="5"/>
      <c r="BX1367" s="5"/>
      <c r="BY1367" s="5"/>
      <c r="BZ1367" s="5"/>
      <c r="CA1367" s="5"/>
      <c r="CB1367" s="5"/>
      <c r="CC1367" s="5"/>
      <c r="CD1367" s="5"/>
      <c r="CE1367" s="5"/>
      <c r="CF1367" s="5"/>
      <c r="CG1367" s="5"/>
      <c r="CH1367" s="5"/>
      <c r="CI1367" s="5"/>
      <c r="CJ1367" s="5"/>
      <c r="CK1367" s="5"/>
      <c r="CL1367" s="5"/>
      <c r="CM1367" s="5"/>
      <c r="CN1367" s="5"/>
      <c r="CO1367" s="5"/>
      <c r="CP1367" s="5"/>
      <c r="CQ1367" s="5"/>
      <c r="CR1367" s="5"/>
      <c r="CS1367" s="5"/>
      <c r="CT1367" s="5"/>
      <c r="CU1367" s="5"/>
      <c r="CV1367" s="5"/>
      <c r="CW1367" s="5"/>
      <c r="CX1367" s="5"/>
      <c r="CY1367" s="5"/>
      <c r="CZ1367" s="5"/>
      <c r="DA1367" s="5"/>
      <c r="DB1367" s="5"/>
      <c r="DC1367" s="5"/>
      <c r="DD1367" s="5"/>
      <c r="DE1367" s="5"/>
      <c r="DF1367" s="5"/>
      <c r="DG1367" s="5"/>
      <c r="DH1367" s="5"/>
      <c r="DI1367" s="5"/>
      <c r="DJ1367" s="5"/>
      <c r="DK1367" s="5"/>
      <c r="DL1367" s="5"/>
      <c r="DM1367" s="5"/>
      <c r="DN1367" s="5"/>
      <c r="DO1367" s="5"/>
      <c r="DP1367" s="5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  <c r="GV1367" s="1"/>
      <c r="GW1367" s="1"/>
      <c r="GX1367" s="1"/>
      <c r="GY1367" s="1"/>
      <c r="GZ1367" s="1"/>
      <c r="HA1367" s="1"/>
      <c r="HB1367" s="1"/>
      <c r="HC1367" s="1"/>
      <c r="HD1367" s="1"/>
      <c r="HE1367" s="1"/>
      <c r="HF1367" s="1"/>
      <c r="HG1367" s="1"/>
      <c r="HH1367" s="1"/>
      <c r="HI1367" s="1"/>
      <c r="HJ1367" s="1"/>
      <c r="HK1367" s="1"/>
      <c r="HL1367" s="1"/>
      <c r="HM1367" s="1"/>
      <c r="HN1367" s="1"/>
      <c r="HO1367" s="1"/>
      <c r="HP1367" s="1"/>
      <c r="HQ1367" s="1"/>
      <c r="HR1367" s="1"/>
      <c r="HS1367" s="1"/>
      <c r="HT1367" s="1"/>
      <c r="HU1367" s="1"/>
      <c r="HV1367" s="1"/>
      <c r="HW1367" s="1"/>
      <c r="HX1367" s="1"/>
      <c r="HY1367" s="1"/>
      <c r="HZ1367" s="1"/>
      <c r="IA1367" s="1"/>
      <c r="IB1367" s="1"/>
      <c r="IC1367" s="1"/>
      <c r="ID1367" s="1"/>
      <c r="IE1367" s="1"/>
      <c r="IF1367" s="1"/>
      <c r="IG1367" s="1"/>
      <c r="IH1367" s="1"/>
      <c r="II1367" s="1"/>
      <c r="IJ1367" s="1"/>
      <c r="IK1367" s="1"/>
      <c r="IL1367" s="1"/>
      <c r="IM1367" s="1"/>
      <c r="IN1367" s="1"/>
      <c r="IO1367" s="1"/>
      <c r="IP1367" s="1"/>
      <c r="IQ1367" s="1"/>
      <c r="IR1367" s="1"/>
      <c r="IS1367" s="1"/>
      <c r="IT1367" s="1"/>
      <c r="IU1367" s="1"/>
      <c r="IV1367" s="1"/>
      <c r="IW1367" s="1"/>
      <c r="IX1367" s="1"/>
      <c r="IY1367" s="1"/>
      <c r="IZ1367" s="1"/>
      <c r="JA1367" s="1"/>
      <c r="JB1367" s="1"/>
      <c r="JC1367" s="1"/>
      <c r="JD1367" s="1"/>
    </row>
    <row r="1368" s="504" customFormat="true" ht="12.75" hidden="false" customHeight="true" outlineLevel="0" collapsed="false">
      <c r="A1368" s="5"/>
      <c r="B1368" s="5"/>
      <c r="C1368" s="5"/>
      <c r="D1368" s="8"/>
      <c r="E1368" s="8"/>
      <c r="F1368" s="8"/>
      <c r="G1368" s="5"/>
      <c r="H1368" s="5"/>
      <c r="I1368" s="5"/>
      <c r="J1368" s="8"/>
      <c r="K1368" s="8"/>
      <c r="L1368" s="5"/>
      <c r="M1368" s="8"/>
      <c r="N1368" s="8"/>
      <c r="O1368" s="8"/>
      <c r="P1368" s="8"/>
      <c r="Q1368" s="5"/>
      <c r="R1368" s="5"/>
      <c r="S1368" s="5"/>
      <c r="T1368" s="5"/>
      <c r="U1368" s="5"/>
      <c r="V1368" s="10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02"/>
      <c r="AU1368" s="502"/>
      <c r="AV1368" s="606"/>
      <c r="AW1368" s="502"/>
      <c r="AX1368" s="502"/>
      <c r="AY1368" s="502"/>
      <c r="AZ1368" s="502"/>
      <c r="BA1368" s="502"/>
      <c r="BB1368" s="502"/>
      <c r="BC1368" s="502"/>
      <c r="BD1368" s="502"/>
      <c r="BE1368" s="502"/>
      <c r="BF1368" s="502"/>
      <c r="BG1368" s="502"/>
      <c r="BH1368" s="502"/>
      <c r="BI1368" s="502"/>
      <c r="BJ1368" s="502"/>
      <c r="BK1368" s="502"/>
      <c r="BL1368" s="502"/>
      <c r="BM1368" s="502"/>
      <c r="BN1368" s="502"/>
      <c r="BO1368" s="502"/>
      <c r="BP1368" s="5"/>
      <c r="BQ1368" s="5"/>
      <c r="BR1368" s="5"/>
      <c r="BS1368" s="5"/>
      <c r="BT1368" s="5"/>
      <c r="BU1368" s="5"/>
      <c r="BV1368" s="5"/>
      <c r="BW1368" s="5"/>
      <c r="BX1368" s="5"/>
      <c r="BY1368" s="5"/>
      <c r="BZ1368" s="5"/>
      <c r="CA1368" s="5"/>
      <c r="CB1368" s="5"/>
      <c r="CC1368" s="5"/>
      <c r="CD1368" s="5"/>
      <c r="CE1368" s="5"/>
      <c r="CF1368" s="5"/>
      <c r="CG1368" s="5"/>
      <c r="CH1368" s="5"/>
      <c r="CI1368" s="5"/>
      <c r="CJ1368" s="5"/>
      <c r="CK1368" s="5"/>
      <c r="CL1368" s="5"/>
      <c r="CM1368" s="5"/>
      <c r="CN1368" s="5"/>
      <c r="CO1368" s="5"/>
      <c r="CP1368" s="5"/>
      <c r="CQ1368" s="5"/>
      <c r="CR1368" s="5"/>
      <c r="CS1368" s="5"/>
      <c r="CT1368" s="5"/>
      <c r="CU1368" s="5"/>
      <c r="CV1368" s="5"/>
      <c r="CW1368" s="5"/>
      <c r="CX1368" s="5"/>
      <c r="CY1368" s="5"/>
      <c r="CZ1368" s="5"/>
      <c r="DA1368" s="5"/>
      <c r="DB1368" s="5"/>
      <c r="DC1368" s="5"/>
      <c r="DD1368" s="5"/>
      <c r="DE1368" s="5"/>
      <c r="DF1368" s="5"/>
      <c r="DG1368" s="5"/>
      <c r="DH1368" s="5"/>
      <c r="DI1368" s="5"/>
      <c r="DJ1368" s="5"/>
      <c r="DK1368" s="5"/>
      <c r="DL1368" s="5"/>
      <c r="DM1368" s="5"/>
      <c r="DN1368" s="5"/>
      <c r="DO1368" s="5"/>
      <c r="DP1368" s="5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  <c r="GT1368" s="1"/>
      <c r="GU1368" s="1"/>
      <c r="GV1368" s="1"/>
      <c r="GW1368" s="1"/>
      <c r="GX1368" s="1"/>
      <c r="GY1368" s="1"/>
      <c r="GZ1368" s="1"/>
      <c r="HA1368" s="1"/>
      <c r="HB1368" s="1"/>
      <c r="HC1368" s="1"/>
      <c r="HD1368" s="1"/>
      <c r="HE1368" s="1"/>
      <c r="HF1368" s="1"/>
      <c r="HG1368" s="1"/>
      <c r="HH1368" s="1"/>
      <c r="HI1368" s="1"/>
      <c r="HJ1368" s="1"/>
      <c r="HK1368" s="1"/>
      <c r="HL1368" s="1"/>
      <c r="HM1368" s="1"/>
      <c r="HN1368" s="1"/>
      <c r="HO1368" s="1"/>
      <c r="HP1368" s="1"/>
      <c r="HQ1368" s="1"/>
      <c r="HR1368" s="1"/>
      <c r="HS1368" s="1"/>
      <c r="HT1368" s="1"/>
      <c r="HU1368" s="1"/>
      <c r="HV1368" s="1"/>
      <c r="HW1368" s="1"/>
      <c r="HX1368" s="1"/>
      <c r="HY1368" s="1"/>
      <c r="HZ1368" s="1"/>
      <c r="IA1368" s="1"/>
      <c r="IB1368" s="1"/>
      <c r="IC1368" s="1"/>
      <c r="ID1368" s="1"/>
      <c r="IE1368" s="1"/>
      <c r="IF1368" s="1"/>
      <c r="IG1368" s="1"/>
      <c r="IH1368" s="1"/>
      <c r="II1368" s="1"/>
      <c r="IJ1368" s="1"/>
      <c r="IK1368" s="1"/>
      <c r="IL1368" s="1"/>
      <c r="IM1368" s="1"/>
      <c r="IN1368" s="1"/>
      <c r="IO1368" s="1"/>
      <c r="IP1368" s="1"/>
      <c r="IQ1368" s="1"/>
      <c r="IR1368" s="1"/>
      <c r="IS1368" s="1"/>
      <c r="IT1368" s="1"/>
      <c r="IU1368" s="1"/>
      <c r="IV1368" s="1"/>
      <c r="IW1368" s="1"/>
      <c r="IX1368" s="1"/>
      <c r="IY1368" s="1"/>
      <c r="IZ1368" s="1"/>
      <c r="JA1368" s="1"/>
      <c r="JB1368" s="1"/>
      <c r="JC1368" s="1"/>
      <c r="JD1368" s="1"/>
    </row>
    <row r="1369" s="504" customFormat="true" ht="12.75" hidden="false" customHeight="true" outlineLevel="0" collapsed="false">
      <c r="A1369" s="5"/>
      <c r="B1369" s="5"/>
      <c r="C1369" s="5"/>
      <c r="D1369" s="8"/>
      <c r="E1369" s="8"/>
      <c r="F1369" s="8"/>
      <c r="G1369" s="5"/>
      <c r="H1369" s="5"/>
      <c r="I1369" s="5"/>
      <c r="J1369" s="8"/>
      <c r="K1369" s="8"/>
      <c r="L1369" s="5"/>
      <c r="M1369" s="8"/>
      <c r="N1369" s="8"/>
      <c r="O1369" s="8"/>
      <c r="P1369" s="8"/>
      <c r="Q1369" s="5"/>
      <c r="R1369" s="5"/>
      <c r="S1369" s="5"/>
      <c r="T1369" s="5"/>
      <c r="U1369" s="5"/>
      <c r="V1369" s="10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02"/>
      <c r="AU1369" s="502"/>
      <c r="AV1369" s="606"/>
      <c r="AW1369" s="502"/>
      <c r="AX1369" s="502"/>
      <c r="AY1369" s="502"/>
      <c r="AZ1369" s="502"/>
      <c r="BA1369" s="502"/>
      <c r="BB1369" s="502"/>
      <c r="BC1369" s="502"/>
      <c r="BD1369" s="502"/>
      <c r="BE1369" s="502"/>
      <c r="BF1369" s="502"/>
      <c r="BG1369" s="502"/>
      <c r="BH1369" s="502"/>
      <c r="BI1369" s="502"/>
      <c r="BJ1369" s="502"/>
      <c r="BK1369" s="502"/>
      <c r="BL1369" s="502"/>
      <c r="BM1369" s="502"/>
      <c r="BN1369" s="502"/>
      <c r="BO1369" s="502"/>
      <c r="BP1369" s="5"/>
      <c r="BQ1369" s="5"/>
      <c r="BR1369" s="5"/>
      <c r="BS1369" s="5"/>
      <c r="BT1369" s="5"/>
      <c r="BU1369" s="5"/>
      <c r="BV1369" s="5"/>
      <c r="BW1369" s="5"/>
      <c r="BX1369" s="5"/>
      <c r="BY1369" s="5"/>
      <c r="BZ1369" s="5"/>
      <c r="CA1369" s="5"/>
      <c r="CB1369" s="5"/>
      <c r="CC1369" s="5"/>
      <c r="CD1369" s="5"/>
      <c r="CE1369" s="5"/>
      <c r="CF1369" s="5"/>
      <c r="CG1369" s="5"/>
      <c r="CH1369" s="5"/>
      <c r="CI1369" s="5"/>
      <c r="CJ1369" s="5"/>
      <c r="CK1369" s="5"/>
      <c r="CL1369" s="5"/>
      <c r="CM1369" s="5"/>
      <c r="CN1369" s="5"/>
      <c r="CO1369" s="5"/>
      <c r="CP1369" s="5"/>
      <c r="CQ1369" s="5"/>
      <c r="CR1369" s="5"/>
      <c r="CS1369" s="5"/>
      <c r="CT1369" s="5"/>
      <c r="CU1369" s="5"/>
      <c r="CV1369" s="5"/>
      <c r="CW1369" s="5"/>
      <c r="CX1369" s="5"/>
      <c r="CY1369" s="5"/>
      <c r="CZ1369" s="5"/>
      <c r="DA1369" s="5"/>
      <c r="DB1369" s="5"/>
      <c r="DC1369" s="5"/>
      <c r="DD1369" s="5"/>
      <c r="DE1369" s="5"/>
      <c r="DF1369" s="5"/>
      <c r="DG1369" s="5"/>
      <c r="DH1369" s="5"/>
      <c r="DI1369" s="5"/>
      <c r="DJ1369" s="5"/>
      <c r="DK1369" s="5"/>
      <c r="DL1369" s="5"/>
      <c r="DM1369" s="5"/>
      <c r="DN1369" s="5"/>
      <c r="DO1369" s="5"/>
      <c r="DP1369" s="5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  <c r="GV1369" s="1"/>
      <c r="GW1369" s="1"/>
      <c r="GX1369" s="1"/>
      <c r="GY1369" s="1"/>
      <c r="GZ1369" s="1"/>
      <c r="HA1369" s="1"/>
      <c r="HB1369" s="1"/>
      <c r="HC1369" s="1"/>
      <c r="HD1369" s="1"/>
      <c r="HE1369" s="1"/>
      <c r="HF1369" s="1"/>
      <c r="HG1369" s="1"/>
      <c r="HH1369" s="1"/>
      <c r="HI1369" s="1"/>
      <c r="HJ1369" s="1"/>
      <c r="HK1369" s="1"/>
      <c r="HL1369" s="1"/>
      <c r="HM1369" s="1"/>
      <c r="HN1369" s="1"/>
      <c r="HO1369" s="1"/>
      <c r="HP1369" s="1"/>
      <c r="HQ1369" s="1"/>
      <c r="HR1369" s="1"/>
      <c r="HS1369" s="1"/>
      <c r="HT1369" s="1"/>
      <c r="HU1369" s="1"/>
      <c r="HV1369" s="1"/>
      <c r="HW1369" s="1"/>
      <c r="HX1369" s="1"/>
      <c r="HY1369" s="1"/>
      <c r="HZ1369" s="1"/>
      <c r="IA1369" s="1"/>
      <c r="IB1369" s="1"/>
      <c r="IC1369" s="1"/>
      <c r="ID1369" s="1"/>
      <c r="IE1369" s="1"/>
      <c r="IF1369" s="1"/>
      <c r="IG1369" s="1"/>
      <c r="IH1369" s="1"/>
      <c r="II1369" s="1"/>
      <c r="IJ1369" s="1"/>
      <c r="IK1369" s="1"/>
      <c r="IL1369" s="1"/>
      <c r="IM1369" s="1"/>
      <c r="IN1369" s="1"/>
      <c r="IO1369" s="1"/>
      <c r="IP1369" s="1"/>
      <c r="IQ1369" s="1"/>
      <c r="IR1369" s="1"/>
      <c r="IS1369" s="1"/>
      <c r="IT1369" s="1"/>
      <c r="IU1369" s="1"/>
      <c r="IV1369" s="1"/>
      <c r="IW1369" s="1"/>
      <c r="IX1369" s="1"/>
      <c r="IY1369" s="1"/>
      <c r="IZ1369" s="1"/>
      <c r="JA1369" s="1"/>
      <c r="JB1369" s="1"/>
      <c r="JC1369" s="1"/>
      <c r="JD1369" s="1"/>
    </row>
    <row r="1370" s="504" customFormat="true" ht="12.75" hidden="false" customHeight="true" outlineLevel="0" collapsed="false">
      <c r="A1370" s="5"/>
      <c r="B1370" s="5"/>
      <c r="C1370" s="5"/>
      <c r="D1370" s="8"/>
      <c r="E1370" s="8"/>
      <c r="F1370" s="8"/>
      <c r="G1370" s="5"/>
      <c r="H1370" s="5"/>
      <c r="I1370" s="5"/>
      <c r="J1370" s="8"/>
      <c r="K1370" s="8"/>
      <c r="L1370" s="5"/>
      <c r="M1370" s="8"/>
      <c r="N1370" s="8"/>
      <c r="O1370" s="8"/>
      <c r="P1370" s="8"/>
      <c r="Q1370" s="5"/>
      <c r="R1370" s="5"/>
      <c r="S1370" s="5"/>
      <c r="T1370" s="5"/>
      <c r="U1370" s="5"/>
      <c r="V1370" s="10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02"/>
      <c r="AU1370" s="502"/>
      <c r="AV1370" s="606"/>
      <c r="AW1370" s="502"/>
      <c r="AX1370" s="502"/>
      <c r="AY1370" s="502"/>
      <c r="AZ1370" s="502"/>
      <c r="BA1370" s="502"/>
      <c r="BB1370" s="502"/>
      <c r="BC1370" s="502"/>
      <c r="BD1370" s="502"/>
      <c r="BE1370" s="502"/>
      <c r="BF1370" s="502"/>
      <c r="BG1370" s="502"/>
      <c r="BH1370" s="502"/>
      <c r="BI1370" s="502"/>
      <c r="BJ1370" s="502"/>
      <c r="BK1370" s="502"/>
      <c r="BL1370" s="502"/>
      <c r="BM1370" s="502"/>
      <c r="BN1370" s="502"/>
      <c r="BO1370" s="502"/>
      <c r="BP1370" s="5"/>
      <c r="BQ1370" s="5"/>
      <c r="BR1370" s="5"/>
      <c r="BS1370" s="5"/>
      <c r="BT1370" s="5"/>
      <c r="BU1370" s="5"/>
      <c r="BV1370" s="5"/>
      <c r="BW1370" s="5"/>
      <c r="BX1370" s="5"/>
      <c r="BY1370" s="5"/>
      <c r="BZ1370" s="5"/>
      <c r="CA1370" s="5"/>
      <c r="CB1370" s="5"/>
      <c r="CC1370" s="5"/>
      <c r="CD1370" s="5"/>
      <c r="CE1370" s="5"/>
      <c r="CF1370" s="5"/>
      <c r="CG1370" s="5"/>
      <c r="CH1370" s="5"/>
      <c r="CI1370" s="5"/>
      <c r="CJ1370" s="5"/>
      <c r="CK1370" s="5"/>
      <c r="CL1370" s="5"/>
      <c r="CM1370" s="5"/>
      <c r="CN1370" s="5"/>
      <c r="CO1370" s="5"/>
      <c r="CP1370" s="5"/>
      <c r="CQ1370" s="5"/>
      <c r="CR1370" s="5"/>
      <c r="CS1370" s="5"/>
      <c r="CT1370" s="5"/>
      <c r="CU1370" s="5"/>
      <c r="CV1370" s="5"/>
      <c r="CW1370" s="5"/>
      <c r="CX1370" s="5"/>
      <c r="CY1370" s="5"/>
      <c r="CZ1370" s="5"/>
      <c r="DA1370" s="5"/>
      <c r="DB1370" s="5"/>
      <c r="DC1370" s="5"/>
      <c r="DD1370" s="5"/>
      <c r="DE1370" s="5"/>
      <c r="DF1370" s="5"/>
      <c r="DG1370" s="5"/>
      <c r="DH1370" s="5"/>
      <c r="DI1370" s="5"/>
      <c r="DJ1370" s="5"/>
      <c r="DK1370" s="5"/>
      <c r="DL1370" s="5"/>
      <c r="DM1370" s="5"/>
      <c r="DN1370" s="5"/>
      <c r="DO1370" s="5"/>
      <c r="DP1370" s="5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  <c r="GV1370" s="1"/>
      <c r="GW1370" s="1"/>
      <c r="GX1370" s="1"/>
      <c r="GY1370" s="1"/>
      <c r="GZ1370" s="1"/>
      <c r="HA1370" s="1"/>
      <c r="HB1370" s="1"/>
      <c r="HC1370" s="1"/>
      <c r="HD1370" s="1"/>
      <c r="HE1370" s="1"/>
      <c r="HF1370" s="1"/>
      <c r="HG1370" s="1"/>
      <c r="HH1370" s="1"/>
      <c r="HI1370" s="1"/>
      <c r="HJ1370" s="1"/>
      <c r="HK1370" s="1"/>
      <c r="HL1370" s="1"/>
      <c r="HM1370" s="1"/>
      <c r="HN1370" s="1"/>
      <c r="HO1370" s="1"/>
      <c r="HP1370" s="1"/>
      <c r="HQ1370" s="1"/>
      <c r="HR1370" s="1"/>
      <c r="HS1370" s="1"/>
      <c r="HT1370" s="1"/>
      <c r="HU1370" s="1"/>
      <c r="HV1370" s="1"/>
      <c r="HW1370" s="1"/>
      <c r="HX1370" s="1"/>
      <c r="HY1370" s="1"/>
      <c r="HZ1370" s="1"/>
      <c r="IA1370" s="1"/>
      <c r="IB1370" s="1"/>
      <c r="IC1370" s="1"/>
      <c r="ID1370" s="1"/>
      <c r="IE1370" s="1"/>
      <c r="IF1370" s="1"/>
      <c r="IG1370" s="1"/>
      <c r="IH1370" s="1"/>
      <c r="II1370" s="1"/>
      <c r="IJ1370" s="1"/>
      <c r="IK1370" s="1"/>
      <c r="IL1370" s="1"/>
      <c r="IM1370" s="1"/>
      <c r="IN1370" s="1"/>
      <c r="IO1370" s="1"/>
      <c r="IP1370" s="1"/>
      <c r="IQ1370" s="1"/>
      <c r="IR1370" s="1"/>
      <c r="IS1370" s="1"/>
      <c r="IT1370" s="1"/>
      <c r="IU1370" s="1"/>
      <c r="IV1370" s="1"/>
      <c r="IW1370" s="1"/>
      <c r="IX1370" s="1"/>
      <c r="IY1370" s="1"/>
      <c r="IZ1370" s="1"/>
      <c r="JA1370" s="1"/>
      <c r="JB1370" s="1"/>
      <c r="JC1370" s="1"/>
      <c r="JD1370" s="1"/>
    </row>
    <row r="1371" s="504" customFormat="true" ht="12.75" hidden="false" customHeight="true" outlineLevel="0" collapsed="false">
      <c r="A1371" s="5"/>
      <c r="B1371" s="5"/>
      <c r="C1371" s="5"/>
      <c r="D1371" s="8"/>
      <c r="E1371" s="8"/>
      <c r="F1371" s="8"/>
      <c r="G1371" s="5"/>
      <c r="H1371" s="5"/>
      <c r="I1371" s="5"/>
      <c r="J1371" s="8"/>
      <c r="K1371" s="8"/>
      <c r="L1371" s="5"/>
      <c r="M1371" s="8"/>
      <c r="N1371" s="8"/>
      <c r="O1371" s="8"/>
      <c r="P1371" s="8"/>
      <c r="Q1371" s="5"/>
      <c r="R1371" s="5"/>
      <c r="S1371" s="5"/>
      <c r="T1371" s="5"/>
      <c r="U1371" s="5"/>
      <c r="V1371" s="10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  <c r="AR1371" s="5"/>
      <c r="AS1371" s="5"/>
      <c r="AT1371" s="502"/>
      <c r="AU1371" s="502"/>
      <c r="AV1371" s="606"/>
      <c r="AW1371" s="502"/>
      <c r="AX1371" s="502"/>
      <c r="AY1371" s="502"/>
      <c r="AZ1371" s="502"/>
      <c r="BA1371" s="502"/>
      <c r="BB1371" s="502"/>
      <c r="BC1371" s="502"/>
      <c r="BD1371" s="502"/>
      <c r="BE1371" s="502"/>
      <c r="BF1371" s="502"/>
      <c r="BG1371" s="502"/>
      <c r="BH1371" s="502"/>
      <c r="BI1371" s="502"/>
      <c r="BJ1371" s="502"/>
      <c r="BK1371" s="502"/>
      <c r="BL1371" s="502"/>
      <c r="BM1371" s="502"/>
      <c r="BN1371" s="502"/>
      <c r="BO1371" s="502"/>
      <c r="BP1371" s="5"/>
      <c r="BQ1371" s="5"/>
      <c r="BR1371" s="5"/>
      <c r="BS1371" s="5"/>
      <c r="BT1371" s="5"/>
      <c r="BU1371" s="5"/>
      <c r="BV1371" s="5"/>
      <c r="BW1371" s="5"/>
      <c r="BX1371" s="5"/>
      <c r="BY1371" s="5"/>
      <c r="BZ1371" s="5"/>
      <c r="CA1371" s="5"/>
      <c r="CB1371" s="5"/>
      <c r="CC1371" s="5"/>
      <c r="CD1371" s="5"/>
      <c r="CE1371" s="5"/>
      <c r="CF1371" s="5"/>
      <c r="CG1371" s="5"/>
      <c r="CH1371" s="5"/>
      <c r="CI1371" s="5"/>
      <c r="CJ1371" s="5"/>
      <c r="CK1371" s="5"/>
      <c r="CL1371" s="5"/>
      <c r="CM1371" s="5"/>
      <c r="CN1371" s="5"/>
      <c r="CO1371" s="5"/>
      <c r="CP1371" s="5"/>
      <c r="CQ1371" s="5"/>
      <c r="CR1371" s="5"/>
      <c r="CS1371" s="5"/>
      <c r="CT1371" s="5"/>
      <c r="CU1371" s="5"/>
      <c r="CV1371" s="5"/>
      <c r="CW1371" s="5"/>
      <c r="CX1371" s="5"/>
      <c r="CY1371" s="5"/>
      <c r="CZ1371" s="5"/>
      <c r="DA1371" s="5"/>
      <c r="DB1371" s="5"/>
      <c r="DC1371" s="5"/>
      <c r="DD1371" s="5"/>
      <c r="DE1371" s="5"/>
      <c r="DF1371" s="5"/>
      <c r="DG1371" s="5"/>
      <c r="DH1371" s="5"/>
      <c r="DI1371" s="5"/>
      <c r="DJ1371" s="5"/>
      <c r="DK1371" s="5"/>
      <c r="DL1371" s="5"/>
      <c r="DM1371" s="5"/>
      <c r="DN1371" s="5"/>
      <c r="DO1371" s="5"/>
      <c r="DP1371" s="5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  <c r="GV1371" s="1"/>
      <c r="GW1371" s="1"/>
      <c r="GX1371" s="1"/>
      <c r="GY1371" s="1"/>
      <c r="GZ1371" s="1"/>
      <c r="HA1371" s="1"/>
      <c r="HB1371" s="1"/>
      <c r="HC1371" s="1"/>
      <c r="HD1371" s="1"/>
      <c r="HE1371" s="1"/>
      <c r="HF1371" s="1"/>
      <c r="HG1371" s="1"/>
      <c r="HH1371" s="1"/>
      <c r="HI1371" s="1"/>
      <c r="HJ1371" s="1"/>
      <c r="HK1371" s="1"/>
      <c r="HL1371" s="1"/>
      <c r="HM1371" s="1"/>
      <c r="HN1371" s="1"/>
      <c r="HO1371" s="1"/>
      <c r="HP1371" s="1"/>
      <c r="HQ1371" s="1"/>
      <c r="HR1371" s="1"/>
      <c r="HS1371" s="1"/>
      <c r="HT1371" s="1"/>
      <c r="HU1371" s="1"/>
      <c r="HV1371" s="1"/>
      <c r="HW1371" s="1"/>
      <c r="HX1371" s="1"/>
      <c r="HY1371" s="1"/>
      <c r="HZ1371" s="1"/>
      <c r="IA1371" s="1"/>
      <c r="IB1371" s="1"/>
      <c r="IC1371" s="1"/>
      <c r="ID1371" s="1"/>
      <c r="IE1371" s="1"/>
      <c r="IF1371" s="1"/>
      <c r="IG1371" s="1"/>
      <c r="IH1371" s="1"/>
      <c r="II1371" s="1"/>
      <c r="IJ1371" s="1"/>
      <c r="IK1371" s="1"/>
      <c r="IL1371" s="1"/>
      <c r="IM1371" s="1"/>
      <c r="IN1371" s="1"/>
      <c r="IO1371" s="1"/>
      <c r="IP1371" s="1"/>
      <c r="IQ1371" s="1"/>
      <c r="IR1371" s="1"/>
      <c r="IS1371" s="1"/>
      <c r="IT1371" s="1"/>
      <c r="IU1371" s="1"/>
      <c r="IV1371" s="1"/>
      <c r="IW1371" s="1"/>
      <c r="IX1371" s="1"/>
      <c r="IY1371" s="1"/>
      <c r="IZ1371" s="1"/>
      <c r="JA1371" s="1"/>
      <c r="JB1371" s="1"/>
      <c r="JC1371" s="1"/>
      <c r="JD1371" s="1"/>
    </row>
    <row r="1372" s="504" customFormat="true" ht="12.75" hidden="false" customHeight="true" outlineLevel="0" collapsed="false">
      <c r="A1372" s="5"/>
      <c r="B1372" s="5"/>
      <c r="C1372" s="5"/>
      <c r="D1372" s="8"/>
      <c r="E1372" s="8"/>
      <c r="F1372" s="8"/>
      <c r="G1372" s="5"/>
      <c r="H1372" s="5"/>
      <c r="I1372" s="5"/>
      <c r="J1372" s="8"/>
      <c r="K1372" s="8"/>
      <c r="L1372" s="5"/>
      <c r="M1372" s="8"/>
      <c r="N1372" s="8"/>
      <c r="O1372" s="8"/>
      <c r="P1372" s="8"/>
      <c r="Q1372" s="5"/>
      <c r="R1372" s="5"/>
      <c r="S1372" s="5"/>
      <c r="T1372" s="5"/>
      <c r="U1372" s="5"/>
      <c r="V1372" s="10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02"/>
      <c r="AU1372" s="502"/>
      <c r="AV1372" s="606"/>
      <c r="AW1372" s="502"/>
      <c r="AX1372" s="502"/>
      <c r="AY1372" s="502"/>
      <c r="AZ1372" s="502"/>
      <c r="BA1372" s="502"/>
      <c r="BB1372" s="502"/>
      <c r="BC1372" s="502"/>
      <c r="BD1372" s="502"/>
      <c r="BE1372" s="502"/>
      <c r="BF1372" s="502"/>
      <c r="BG1372" s="502"/>
      <c r="BH1372" s="502"/>
      <c r="BI1372" s="502"/>
      <c r="BJ1372" s="502"/>
      <c r="BK1372" s="502"/>
      <c r="BL1372" s="502"/>
      <c r="BM1372" s="502"/>
      <c r="BN1372" s="502"/>
      <c r="BO1372" s="502"/>
      <c r="BP1372" s="5"/>
      <c r="BQ1372" s="5"/>
      <c r="BR1372" s="5"/>
      <c r="BS1372" s="5"/>
      <c r="BT1372" s="5"/>
      <c r="BU1372" s="5"/>
      <c r="BV1372" s="5"/>
      <c r="BW1372" s="5"/>
      <c r="BX1372" s="5"/>
      <c r="BY1372" s="5"/>
      <c r="BZ1372" s="5"/>
      <c r="CA1372" s="5"/>
      <c r="CB1372" s="5"/>
      <c r="CC1372" s="5"/>
      <c r="CD1372" s="5"/>
      <c r="CE1372" s="5"/>
      <c r="CF1372" s="5"/>
      <c r="CG1372" s="5"/>
      <c r="CH1372" s="5"/>
      <c r="CI1372" s="5"/>
      <c r="CJ1372" s="5"/>
      <c r="CK1372" s="5"/>
      <c r="CL1372" s="5"/>
      <c r="CM1372" s="5"/>
      <c r="CN1372" s="5"/>
      <c r="CO1372" s="5"/>
      <c r="CP1372" s="5"/>
      <c r="CQ1372" s="5"/>
      <c r="CR1372" s="5"/>
      <c r="CS1372" s="5"/>
      <c r="CT1372" s="5"/>
      <c r="CU1372" s="5"/>
      <c r="CV1372" s="5"/>
      <c r="CW1372" s="5"/>
      <c r="CX1372" s="5"/>
      <c r="CY1372" s="5"/>
      <c r="CZ1372" s="5"/>
      <c r="DA1372" s="5"/>
      <c r="DB1372" s="5"/>
      <c r="DC1372" s="5"/>
      <c r="DD1372" s="5"/>
      <c r="DE1372" s="5"/>
      <c r="DF1372" s="5"/>
      <c r="DG1372" s="5"/>
      <c r="DH1372" s="5"/>
      <c r="DI1372" s="5"/>
      <c r="DJ1372" s="5"/>
      <c r="DK1372" s="5"/>
      <c r="DL1372" s="5"/>
      <c r="DM1372" s="5"/>
      <c r="DN1372" s="5"/>
      <c r="DO1372" s="5"/>
      <c r="DP1372" s="5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  <c r="GV1372" s="1"/>
      <c r="GW1372" s="1"/>
      <c r="GX1372" s="1"/>
      <c r="GY1372" s="1"/>
      <c r="GZ1372" s="1"/>
      <c r="HA1372" s="1"/>
      <c r="HB1372" s="1"/>
      <c r="HC1372" s="1"/>
      <c r="HD1372" s="1"/>
      <c r="HE1372" s="1"/>
      <c r="HF1372" s="1"/>
      <c r="HG1372" s="1"/>
      <c r="HH1372" s="1"/>
      <c r="HI1372" s="1"/>
      <c r="HJ1372" s="1"/>
      <c r="HK1372" s="1"/>
      <c r="HL1372" s="1"/>
      <c r="HM1372" s="1"/>
      <c r="HN1372" s="1"/>
      <c r="HO1372" s="1"/>
      <c r="HP1372" s="1"/>
      <c r="HQ1372" s="1"/>
      <c r="HR1372" s="1"/>
      <c r="HS1372" s="1"/>
      <c r="HT1372" s="1"/>
      <c r="HU1372" s="1"/>
      <c r="HV1372" s="1"/>
      <c r="HW1372" s="1"/>
      <c r="HX1372" s="1"/>
      <c r="HY1372" s="1"/>
      <c r="HZ1372" s="1"/>
      <c r="IA1372" s="1"/>
      <c r="IB1372" s="1"/>
      <c r="IC1372" s="1"/>
      <c r="ID1372" s="1"/>
      <c r="IE1372" s="1"/>
      <c r="IF1372" s="1"/>
      <c r="IG1372" s="1"/>
      <c r="IH1372" s="1"/>
      <c r="II1372" s="1"/>
      <c r="IJ1372" s="1"/>
      <c r="IK1372" s="1"/>
      <c r="IL1372" s="1"/>
      <c r="IM1372" s="1"/>
      <c r="IN1372" s="1"/>
      <c r="IO1372" s="1"/>
      <c r="IP1372" s="1"/>
      <c r="IQ1372" s="1"/>
      <c r="IR1372" s="1"/>
      <c r="IS1372" s="1"/>
      <c r="IT1372" s="1"/>
      <c r="IU1372" s="1"/>
      <c r="IV1372" s="1"/>
      <c r="IW1372" s="1"/>
      <c r="IX1372" s="1"/>
      <c r="IY1372" s="1"/>
      <c r="IZ1372" s="1"/>
      <c r="JA1372" s="1"/>
      <c r="JB1372" s="1"/>
      <c r="JC1372" s="1"/>
      <c r="JD1372" s="1"/>
    </row>
    <row r="1373" s="504" customFormat="true" ht="12.75" hidden="false" customHeight="true" outlineLevel="0" collapsed="false">
      <c r="A1373" s="5"/>
      <c r="B1373" s="5"/>
      <c r="C1373" s="5"/>
      <c r="D1373" s="8"/>
      <c r="E1373" s="8"/>
      <c r="F1373" s="8"/>
      <c r="G1373" s="5"/>
      <c r="H1373" s="5"/>
      <c r="I1373" s="5"/>
      <c r="J1373" s="8"/>
      <c r="K1373" s="8"/>
      <c r="L1373" s="5"/>
      <c r="M1373" s="8"/>
      <c r="N1373" s="8"/>
      <c r="O1373" s="8"/>
      <c r="P1373" s="8"/>
      <c r="Q1373" s="5"/>
      <c r="R1373" s="5"/>
      <c r="S1373" s="5"/>
      <c r="T1373" s="5"/>
      <c r="U1373" s="5"/>
      <c r="V1373" s="10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02"/>
      <c r="AU1373" s="502"/>
      <c r="AV1373" s="606"/>
      <c r="AW1373" s="502"/>
      <c r="AX1373" s="502"/>
      <c r="AY1373" s="502"/>
      <c r="AZ1373" s="502"/>
      <c r="BA1373" s="502"/>
      <c r="BB1373" s="502"/>
      <c r="BC1373" s="502"/>
      <c r="BD1373" s="502"/>
      <c r="BE1373" s="502"/>
      <c r="BF1373" s="502"/>
      <c r="BG1373" s="502"/>
      <c r="BH1373" s="502"/>
      <c r="BI1373" s="502"/>
      <c r="BJ1373" s="502"/>
      <c r="BK1373" s="502"/>
      <c r="BL1373" s="502"/>
      <c r="BM1373" s="502"/>
      <c r="BN1373" s="502"/>
      <c r="BO1373" s="502"/>
      <c r="BP1373" s="5"/>
      <c r="BQ1373" s="5"/>
      <c r="BR1373" s="5"/>
      <c r="BS1373" s="5"/>
      <c r="BT1373" s="5"/>
      <c r="BU1373" s="5"/>
      <c r="BV1373" s="5"/>
      <c r="BW1373" s="5"/>
      <c r="BX1373" s="5"/>
      <c r="BY1373" s="5"/>
      <c r="BZ1373" s="5"/>
      <c r="CA1373" s="5"/>
      <c r="CB1373" s="5"/>
      <c r="CC1373" s="5"/>
      <c r="CD1373" s="5"/>
      <c r="CE1373" s="5"/>
      <c r="CF1373" s="5"/>
      <c r="CG1373" s="5"/>
      <c r="CH1373" s="5"/>
      <c r="CI1373" s="5"/>
      <c r="CJ1373" s="5"/>
      <c r="CK1373" s="5"/>
      <c r="CL1373" s="5"/>
      <c r="CM1373" s="5"/>
      <c r="CN1373" s="5"/>
      <c r="CO1373" s="5"/>
      <c r="CP1373" s="5"/>
      <c r="CQ1373" s="5"/>
      <c r="CR1373" s="5"/>
      <c r="CS1373" s="5"/>
      <c r="CT1373" s="5"/>
      <c r="CU1373" s="5"/>
      <c r="CV1373" s="5"/>
      <c r="CW1373" s="5"/>
      <c r="CX1373" s="5"/>
      <c r="CY1373" s="5"/>
      <c r="CZ1373" s="5"/>
      <c r="DA1373" s="5"/>
      <c r="DB1373" s="5"/>
      <c r="DC1373" s="5"/>
      <c r="DD1373" s="5"/>
      <c r="DE1373" s="5"/>
      <c r="DF1373" s="5"/>
      <c r="DG1373" s="5"/>
      <c r="DH1373" s="5"/>
      <c r="DI1373" s="5"/>
      <c r="DJ1373" s="5"/>
      <c r="DK1373" s="5"/>
      <c r="DL1373" s="5"/>
      <c r="DM1373" s="5"/>
      <c r="DN1373" s="5"/>
      <c r="DO1373" s="5"/>
      <c r="DP1373" s="5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  <c r="GV1373" s="1"/>
      <c r="GW1373" s="1"/>
      <c r="GX1373" s="1"/>
      <c r="GY1373" s="1"/>
      <c r="GZ1373" s="1"/>
      <c r="HA1373" s="1"/>
      <c r="HB1373" s="1"/>
      <c r="HC1373" s="1"/>
      <c r="HD1373" s="1"/>
      <c r="HE1373" s="1"/>
      <c r="HF1373" s="1"/>
      <c r="HG1373" s="1"/>
      <c r="HH1373" s="1"/>
      <c r="HI1373" s="1"/>
      <c r="HJ1373" s="1"/>
      <c r="HK1373" s="1"/>
      <c r="HL1373" s="1"/>
      <c r="HM1373" s="1"/>
      <c r="HN1373" s="1"/>
      <c r="HO1373" s="1"/>
      <c r="HP1373" s="1"/>
      <c r="HQ1373" s="1"/>
      <c r="HR1373" s="1"/>
      <c r="HS1373" s="1"/>
      <c r="HT1373" s="1"/>
      <c r="HU1373" s="1"/>
      <c r="HV1373" s="1"/>
      <c r="HW1373" s="1"/>
      <c r="HX1373" s="1"/>
      <c r="HY1373" s="1"/>
      <c r="HZ1373" s="1"/>
      <c r="IA1373" s="1"/>
      <c r="IB1373" s="1"/>
      <c r="IC1373" s="1"/>
      <c r="ID1373" s="1"/>
      <c r="IE1373" s="1"/>
      <c r="IF1373" s="1"/>
      <c r="IG1373" s="1"/>
      <c r="IH1373" s="1"/>
      <c r="II1373" s="1"/>
      <c r="IJ1373" s="1"/>
      <c r="IK1373" s="1"/>
      <c r="IL1373" s="1"/>
      <c r="IM1373" s="1"/>
      <c r="IN1373" s="1"/>
      <c r="IO1373" s="1"/>
      <c r="IP1373" s="1"/>
      <c r="IQ1373" s="1"/>
      <c r="IR1373" s="1"/>
      <c r="IS1373" s="1"/>
      <c r="IT1373" s="1"/>
      <c r="IU1373" s="1"/>
      <c r="IV1373" s="1"/>
      <c r="IW1373" s="1"/>
      <c r="IX1373" s="1"/>
      <c r="IY1373" s="1"/>
      <c r="IZ1373" s="1"/>
      <c r="JA1373" s="1"/>
      <c r="JB1373" s="1"/>
      <c r="JC1373" s="1"/>
      <c r="JD1373" s="1"/>
    </row>
    <row r="1374" s="504" customFormat="true" ht="12.75" hidden="false" customHeight="true" outlineLevel="0" collapsed="false">
      <c r="A1374" s="5"/>
      <c r="B1374" s="5"/>
      <c r="C1374" s="5"/>
      <c r="D1374" s="8"/>
      <c r="E1374" s="8"/>
      <c r="F1374" s="8"/>
      <c r="G1374" s="5"/>
      <c r="H1374" s="5"/>
      <c r="I1374" s="5"/>
      <c r="J1374" s="8"/>
      <c r="K1374" s="8"/>
      <c r="L1374" s="5"/>
      <c r="M1374" s="8"/>
      <c r="N1374" s="8"/>
      <c r="O1374" s="8"/>
      <c r="P1374" s="8"/>
      <c r="Q1374" s="5"/>
      <c r="R1374" s="5"/>
      <c r="S1374" s="5"/>
      <c r="T1374" s="5"/>
      <c r="U1374" s="5"/>
      <c r="V1374" s="10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02"/>
      <c r="AU1374" s="502"/>
      <c r="AV1374" s="606"/>
      <c r="AW1374" s="502"/>
      <c r="AX1374" s="502"/>
      <c r="AY1374" s="502"/>
      <c r="AZ1374" s="502"/>
      <c r="BA1374" s="502"/>
      <c r="BB1374" s="502"/>
      <c r="BC1374" s="502"/>
      <c r="BD1374" s="502"/>
      <c r="BE1374" s="502"/>
      <c r="BF1374" s="502"/>
      <c r="BG1374" s="502"/>
      <c r="BH1374" s="502"/>
      <c r="BI1374" s="502"/>
      <c r="BJ1374" s="502"/>
      <c r="BK1374" s="502"/>
      <c r="BL1374" s="502"/>
      <c r="BM1374" s="502"/>
      <c r="BN1374" s="502"/>
      <c r="BO1374" s="502"/>
      <c r="BP1374" s="5"/>
      <c r="BQ1374" s="5"/>
      <c r="BR1374" s="5"/>
      <c r="BS1374" s="5"/>
      <c r="BT1374" s="5"/>
      <c r="BU1374" s="5"/>
      <c r="BV1374" s="5"/>
      <c r="BW1374" s="5"/>
      <c r="BX1374" s="5"/>
      <c r="BY1374" s="5"/>
      <c r="BZ1374" s="5"/>
      <c r="CA1374" s="5"/>
      <c r="CB1374" s="5"/>
      <c r="CC1374" s="5"/>
      <c r="CD1374" s="5"/>
      <c r="CE1374" s="5"/>
      <c r="CF1374" s="5"/>
      <c r="CG1374" s="5"/>
      <c r="CH1374" s="5"/>
      <c r="CI1374" s="5"/>
      <c r="CJ1374" s="5"/>
      <c r="CK1374" s="5"/>
      <c r="CL1374" s="5"/>
      <c r="CM1374" s="5"/>
      <c r="CN1374" s="5"/>
      <c r="CO1374" s="5"/>
      <c r="CP1374" s="5"/>
      <c r="CQ1374" s="5"/>
      <c r="CR1374" s="5"/>
      <c r="CS1374" s="5"/>
      <c r="CT1374" s="5"/>
      <c r="CU1374" s="5"/>
      <c r="CV1374" s="5"/>
      <c r="CW1374" s="5"/>
      <c r="CX1374" s="5"/>
      <c r="CY1374" s="5"/>
      <c r="CZ1374" s="5"/>
      <c r="DA1374" s="5"/>
      <c r="DB1374" s="5"/>
      <c r="DC1374" s="5"/>
      <c r="DD1374" s="5"/>
      <c r="DE1374" s="5"/>
      <c r="DF1374" s="5"/>
      <c r="DG1374" s="5"/>
      <c r="DH1374" s="5"/>
      <c r="DI1374" s="5"/>
      <c r="DJ1374" s="5"/>
      <c r="DK1374" s="5"/>
      <c r="DL1374" s="5"/>
      <c r="DM1374" s="5"/>
      <c r="DN1374" s="5"/>
      <c r="DO1374" s="5"/>
      <c r="DP1374" s="5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  <c r="GT1374" s="1"/>
      <c r="GU1374" s="1"/>
      <c r="GV1374" s="1"/>
      <c r="GW1374" s="1"/>
      <c r="GX1374" s="1"/>
      <c r="GY1374" s="1"/>
      <c r="GZ1374" s="1"/>
      <c r="HA1374" s="1"/>
      <c r="HB1374" s="1"/>
      <c r="HC1374" s="1"/>
      <c r="HD1374" s="1"/>
      <c r="HE1374" s="1"/>
      <c r="HF1374" s="1"/>
      <c r="HG1374" s="1"/>
      <c r="HH1374" s="1"/>
      <c r="HI1374" s="1"/>
      <c r="HJ1374" s="1"/>
      <c r="HK1374" s="1"/>
      <c r="HL1374" s="1"/>
      <c r="HM1374" s="1"/>
      <c r="HN1374" s="1"/>
      <c r="HO1374" s="1"/>
      <c r="HP1374" s="1"/>
      <c r="HQ1374" s="1"/>
      <c r="HR1374" s="1"/>
      <c r="HS1374" s="1"/>
      <c r="HT1374" s="1"/>
      <c r="HU1374" s="1"/>
      <c r="HV1374" s="1"/>
      <c r="HW1374" s="1"/>
      <c r="HX1374" s="1"/>
      <c r="HY1374" s="1"/>
      <c r="HZ1374" s="1"/>
      <c r="IA1374" s="1"/>
      <c r="IB1374" s="1"/>
      <c r="IC1374" s="1"/>
      <c r="ID1374" s="1"/>
      <c r="IE1374" s="1"/>
      <c r="IF1374" s="1"/>
      <c r="IG1374" s="1"/>
      <c r="IH1374" s="1"/>
      <c r="II1374" s="1"/>
      <c r="IJ1374" s="1"/>
      <c r="IK1374" s="1"/>
      <c r="IL1374" s="1"/>
      <c r="IM1374" s="1"/>
      <c r="IN1374" s="1"/>
      <c r="IO1374" s="1"/>
      <c r="IP1374" s="1"/>
      <c r="IQ1374" s="1"/>
      <c r="IR1374" s="1"/>
      <c r="IS1374" s="1"/>
      <c r="IT1374" s="1"/>
      <c r="IU1374" s="1"/>
      <c r="IV1374" s="1"/>
      <c r="IW1374" s="1"/>
      <c r="IX1374" s="1"/>
      <c r="IY1374" s="1"/>
      <c r="IZ1374" s="1"/>
      <c r="JA1374" s="1"/>
      <c r="JB1374" s="1"/>
      <c r="JC1374" s="1"/>
      <c r="JD1374" s="1"/>
    </row>
    <row r="1375" s="504" customFormat="true" ht="12.75" hidden="false" customHeight="true" outlineLevel="0" collapsed="false">
      <c r="A1375" s="5"/>
      <c r="B1375" s="5"/>
      <c r="C1375" s="5"/>
      <c r="D1375" s="8"/>
      <c r="E1375" s="8"/>
      <c r="F1375" s="8"/>
      <c r="G1375" s="5"/>
      <c r="H1375" s="5"/>
      <c r="I1375" s="5"/>
      <c r="J1375" s="8"/>
      <c r="K1375" s="8"/>
      <c r="L1375" s="5"/>
      <c r="M1375" s="8"/>
      <c r="N1375" s="8"/>
      <c r="O1375" s="8"/>
      <c r="P1375" s="8"/>
      <c r="Q1375" s="5"/>
      <c r="R1375" s="5"/>
      <c r="S1375" s="5"/>
      <c r="T1375" s="5"/>
      <c r="U1375" s="5"/>
      <c r="V1375" s="10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02"/>
      <c r="AU1375" s="502"/>
      <c r="AV1375" s="606"/>
      <c r="AW1375" s="502"/>
      <c r="AX1375" s="502"/>
      <c r="AY1375" s="502"/>
      <c r="AZ1375" s="502"/>
      <c r="BA1375" s="502"/>
      <c r="BB1375" s="502"/>
      <c r="BC1375" s="502"/>
      <c r="BD1375" s="502"/>
      <c r="BE1375" s="502"/>
      <c r="BF1375" s="502"/>
      <c r="BG1375" s="502"/>
      <c r="BH1375" s="502"/>
      <c r="BI1375" s="502"/>
      <c r="BJ1375" s="502"/>
      <c r="BK1375" s="502"/>
      <c r="BL1375" s="502"/>
      <c r="BM1375" s="502"/>
      <c r="BN1375" s="502"/>
      <c r="BO1375" s="502"/>
      <c r="BP1375" s="5"/>
      <c r="BQ1375" s="5"/>
      <c r="BR1375" s="5"/>
      <c r="BS1375" s="5"/>
      <c r="BT1375" s="5"/>
      <c r="BU1375" s="5"/>
      <c r="BV1375" s="5"/>
      <c r="BW1375" s="5"/>
      <c r="BX1375" s="5"/>
      <c r="BY1375" s="5"/>
      <c r="BZ1375" s="5"/>
      <c r="CA1375" s="5"/>
      <c r="CB1375" s="5"/>
      <c r="CC1375" s="5"/>
      <c r="CD1375" s="5"/>
      <c r="CE1375" s="5"/>
      <c r="CF1375" s="5"/>
      <c r="CG1375" s="5"/>
      <c r="CH1375" s="5"/>
      <c r="CI1375" s="5"/>
      <c r="CJ1375" s="5"/>
      <c r="CK1375" s="5"/>
      <c r="CL1375" s="5"/>
      <c r="CM1375" s="5"/>
      <c r="CN1375" s="5"/>
      <c r="CO1375" s="5"/>
      <c r="CP1375" s="5"/>
      <c r="CQ1375" s="5"/>
      <c r="CR1375" s="5"/>
      <c r="CS1375" s="5"/>
      <c r="CT1375" s="5"/>
      <c r="CU1375" s="5"/>
      <c r="CV1375" s="5"/>
      <c r="CW1375" s="5"/>
      <c r="CX1375" s="5"/>
      <c r="CY1375" s="5"/>
      <c r="CZ1375" s="5"/>
      <c r="DA1375" s="5"/>
      <c r="DB1375" s="5"/>
      <c r="DC1375" s="5"/>
      <c r="DD1375" s="5"/>
      <c r="DE1375" s="5"/>
      <c r="DF1375" s="5"/>
      <c r="DG1375" s="5"/>
      <c r="DH1375" s="5"/>
      <c r="DI1375" s="5"/>
      <c r="DJ1375" s="5"/>
      <c r="DK1375" s="5"/>
      <c r="DL1375" s="5"/>
      <c r="DM1375" s="5"/>
      <c r="DN1375" s="5"/>
      <c r="DO1375" s="5"/>
      <c r="DP1375" s="5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  <c r="GV1375" s="1"/>
      <c r="GW1375" s="1"/>
      <c r="GX1375" s="1"/>
      <c r="GY1375" s="1"/>
      <c r="GZ1375" s="1"/>
      <c r="HA1375" s="1"/>
      <c r="HB1375" s="1"/>
      <c r="HC1375" s="1"/>
      <c r="HD1375" s="1"/>
      <c r="HE1375" s="1"/>
      <c r="HF1375" s="1"/>
      <c r="HG1375" s="1"/>
      <c r="HH1375" s="1"/>
      <c r="HI1375" s="1"/>
      <c r="HJ1375" s="1"/>
      <c r="HK1375" s="1"/>
      <c r="HL1375" s="1"/>
      <c r="HM1375" s="1"/>
      <c r="HN1375" s="1"/>
      <c r="HO1375" s="1"/>
      <c r="HP1375" s="1"/>
      <c r="HQ1375" s="1"/>
      <c r="HR1375" s="1"/>
      <c r="HS1375" s="1"/>
      <c r="HT1375" s="1"/>
      <c r="HU1375" s="1"/>
      <c r="HV1375" s="1"/>
      <c r="HW1375" s="1"/>
      <c r="HX1375" s="1"/>
      <c r="HY1375" s="1"/>
      <c r="HZ1375" s="1"/>
      <c r="IA1375" s="1"/>
      <c r="IB1375" s="1"/>
      <c r="IC1375" s="1"/>
      <c r="ID1375" s="1"/>
      <c r="IE1375" s="1"/>
      <c r="IF1375" s="1"/>
      <c r="IG1375" s="1"/>
      <c r="IH1375" s="1"/>
      <c r="II1375" s="1"/>
      <c r="IJ1375" s="1"/>
      <c r="IK1375" s="1"/>
      <c r="IL1375" s="1"/>
      <c r="IM1375" s="1"/>
      <c r="IN1375" s="1"/>
      <c r="IO1375" s="1"/>
      <c r="IP1375" s="1"/>
      <c r="IQ1375" s="1"/>
      <c r="IR1375" s="1"/>
      <c r="IS1375" s="1"/>
      <c r="IT1375" s="1"/>
      <c r="IU1375" s="1"/>
      <c r="IV1375" s="1"/>
      <c r="IW1375" s="1"/>
      <c r="IX1375" s="1"/>
      <c r="IY1375" s="1"/>
      <c r="IZ1375" s="1"/>
      <c r="JA1375" s="1"/>
      <c r="JB1375" s="1"/>
      <c r="JC1375" s="1"/>
      <c r="JD1375" s="1"/>
    </row>
    <row r="1376" s="504" customFormat="true" ht="12.75" hidden="false" customHeight="true" outlineLevel="0" collapsed="false">
      <c r="A1376" s="5"/>
      <c r="B1376" s="5"/>
      <c r="C1376" s="5"/>
      <c r="D1376" s="8"/>
      <c r="E1376" s="8"/>
      <c r="F1376" s="8"/>
      <c r="G1376" s="5"/>
      <c r="H1376" s="5"/>
      <c r="I1376" s="5"/>
      <c r="J1376" s="8"/>
      <c r="K1376" s="8"/>
      <c r="L1376" s="5"/>
      <c r="M1376" s="8"/>
      <c r="N1376" s="8"/>
      <c r="O1376" s="8"/>
      <c r="P1376" s="8"/>
      <c r="Q1376" s="5"/>
      <c r="R1376" s="5"/>
      <c r="S1376" s="5"/>
      <c r="T1376" s="5"/>
      <c r="U1376" s="5"/>
      <c r="V1376" s="10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02"/>
      <c r="AU1376" s="502"/>
      <c r="AV1376" s="606"/>
      <c r="AW1376" s="502"/>
      <c r="AX1376" s="502"/>
      <c r="AY1376" s="502"/>
      <c r="AZ1376" s="502"/>
      <c r="BA1376" s="502"/>
      <c r="BB1376" s="502"/>
      <c r="BC1376" s="502"/>
      <c r="BD1376" s="502"/>
      <c r="BE1376" s="502"/>
      <c r="BF1376" s="502"/>
      <c r="BG1376" s="502"/>
      <c r="BH1376" s="502"/>
      <c r="BI1376" s="502"/>
      <c r="BJ1376" s="502"/>
      <c r="BK1376" s="502"/>
      <c r="BL1376" s="502"/>
      <c r="BM1376" s="502"/>
      <c r="BN1376" s="502"/>
      <c r="BO1376" s="502"/>
      <c r="BP1376" s="5"/>
      <c r="BQ1376" s="5"/>
      <c r="BR1376" s="5"/>
      <c r="BS1376" s="5"/>
      <c r="BT1376" s="5"/>
      <c r="BU1376" s="5"/>
      <c r="BV1376" s="5"/>
      <c r="BW1376" s="5"/>
      <c r="BX1376" s="5"/>
      <c r="BY1376" s="5"/>
      <c r="BZ1376" s="5"/>
      <c r="CA1376" s="5"/>
      <c r="CB1376" s="5"/>
      <c r="CC1376" s="5"/>
      <c r="CD1376" s="5"/>
      <c r="CE1376" s="5"/>
      <c r="CF1376" s="5"/>
      <c r="CG1376" s="5"/>
      <c r="CH1376" s="5"/>
      <c r="CI1376" s="5"/>
      <c r="CJ1376" s="5"/>
      <c r="CK1376" s="5"/>
      <c r="CL1376" s="5"/>
      <c r="CM1376" s="5"/>
      <c r="CN1376" s="5"/>
      <c r="CO1376" s="5"/>
      <c r="CP1376" s="5"/>
      <c r="CQ1376" s="5"/>
      <c r="CR1376" s="5"/>
      <c r="CS1376" s="5"/>
      <c r="CT1376" s="5"/>
      <c r="CU1376" s="5"/>
      <c r="CV1376" s="5"/>
      <c r="CW1376" s="5"/>
      <c r="CX1376" s="5"/>
      <c r="CY1376" s="5"/>
      <c r="CZ1376" s="5"/>
      <c r="DA1376" s="5"/>
      <c r="DB1376" s="5"/>
      <c r="DC1376" s="5"/>
      <c r="DD1376" s="5"/>
      <c r="DE1376" s="5"/>
      <c r="DF1376" s="5"/>
      <c r="DG1376" s="5"/>
      <c r="DH1376" s="5"/>
      <c r="DI1376" s="5"/>
      <c r="DJ1376" s="5"/>
      <c r="DK1376" s="5"/>
      <c r="DL1376" s="5"/>
      <c r="DM1376" s="5"/>
      <c r="DN1376" s="5"/>
      <c r="DO1376" s="5"/>
      <c r="DP1376" s="5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  <c r="GV1376" s="1"/>
      <c r="GW1376" s="1"/>
      <c r="GX1376" s="1"/>
      <c r="GY1376" s="1"/>
      <c r="GZ1376" s="1"/>
      <c r="HA1376" s="1"/>
      <c r="HB1376" s="1"/>
      <c r="HC1376" s="1"/>
      <c r="HD1376" s="1"/>
      <c r="HE1376" s="1"/>
      <c r="HF1376" s="1"/>
      <c r="HG1376" s="1"/>
      <c r="HH1376" s="1"/>
      <c r="HI1376" s="1"/>
      <c r="HJ1376" s="1"/>
      <c r="HK1376" s="1"/>
      <c r="HL1376" s="1"/>
      <c r="HM1376" s="1"/>
      <c r="HN1376" s="1"/>
      <c r="HO1376" s="1"/>
      <c r="HP1376" s="1"/>
      <c r="HQ1376" s="1"/>
      <c r="HR1376" s="1"/>
      <c r="HS1376" s="1"/>
      <c r="HT1376" s="1"/>
      <c r="HU1376" s="1"/>
      <c r="HV1376" s="1"/>
      <c r="HW1376" s="1"/>
      <c r="HX1376" s="1"/>
      <c r="HY1376" s="1"/>
      <c r="HZ1376" s="1"/>
      <c r="IA1376" s="1"/>
      <c r="IB1376" s="1"/>
      <c r="IC1376" s="1"/>
      <c r="ID1376" s="1"/>
      <c r="IE1376" s="1"/>
      <c r="IF1376" s="1"/>
      <c r="IG1376" s="1"/>
      <c r="IH1376" s="1"/>
      <c r="II1376" s="1"/>
      <c r="IJ1376" s="1"/>
      <c r="IK1376" s="1"/>
      <c r="IL1376" s="1"/>
      <c r="IM1376" s="1"/>
      <c r="IN1376" s="1"/>
      <c r="IO1376" s="1"/>
      <c r="IP1376" s="1"/>
      <c r="IQ1376" s="1"/>
      <c r="IR1376" s="1"/>
      <c r="IS1376" s="1"/>
      <c r="IT1376" s="1"/>
      <c r="IU1376" s="1"/>
      <c r="IV1376" s="1"/>
      <c r="IW1376" s="1"/>
      <c r="IX1376" s="1"/>
      <c r="IY1376" s="1"/>
      <c r="IZ1376" s="1"/>
      <c r="JA1376" s="1"/>
      <c r="JB1376" s="1"/>
      <c r="JC1376" s="1"/>
      <c r="JD1376" s="1"/>
    </row>
    <row r="1377" s="504" customFormat="true" ht="12.75" hidden="false" customHeight="true" outlineLevel="0" collapsed="false">
      <c r="A1377" s="5"/>
      <c r="B1377" s="5"/>
      <c r="C1377" s="5"/>
      <c r="D1377" s="8"/>
      <c r="E1377" s="8"/>
      <c r="F1377" s="8"/>
      <c r="G1377" s="5"/>
      <c r="H1377" s="5"/>
      <c r="I1377" s="5"/>
      <c r="J1377" s="8"/>
      <c r="K1377" s="8"/>
      <c r="L1377" s="5"/>
      <c r="M1377" s="8"/>
      <c r="N1377" s="8"/>
      <c r="O1377" s="8"/>
      <c r="P1377" s="8"/>
      <c r="Q1377" s="5"/>
      <c r="R1377" s="5"/>
      <c r="S1377" s="5"/>
      <c r="T1377" s="5"/>
      <c r="U1377" s="5"/>
      <c r="V1377" s="10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02"/>
      <c r="AU1377" s="502"/>
      <c r="AV1377" s="606"/>
      <c r="AW1377" s="502"/>
      <c r="AX1377" s="502"/>
      <c r="AY1377" s="502"/>
      <c r="AZ1377" s="502"/>
      <c r="BA1377" s="502"/>
      <c r="BB1377" s="502"/>
      <c r="BC1377" s="502"/>
      <c r="BD1377" s="502"/>
      <c r="BE1377" s="502"/>
      <c r="BF1377" s="502"/>
      <c r="BG1377" s="502"/>
      <c r="BH1377" s="502"/>
      <c r="BI1377" s="502"/>
      <c r="BJ1377" s="502"/>
      <c r="BK1377" s="502"/>
      <c r="BL1377" s="502"/>
      <c r="BM1377" s="502"/>
      <c r="BN1377" s="502"/>
      <c r="BO1377" s="502"/>
      <c r="BP1377" s="5"/>
      <c r="BQ1377" s="5"/>
      <c r="BR1377" s="5"/>
      <c r="BS1377" s="5"/>
      <c r="BT1377" s="5"/>
      <c r="BU1377" s="5"/>
      <c r="BV1377" s="5"/>
      <c r="BW1377" s="5"/>
      <c r="BX1377" s="5"/>
      <c r="BY1377" s="5"/>
      <c r="BZ1377" s="5"/>
      <c r="CA1377" s="5"/>
      <c r="CB1377" s="5"/>
      <c r="CC1377" s="5"/>
      <c r="CD1377" s="5"/>
      <c r="CE1377" s="5"/>
      <c r="CF1377" s="5"/>
      <c r="CG1377" s="5"/>
      <c r="CH1377" s="5"/>
      <c r="CI1377" s="5"/>
      <c r="CJ1377" s="5"/>
      <c r="CK1377" s="5"/>
      <c r="CL1377" s="5"/>
      <c r="CM1377" s="5"/>
      <c r="CN1377" s="5"/>
      <c r="CO1377" s="5"/>
      <c r="CP1377" s="5"/>
      <c r="CQ1377" s="5"/>
      <c r="CR1377" s="5"/>
      <c r="CS1377" s="5"/>
      <c r="CT1377" s="5"/>
      <c r="CU1377" s="5"/>
      <c r="CV1377" s="5"/>
      <c r="CW1377" s="5"/>
      <c r="CX1377" s="5"/>
      <c r="CY1377" s="5"/>
      <c r="CZ1377" s="5"/>
      <c r="DA1377" s="5"/>
      <c r="DB1377" s="5"/>
      <c r="DC1377" s="5"/>
      <c r="DD1377" s="5"/>
      <c r="DE1377" s="5"/>
      <c r="DF1377" s="5"/>
      <c r="DG1377" s="5"/>
      <c r="DH1377" s="5"/>
      <c r="DI1377" s="5"/>
      <c r="DJ1377" s="5"/>
      <c r="DK1377" s="5"/>
      <c r="DL1377" s="5"/>
      <c r="DM1377" s="5"/>
      <c r="DN1377" s="5"/>
      <c r="DO1377" s="5"/>
      <c r="DP1377" s="5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  <c r="GT1377" s="1"/>
      <c r="GU1377" s="1"/>
      <c r="GV1377" s="1"/>
      <c r="GW1377" s="1"/>
      <c r="GX1377" s="1"/>
      <c r="GY1377" s="1"/>
      <c r="GZ1377" s="1"/>
      <c r="HA1377" s="1"/>
      <c r="HB1377" s="1"/>
      <c r="HC1377" s="1"/>
      <c r="HD1377" s="1"/>
      <c r="HE1377" s="1"/>
      <c r="HF1377" s="1"/>
      <c r="HG1377" s="1"/>
      <c r="HH1377" s="1"/>
      <c r="HI1377" s="1"/>
      <c r="HJ1377" s="1"/>
      <c r="HK1377" s="1"/>
      <c r="HL1377" s="1"/>
      <c r="HM1377" s="1"/>
      <c r="HN1377" s="1"/>
      <c r="HO1377" s="1"/>
      <c r="HP1377" s="1"/>
      <c r="HQ1377" s="1"/>
      <c r="HR1377" s="1"/>
      <c r="HS1377" s="1"/>
      <c r="HT1377" s="1"/>
      <c r="HU1377" s="1"/>
      <c r="HV1377" s="1"/>
      <c r="HW1377" s="1"/>
      <c r="HX1377" s="1"/>
      <c r="HY1377" s="1"/>
      <c r="HZ1377" s="1"/>
      <c r="IA1377" s="1"/>
      <c r="IB1377" s="1"/>
      <c r="IC1377" s="1"/>
      <c r="ID1377" s="1"/>
      <c r="IE1377" s="1"/>
      <c r="IF1377" s="1"/>
      <c r="IG1377" s="1"/>
      <c r="IH1377" s="1"/>
      <c r="II1377" s="1"/>
      <c r="IJ1377" s="1"/>
      <c r="IK1377" s="1"/>
      <c r="IL1377" s="1"/>
      <c r="IM1377" s="1"/>
      <c r="IN1377" s="1"/>
      <c r="IO1377" s="1"/>
      <c r="IP1377" s="1"/>
      <c r="IQ1377" s="1"/>
      <c r="IR1377" s="1"/>
      <c r="IS1377" s="1"/>
      <c r="IT1377" s="1"/>
      <c r="IU1377" s="1"/>
      <c r="IV1377" s="1"/>
      <c r="IW1377" s="1"/>
      <c r="IX1377" s="1"/>
      <c r="IY1377" s="1"/>
      <c r="IZ1377" s="1"/>
      <c r="JA1377" s="1"/>
      <c r="JB1377" s="1"/>
      <c r="JC1377" s="1"/>
      <c r="JD1377" s="1"/>
    </row>
    <row r="1378" s="504" customFormat="true" ht="12.75" hidden="false" customHeight="true" outlineLevel="0" collapsed="false">
      <c r="A1378" s="5"/>
      <c r="B1378" s="5"/>
      <c r="C1378" s="5"/>
      <c r="D1378" s="8"/>
      <c r="E1378" s="8"/>
      <c r="F1378" s="8"/>
      <c r="G1378" s="5"/>
      <c r="H1378" s="5"/>
      <c r="I1378" s="5"/>
      <c r="J1378" s="8"/>
      <c r="K1378" s="8"/>
      <c r="L1378" s="5"/>
      <c r="M1378" s="8"/>
      <c r="N1378" s="8"/>
      <c r="O1378" s="8"/>
      <c r="P1378" s="8"/>
      <c r="Q1378" s="5"/>
      <c r="R1378" s="5"/>
      <c r="S1378" s="5"/>
      <c r="T1378" s="5"/>
      <c r="U1378" s="5"/>
      <c r="V1378" s="10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02"/>
      <c r="AU1378" s="502"/>
      <c r="AV1378" s="606"/>
      <c r="AW1378" s="502"/>
      <c r="AX1378" s="502"/>
      <c r="AY1378" s="502"/>
      <c r="AZ1378" s="502"/>
      <c r="BA1378" s="502"/>
      <c r="BB1378" s="502"/>
      <c r="BC1378" s="502"/>
      <c r="BD1378" s="502"/>
      <c r="BE1378" s="502"/>
      <c r="BF1378" s="502"/>
      <c r="BG1378" s="502"/>
      <c r="BH1378" s="502"/>
      <c r="BI1378" s="502"/>
      <c r="BJ1378" s="502"/>
      <c r="BK1378" s="502"/>
      <c r="BL1378" s="502"/>
      <c r="BM1378" s="502"/>
      <c r="BN1378" s="502"/>
      <c r="BO1378" s="502"/>
      <c r="BP1378" s="5"/>
      <c r="BQ1378" s="5"/>
      <c r="BR1378" s="5"/>
      <c r="BS1378" s="5"/>
      <c r="BT1378" s="5"/>
      <c r="BU1378" s="5"/>
      <c r="BV1378" s="5"/>
      <c r="BW1378" s="5"/>
      <c r="BX1378" s="5"/>
      <c r="BY1378" s="5"/>
      <c r="BZ1378" s="5"/>
      <c r="CA1378" s="5"/>
      <c r="CB1378" s="5"/>
      <c r="CC1378" s="5"/>
      <c r="CD1378" s="5"/>
      <c r="CE1378" s="5"/>
      <c r="CF1378" s="5"/>
      <c r="CG1378" s="5"/>
      <c r="CH1378" s="5"/>
      <c r="CI1378" s="5"/>
      <c r="CJ1378" s="5"/>
      <c r="CK1378" s="5"/>
      <c r="CL1378" s="5"/>
      <c r="CM1378" s="5"/>
      <c r="CN1378" s="5"/>
      <c r="CO1378" s="5"/>
      <c r="CP1378" s="5"/>
      <c r="CQ1378" s="5"/>
      <c r="CR1378" s="5"/>
      <c r="CS1378" s="5"/>
      <c r="CT1378" s="5"/>
      <c r="CU1378" s="5"/>
      <c r="CV1378" s="5"/>
      <c r="CW1378" s="5"/>
      <c r="CX1378" s="5"/>
      <c r="CY1378" s="5"/>
      <c r="CZ1378" s="5"/>
      <c r="DA1378" s="5"/>
      <c r="DB1378" s="5"/>
      <c r="DC1378" s="5"/>
      <c r="DD1378" s="5"/>
      <c r="DE1378" s="5"/>
      <c r="DF1378" s="5"/>
      <c r="DG1378" s="5"/>
      <c r="DH1378" s="5"/>
      <c r="DI1378" s="5"/>
      <c r="DJ1378" s="5"/>
      <c r="DK1378" s="5"/>
      <c r="DL1378" s="5"/>
      <c r="DM1378" s="5"/>
      <c r="DN1378" s="5"/>
      <c r="DO1378" s="5"/>
      <c r="DP1378" s="5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  <c r="GT1378" s="1"/>
      <c r="GU1378" s="1"/>
      <c r="GV1378" s="1"/>
      <c r="GW1378" s="1"/>
      <c r="GX1378" s="1"/>
      <c r="GY1378" s="1"/>
      <c r="GZ1378" s="1"/>
      <c r="HA1378" s="1"/>
      <c r="HB1378" s="1"/>
      <c r="HC1378" s="1"/>
      <c r="HD1378" s="1"/>
      <c r="HE1378" s="1"/>
      <c r="HF1378" s="1"/>
      <c r="HG1378" s="1"/>
      <c r="HH1378" s="1"/>
      <c r="HI1378" s="1"/>
      <c r="HJ1378" s="1"/>
      <c r="HK1378" s="1"/>
      <c r="HL1378" s="1"/>
      <c r="HM1378" s="1"/>
      <c r="HN1378" s="1"/>
      <c r="HO1378" s="1"/>
      <c r="HP1378" s="1"/>
      <c r="HQ1378" s="1"/>
      <c r="HR1378" s="1"/>
      <c r="HS1378" s="1"/>
      <c r="HT1378" s="1"/>
      <c r="HU1378" s="1"/>
      <c r="HV1378" s="1"/>
      <c r="HW1378" s="1"/>
      <c r="HX1378" s="1"/>
      <c r="HY1378" s="1"/>
      <c r="HZ1378" s="1"/>
      <c r="IA1378" s="1"/>
      <c r="IB1378" s="1"/>
      <c r="IC1378" s="1"/>
      <c r="ID1378" s="1"/>
      <c r="IE1378" s="1"/>
      <c r="IF1378" s="1"/>
      <c r="IG1378" s="1"/>
      <c r="IH1378" s="1"/>
      <c r="II1378" s="1"/>
      <c r="IJ1378" s="1"/>
      <c r="IK1378" s="1"/>
      <c r="IL1378" s="1"/>
      <c r="IM1378" s="1"/>
      <c r="IN1378" s="1"/>
      <c r="IO1378" s="1"/>
      <c r="IP1378" s="1"/>
      <c r="IQ1378" s="1"/>
      <c r="IR1378" s="1"/>
      <c r="IS1378" s="1"/>
      <c r="IT1378" s="1"/>
      <c r="IU1378" s="1"/>
      <c r="IV1378" s="1"/>
      <c r="IW1378" s="1"/>
      <c r="IX1378" s="1"/>
      <c r="IY1378" s="1"/>
      <c r="IZ1378" s="1"/>
      <c r="JA1378" s="1"/>
      <c r="JB1378" s="1"/>
      <c r="JC1378" s="1"/>
      <c r="JD1378" s="1"/>
    </row>
    <row r="1379" s="504" customFormat="true" ht="12.75" hidden="false" customHeight="true" outlineLevel="0" collapsed="false">
      <c r="A1379" s="5"/>
      <c r="B1379" s="5"/>
      <c r="C1379" s="5"/>
      <c r="D1379" s="8"/>
      <c r="E1379" s="8"/>
      <c r="F1379" s="8"/>
      <c r="G1379" s="5"/>
      <c r="H1379" s="5"/>
      <c r="I1379" s="5"/>
      <c r="J1379" s="8"/>
      <c r="K1379" s="8"/>
      <c r="L1379" s="5"/>
      <c r="M1379" s="8"/>
      <c r="N1379" s="8"/>
      <c r="O1379" s="8"/>
      <c r="P1379" s="8"/>
      <c r="Q1379" s="5"/>
      <c r="R1379" s="5"/>
      <c r="S1379" s="5"/>
      <c r="T1379" s="5"/>
      <c r="U1379" s="5"/>
      <c r="V1379" s="10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02"/>
      <c r="AU1379" s="502"/>
      <c r="AV1379" s="606"/>
      <c r="AW1379" s="502"/>
      <c r="AX1379" s="502"/>
      <c r="AY1379" s="502"/>
      <c r="AZ1379" s="502"/>
      <c r="BA1379" s="502"/>
      <c r="BB1379" s="502"/>
      <c r="BC1379" s="502"/>
      <c r="BD1379" s="502"/>
      <c r="BE1379" s="502"/>
      <c r="BF1379" s="502"/>
      <c r="BG1379" s="502"/>
      <c r="BH1379" s="502"/>
      <c r="BI1379" s="502"/>
      <c r="BJ1379" s="502"/>
      <c r="BK1379" s="502"/>
      <c r="BL1379" s="502"/>
      <c r="BM1379" s="502"/>
      <c r="BN1379" s="502"/>
      <c r="BO1379" s="502"/>
      <c r="BP1379" s="5"/>
      <c r="BQ1379" s="5"/>
      <c r="BR1379" s="5"/>
      <c r="BS1379" s="5"/>
      <c r="BT1379" s="5"/>
      <c r="BU1379" s="5"/>
      <c r="BV1379" s="5"/>
      <c r="BW1379" s="5"/>
      <c r="BX1379" s="5"/>
      <c r="BY1379" s="5"/>
      <c r="BZ1379" s="5"/>
      <c r="CA1379" s="5"/>
      <c r="CB1379" s="5"/>
      <c r="CC1379" s="5"/>
      <c r="CD1379" s="5"/>
      <c r="CE1379" s="5"/>
      <c r="CF1379" s="5"/>
      <c r="CG1379" s="5"/>
      <c r="CH1379" s="5"/>
      <c r="CI1379" s="5"/>
      <c r="CJ1379" s="5"/>
      <c r="CK1379" s="5"/>
      <c r="CL1379" s="5"/>
      <c r="CM1379" s="5"/>
      <c r="CN1379" s="5"/>
      <c r="CO1379" s="5"/>
      <c r="CP1379" s="5"/>
      <c r="CQ1379" s="5"/>
      <c r="CR1379" s="5"/>
      <c r="CS1379" s="5"/>
      <c r="CT1379" s="5"/>
      <c r="CU1379" s="5"/>
      <c r="CV1379" s="5"/>
      <c r="CW1379" s="5"/>
      <c r="CX1379" s="5"/>
      <c r="CY1379" s="5"/>
      <c r="CZ1379" s="5"/>
      <c r="DA1379" s="5"/>
      <c r="DB1379" s="5"/>
      <c r="DC1379" s="5"/>
      <c r="DD1379" s="5"/>
      <c r="DE1379" s="5"/>
      <c r="DF1379" s="5"/>
      <c r="DG1379" s="5"/>
      <c r="DH1379" s="5"/>
      <c r="DI1379" s="5"/>
      <c r="DJ1379" s="5"/>
      <c r="DK1379" s="5"/>
      <c r="DL1379" s="5"/>
      <c r="DM1379" s="5"/>
      <c r="DN1379" s="5"/>
      <c r="DO1379" s="5"/>
      <c r="DP1379" s="5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  <c r="GV1379" s="1"/>
      <c r="GW1379" s="1"/>
      <c r="GX1379" s="1"/>
      <c r="GY1379" s="1"/>
      <c r="GZ1379" s="1"/>
      <c r="HA1379" s="1"/>
      <c r="HB1379" s="1"/>
      <c r="HC1379" s="1"/>
      <c r="HD1379" s="1"/>
      <c r="HE1379" s="1"/>
      <c r="HF1379" s="1"/>
      <c r="HG1379" s="1"/>
      <c r="HH1379" s="1"/>
      <c r="HI1379" s="1"/>
      <c r="HJ1379" s="1"/>
      <c r="HK1379" s="1"/>
      <c r="HL1379" s="1"/>
      <c r="HM1379" s="1"/>
      <c r="HN1379" s="1"/>
      <c r="HO1379" s="1"/>
      <c r="HP1379" s="1"/>
      <c r="HQ1379" s="1"/>
      <c r="HR1379" s="1"/>
      <c r="HS1379" s="1"/>
      <c r="HT1379" s="1"/>
      <c r="HU1379" s="1"/>
      <c r="HV1379" s="1"/>
      <c r="HW1379" s="1"/>
      <c r="HX1379" s="1"/>
      <c r="HY1379" s="1"/>
      <c r="HZ1379" s="1"/>
      <c r="IA1379" s="1"/>
      <c r="IB1379" s="1"/>
      <c r="IC1379" s="1"/>
      <c r="ID1379" s="1"/>
      <c r="IE1379" s="1"/>
      <c r="IF1379" s="1"/>
      <c r="IG1379" s="1"/>
      <c r="IH1379" s="1"/>
      <c r="II1379" s="1"/>
      <c r="IJ1379" s="1"/>
      <c r="IK1379" s="1"/>
      <c r="IL1379" s="1"/>
      <c r="IM1379" s="1"/>
      <c r="IN1379" s="1"/>
      <c r="IO1379" s="1"/>
      <c r="IP1379" s="1"/>
      <c r="IQ1379" s="1"/>
      <c r="IR1379" s="1"/>
      <c r="IS1379" s="1"/>
      <c r="IT1379" s="1"/>
      <c r="IU1379" s="1"/>
      <c r="IV1379" s="1"/>
      <c r="IW1379" s="1"/>
      <c r="IX1379" s="1"/>
      <c r="IY1379" s="1"/>
      <c r="IZ1379" s="1"/>
      <c r="JA1379" s="1"/>
      <c r="JB1379" s="1"/>
      <c r="JC1379" s="1"/>
      <c r="JD1379" s="1"/>
    </row>
    <row r="1380" s="504" customFormat="true" ht="12.75" hidden="false" customHeight="true" outlineLevel="0" collapsed="false">
      <c r="A1380" s="5"/>
      <c r="B1380" s="5"/>
      <c r="C1380" s="5"/>
      <c r="D1380" s="8"/>
      <c r="E1380" s="8"/>
      <c r="F1380" s="8"/>
      <c r="G1380" s="5"/>
      <c r="H1380" s="5"/>
      <c r="I1380" s="5"/>
      <c r="J1380" s="8"/>
      <c r="K1380" s="8"/>
      <c r="L1380" s="5"/>
      <c r="M1380" s="8"/>
      <c r="N1380" s="8"/>
      <c r="O1380" s="8"/>
      <c r="P1380" s="8"/>
      <c r="Q1380" s="5"/>
      <c r="R1380" s="5"/>
      <c r="S1380" s="5"/>
      <c r="T1380" s="5"/>
      <c r="U1380" s="5"/>
      <c r="V1380" s="10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02"/>
      <c r="AU1380" s="502"/>
      <c r="AV1380" s="606"/>
      <c r="AW1380" s="502"/>
      <c r="AX1380" s="502"/>
      <c r="AY1380" s="502"/>
      <c r="AZ1380" s="502"/>
      <c r="BA1380" s="502"/>
      <c r="BB1380" s="502"/>
      <c r="BC1380" s="502"/>
      <c r="BD1380" s="502"/>
      <c r="BE1380" s="502"/>
      <c r="BF1380" s="502"/>
      <c r="BG1380" s="502"/>
      <c r="BH1380" s="502"/>
      <c r="BI1380" s="502"/>
      <c r="BJ1380" s="502"/>
      <c r="BK1380" s="502"/>
      <c r="BL1380" s="502"/>
      <c r="BM1380" s="502"/>
      <c r="BN1380" s="502"/>
      <c r="BO1380" s="502"/>
      <c r="BP1380" s="5"/>
      <c r="BQ1380" s="5"/>
      <c r="BR1380" s="5"/>
      <c r="BS1380" s="5"/>
      <c r="BT1380" s="5"/>
      <c r="BU1380" s="5"/>
      <c r="BV1380" s="5"/>
      <c r="BW1380" s="5"/>
      <c r="BX1380" s="5"/>
      <c r="BY1380" s="5"/>
      <c r="BZ1380" s="5"/>
      <c r="CA1380" s="5"/>
      <c r="CB1380" s="5"/>
      <c r="CC1380" s="5"/>
      <c r="CD1380" s="5"/>
      <c r="CE1380" s="5"/>
      <c r="CF1380" s="5"/>
      <c r="CG1380" s="5"/>
      <c r="CH1380" s="5"/>
      <c r="CI1380" s="5"/>
      <c r="CJ1380" s="5"/>
      <c r="CK1380" s="5"/>
      <c r="CL1380" s="5"/>
      <c r="CM1380" s="5"/>
      <c r="CN1380" s="5"/>
      <c r="CO1380" s="5"/>
      <c r="CP1380" s="5"/>
      <c r="CQ1380" s="5"/>
      <c r="CR1380" s="5"/>
      <c r="CS1380" s="5"/>
      <c r="CT1380" s="5"/>
      <c r="CU1380" s="5"/>
      <c r="CV1380" s="5"/>
      <c r="CW1380" s="5"/>
      <c r="CX1380" s="5"/>
      <c r="CY1380" s="5"/>
      <c r="CZ1380" s="5"/>
      <c r="DA1380" s="5"/>
      <c r="DB1380" s="5"/>
      <c r="DC1380" s="5"/>
      <c r="DD1380" s="5"/>
      <c r="DE1380" s="5"/>
      <c r="DF1380" s="5"/>
      <c r="DG1380" s="5"/>
      <c r="DH1380" s="5"/>
      <c r="DI1380" s="5"/>
      <c r="DJ1380" s="5"/>
      <c r="DK1380" s="5"/>
      <c r="DL1380" s="5"/>
      <c r="DM1380" s="5"/>
      <c r="DN1380" s="5"/>
      <c r="DO1380" s="5"/>
      <c r="DP1380" s="5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  <c r="GV1380" s="1"/>
      <c r="GW1380" s="1"/>
      <c r="GX1380" s="1"/>
      <c r="GY1380" s="1"/>
      <c r="GZ1380" s="1"/>
      <c r="HA1380" s="1"/>
      <c r="HB1380" s="1"/>
      <c r="HC1380" s="1"/>
      <c r="HD1380" s="1"/>
      <c r="HE1380" s="1"/>
      <c r="HF1380" s="1"/>
      <c r="HG1380" s="1"/>
      <c r="HH1380" s="1"/>
      <c r="HI1380" s="1"/>
      <c r="HJ1380" s="1"/>
      <c r="HK1380" s="1"/>
      <c r="HL1380" s="1"/>
      <c r="HM1380" s="1"/>
      <c r="HN1380" s="1"/>
      <c r="HO1380" s="1"/>
      <c r="HP1380" s="1"/>
      <c r="HQ1380" s="1"/>
      <c r="HR1380" s="1"/>
      <c r="HS1380" s="1"/>
      <c r="HT1380" s="1"/>
      <c r="HU1380" s="1"/>
      <c r="HV1380" s="1"/>
      <c r="HW1380" s="1"/>
      <c r="HX1380" s="1"/>
      <c r="HY1380" s="1"/>
      <c r="HZ1380" s="1"/>
      <c r="IA1380" s="1"/>
      <c r="IB1380" s="1"/>
      <c r="IC1380" s="1"/>
      <c r="ID1380" s="1"/>
      <c r="IE1380" s="1"/>
      <c r="IF1380" s="1"/>
      <c r="IG1380" s="1"/>
      <c r="IH1380" s="1"/>
      <c r="II1380" s="1"/>
      <c r="IJ1380" s="1"/>
      <c r="IK1380" s="1"/>
      <c r="IL1380" s="1"/>
      <c r="IM1380" s="1"/>
      <c r="IN1380" s="1"/>
      <c r="IO1380" s="1"/>
      <c r="IP1380" s="1"/>
      <c r="IQ1380" s="1"/>
      <c r="IR1380" s="1"/>
      <c r="IS1380" s="1"/>
      <c r="IT1380" s="1"/>
      <c r="IU1380" s="1"/>
      <c r="IV1380" s="1"/>
      <c r="IW1380" s="1"/>
      <c r="IX1380" s="1"/>
      <c r="IY1380" s="1"/>
      <c r="IZ1380" s="1"/>
      <c r="JA1380" s="1"/>
      <c r="JB1380" s="1"/>
      <c r="JC1380" s="1"/>
      <c r="JD1380" s="1"/>
    </row>
    <row r="1381" s="504" customFormat="true" ht="12.75" hidden="false" customHeight="true" outlineLevel="0" collapsed="false">
      <c r="A1381" s="5"/>
      <c r="B1381" s="5"/>
      <c r="C1381" s="5"/>
      <c r="D1381" s="8"/>
      <c r="E1381" s="8"/>
      <c r="F1381" s="8"/>
      <c r="G1381" s="5"/>
      <c r="H1381" s="5"/>
      <c r="I1381" s="5"/>
      <c r="J1381" s="8"/>
      <c r="K1381" s="8"/>
      <c r="L1381" s="5"/>
      <c r="M1381" s="8"/>
      <c r="N1381" s="8"/>
      <c r="O1381" s="8"/>
      <c r="P1381" s="8"/>
      <c r="Q1381" s="5"/>
      <c r="R1381" s="5"/>
      <c r="S1381" s="5"/>
      <c r="T1381" s="5"/>
      <c r="U1381" s="5"/>
      <c r="V1381" s="10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02"/>
      <c r="AU1381" s="502"/>
      <c r="AV1381" s="606"/>
      <c r="AW1381" s="502"/>
      <c r="AX1381" s="502"/>
      <c r="AY1381" s="502"/>
      <c r="AZ1381" s="502"/>
      <c r="BA1381" s="502"/>
      <c r="BB1381" s="502"/>
      <c r="BC1381" s="502"/>
      <c r="BD1381" s="502"/>
      <c r="BE1381" s="502"/>
      <c r="BF1381" s="502"/>
      <c r="BG1381" s="502"/>
      <c r="BH1381" s="502"/>
      <c r="BI1381" s="502"/>
      <c r="BJ1381" s="502"/>
      <c r="BK1381" s="502"/>
      <c r="BL1381" s="502"/>
      <c r="BM1381" s="502"/>
      <c r="BN1381" s="502"/>
      <c r="BO1381" s="502"/>
      <c r="BP1381" s="5"/>
      <c r="BQ1381" s="5"/>
      <c r="BR1381" s="5"/>
      <c r="BS1381" s="5"/>
      <c r="BT1381" s="5"/>
      <c r="BU1381" s="5"/>
      <c r="BV1381" s="5"/>
      <c r="BW1381" s="5"/>
      <c r="BX1381" s="5"/>
      <c r="BY1381" s="5"/>
      <c r="BZ1381" s="5"/>
      <c r="CA1381" s="5"/>
      <c r="CB1381" s="5"/>
      <c r="CC1381" s="5"/>
      <c r="CD1381" s="5"/>
      <c r="CE1381" s="5"/>
      <c r="CF1381" s="5"/>
      <c r="CG1381" s="5"/>
      <c r="CH1381" s="5"/>
      <c r="CI1381" s="5"/>
      <c r="CJ1381" s="5"/>
      <c r="CK1381" s="5"/>
      <c r="CL1381" s="5"/>
      <c r="CM1381" s="5"/>
      <c r="CN1381" s="5"/>
      <c r="CO1381" s="5"/>
      <c r="CP1381" s="5"/>
      <c r="CQ1381" s="5"/>
      <c r="CR1381" s="5"/>
      <c r="CS1381" s="5"/>
      <c r="CT1381" s="5"/>
      <c r="CU1381" s="5"/>
      <c r="CV1381" s="5"/>
      <c r="CW1381" s="5"/>
      <c r="CX1381" s="5"/>
      <c r="CY1381" s="5"/>
      <c r="CZ1381" s="5"/>
      <c r="DA1381" s="5"/>
      <c r="DB1381" s="5"/>
      <c r="DC1381" s="5"/>
      <c r="DD1381" s="5"/>
      <c r="DE1381" s="5"/>
      <c r="DF1381" s="5"/>
      <c r="DG1381" s="5"/>
      <c r="DH1381" s="5"/>
      <c r="DI1381" s="5"/>
      <c r="DJ1381" s="5"/>
      <c r="DK1381" s="5"/>
      <c r="DL1381" s="5"/>
      <c r="DM1381" s="5"/>
      <c r="DN1381" s="5"/>
      <c r="DO1381" s="5"/>
      <c r="DP1381" s="5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  <c r="GV1381" s="1"/>
      <c r="GW1381" s="1"/>
      <c r="GX1381" s="1"/>
      <c r="GY1381" s="1"/>
      <c r="GZ1381" s="1"/>
      <c r="HA1381" s="1"/>
      <c r="HB1381" s="1"/>
      <c r="HC1381" s="1"/>
      <c r="HD1381" s="1"/>
      <c r="HE1381" s="1"/>
      <c r="HF1381" s="1"/>
      <c r="HG1381" s="1"/>
      <c r="HH1381" s="1"/>
      <c r="HI1381" s="1"/>
      <c r="HJ1381" s="1"/>
      <c r="HK1381" s="1"/>
      <c r="HL1381" s="1"/>
      <c r="HM1381" s="1"/>
      <c r="HN1381" s="1"/>
      <c r="HO1381" s="1"/>
      <c r="HP1381" s="1"/>
      <c r="HQ1381" s="1"/>
      <c r="HR1381" s="1"/>
      <c r="HS1381" s="1"/>
      <c r="HT1381" s="1"/>
      <c r="HU1381" s="1"/>
      <c r="HV1381" s="1"/>
      <c r="HW1381" s="1"/>
      <c r="HX1381" s="1"/>
      <c r="HY1381" s="1"/>
      <c r="HZ1381" s="1"/>
      <c r="IA1381" s="1"/>
      <c r="IB1381" s="1"/>
      <c r="IC1381" s="1"/>
      <c r="ID1381" s="1"/>
      <c r="IE1381" s="1"/>
      <c r="IF1381" s="1"/>
      <c r="IG1381" s="1"/>
      <c r="IH1381" s="1"/>
      <c r="II1381" s="1"/>
      <c r="IJ1381" s="1"/>
      <c r="IK1381" s="1"/>
      <c r="IL1381" s="1"/>
      <c r="IM1381" s="1"/>
      <c r="IN1381" s="1"/>
      <c r="IO1381" s="1"/>
      <c r="IP1381" s="1"/>
      <c r="IQ1381" s="1"/>
      <c r="IR1381" s="1"/>
      <c r="IS1381" s="1"/>
      <c r="IT1381" s="1"/>
      <c r="IU1381" s="1"/>
      <c r="IV1381" s="1"/>
      <c r="IW1381" s="1"/>
      <c r="IX1381" s="1"/>
      <c r="IY1381" s="1"/>
      <c r="IZ1381" s="1"/>
      <c r="JA1381" s="1"/>
      <c r="JB1381" s="1"/>
      <c r="JC1381" s="1"/>
      <c r="JD1381" s="1"/>
    </row>
    <row r="1382" s="504" customFormat="true" ht="12.75" hidden="false" customHeight="true" outlineLevel="0" collapsed="false">
      <c r="A1382" s="5"/>
      <c r="B1382" s="5"/>
      <c r="C1382" s="5"/>
      <c r="D1382" s="8"/>
      <c r="E1382" s="8"/>
      <c r="F1382" s="8"/>
      <c r="G1382" s="5"/>
      <c r="H1382" s="5"/>
      <c r="I1382" s="5"/>
      <c r="J1382" s="8"/>
      <c r="K1382" s="8"/>
      <c r="L1382" s="5"/>
      <c r="M1382" s="8"/>
      <c r="N1382" s="8"/>
      <c r="O1382" s="8"/>
      <c r="P1382" s="8"/>
      <c r="Q1382" s="5"/>
      <c r="R1382" s="5"/>
      <c r="S1382" s="5"/>
      <c r="T1382" s="5"/>
      <c r="U1382" s="5"/>
      <c r="V1382" s="10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02"/>
      <c r="AU1382" s="502"/>
      <c r="AV1382" s="606"/>
      <c r="AW1382" s="502"/>
      <c r="AX1382" s="502"/>
      <c r="AY1382" s="502"/>
      <c r="AZ1382" s="502"/>
      <c r="BA1382" s="502"/>
      <c r="BB1382" s="502"/>
      <c r="BC1382" s="502"/>
      <c r="BD1382" s="502"/>
      <c r="BE1382" s="502"/>
      <c r="BF1382" s="502"/>
      <c r="BG1382" s="502"/>
      <c r="BH1382" s="502"/>
      <c r="BI1382" s="502"/>
      <c r="BJ1382" s="502"/>
      <c r="BK1382" s="502"/>
      <c r="BL1382" s="502"/>
      <c r="BM1382" s="502"/>
      <c r="BN1382" s="502"/>
      <c r="BO1382" s="502"/>
      <c r="BP1382" s="5"/>
      <c r="BQ1382" s="5"/>
      <c r="BR1382" s="5"/>
      <c r="BS1382" s="5"/>
      <c r="BT1382" s="5"/>
      <c r="BU1382" s="5"/>
      <c r="BV1382" s="5"/>
      <c r="BW1382" s="5"/>
      <c r="BX1382" s="5"/>
      <c r="BY1382" s="5"/>
      <c r="BZ1382" s="5"/>
      <c r="CA1382" s="5"/>
      <c r="CB1382" s="5"/>
      <c r="CC1382" s="5"/>
      <c r="CD1382" s="5"/>
      <c r="CE1382" s="5"/>
      <c r="CF1382" s="5"/>
      <c r="CG1382" s="5"/>
      <c r="CH1382" s="5"/>
      <c r="CI1382" s="5"/>
      <c r="CJ1382" s="5"/>
      <c r="CK1382" s="5"/>
      <c r="CL1382" s="5"/>
      <c r="CM1382" s="5"/>
      <c r="CN1382" s="5"/>
      <c r="CO1382" s="5"/>
      <c r="CP1382" s="5"/>
      <c r="CQ1382" s="5"/>
      <c r="CR1382" s="5"/>
      <c r="CS1382" s="5"/>
      <c r="CT1382" s="5"/>
      <c r="CU1382" s="5"/>
      <c r="CV1382" s="5"/>
      <c r="CW1382" s="5"/>
      <c r="CX1382" s="5"/>
      <c r="CY1382" s="5"/>
      <c r="CZ1382" s="5"/>
      <c r="DA1382" s="5"/>
      <c r="DB1382" s="5"/>
      <c r="DC1382" s="5"/>
      <c r="DD1382" s="5"/>
      <c r="DE1382" s="5"/>
      <c r="DF1382" s="5"/>
      <c r="DG1382" s="5"/>
      <c r="DH1382" s="5"/>
      <c r="DI1382" s="5"/>
      <c r="DJ1382" s="5"/>
      <c r="DK1382" s="5"/>
      <c r="DL1382" s="5"/>
      <c r="DM1382" s="5"/>
      <c r="DN1382" s="5"/>
      <c r="DO1382" s="5"/>
      <c r="DP1382" s="5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  <c r="GV1382" s="1"/>
      <c r="GW1382" s="1"/>
      <c r="GX1382" s="1"/>
      <c r="GY1382" s="1"/>
      <c r="GZ1382" s="1"/>
      <c r="HA1382" s="1"/>
      <c r="HB1382" s="1"/>
      <c r="HC1382" s="1"/>
      <c r="HD1382" s="1"/>
      <c r="HE1382" s="1"/>
      <c r="HF1382" s="1"/>
      <c r="HG1382" s="1"/>
      <c r="HH1382" s="1"/>
      <c r="HI1382" s="1"/>
      <c r="HJ1382" s="1"/>
      <c r="HK1382" s="1"/>
      <c r="HL1382" s="1"/>
      <c r="HM1382" s="1"/>
      <c r="HN1382" s="1"/>
      <c r="HO1382" s="1"/>
      <c r="HP1382" s="1"/>
      <c r="HQ1382" s="1"/>
      <c r="HR1382" s="1"/>
      <c r="HS1382" s="1"/>
      <c r="HT1382" s="1"/>
      <c r="HU1382" s="1"/>
      <c r="HV1382" s="1"/>
      <c r="HW1382" s="1"/>
      <c r="HX1382" s="1"/>
      <c r="HY1382" s="1"/>
      <c r="HZ1382" s="1"/>
      <c r="IA1382" s="1"/>
      <c r="IB1382" s="1"/>
      <c r="IC1382" s="1"/>
      <c r="ID1382" s="1"/>
      <c r="IE1382" s="1"/>
      <c r="IF1382" s="1"/>
      <c r="IG1382" s="1"/>
      <c r="IH1382" s="1"/>
      <c r="II1382" s="1"/>
      <c r="IJ1382" s="1"/>
      <c r="IK1382" s="1"/>
      <c r="IL1382" s="1"/>
      <c r="IM1382" s="1"/>
      <c r="IN1382" s="1"/>
      <c r="IO1382" s="1"/>
      <c r="IP1382" s="1"/>
      <c r="IQ1382" s="1"/>
      <c r="IR1382" s="1"/>
      <c r="IS1382" s="1"/>
      <c r="IT1382" s="1"/>
      <c r="IU1382" s="1"/>
      <c r="IV1382" s="1"/>
      <c r="IW1382" s="1"/>
      <c r="IX1382" s="1"/>
      <c r="IY1382" s="1"/>
      <c r="IZ1382" s="1"/>
      <c r="JA1382" s="1"/>
      <c r="JB1382" s="1"/>
      <c r="JC1382" s="1"/>
      <c r="JD1382" s="1"/>
    </row>
    <row r="1383" s="504" customFormat="true" ht="12.75" hidden="false" customHeight="true" outlineLevel="0" collapsed="false">
      <c r="A1383" s="5"/>
      <c r="B1383" s="5"/>
      <c r="C1383" s="5"/>
      <c r="D1383" s="8"/>
      <c r="E1383" s="8"/>
      <c r="F1383" s="8"/>
      <c r="G1383" s="5"/>
      <c r="H1383" s="5"/>
      <c r="I1383" s="5"/>
      <c r="J1383" s="8"/>
      <c r="K1383" s="8"/>
      <c r="L1383" s="5"/>
      <c r="M1383" s="8"/>
      <c r="N1383" s="8"/>
      <c r="O1383" s="8"/>
      <c r="P1383" s="8"/>
      <c r="Q1383" s="5"/>
      <c r="R1383" s="5"/>
      <c r="S1383" s="5"/>
      <c r="T1383" s="5"/>
      <c r="U1383" s="5"/>
      <c r="V1383" s="10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  <c r="AR1383" s="5"/>
      <c r="AS1383" s="5"/>
      <c r="AT1383" s="502"/>
      <c r="AU1383" s="502"/>
      <c r="AV1383" s="606"/>
      <c r="AW1383" s="502"/>
      <c r="AX1383" s="502"/>
      <c r="AY1383" s="502"/>
      <c r="AZ1383" s="502"/>
      <c r="BA1383" s="502"/>
      <c r="BB1383" s="502"/>
      <c r="BC1383" s="502"/>
      <c r="BD1383" s="502"/>
      <c r="BE1383" s="502"/>
      <c r="BF1383" s="502"/>
      <c r="BG1383" s="502"/>
      <c r="BH1383" s="502"/>
      <c r="BI1383" s="502"/>
      <c r="BJ1383" s="502"/>
      <c r="BK1383" s="502"/>
      <c r="BL1383" s="502"/>
      <c r="BM1383" s="502"/>
      <c r="BN1383" s="502"/>
      <c r="BO1383" s="502"/>
      <c r="BP1383" s="5"/>
      <c r="BQ1383" s="5"/>
      <c r="BR1383" s="5"/>
      <c r="BS1383" s="5"/>
      <c r="BT1383" s="5"/>
      <c r="BU1383" s="5"/>
      <c r="BV1383" s="5"/>
      <c r="BW1383" s="5"/>
      <c r="BX1383" s="5"/>
      <c r="BY1383" s="5"/>
      <c r="BZ1383" s="5"/>
      <c r="CA1383" s="5"/>
      <c r="CB1383" s="5"/>
      <c r="CC1383" s="5"/>
      <c r="CD1383" s="5"/>
      <c r="CE1383" s="5"/>
      <c r="CF1383" s="5"/>
      <c r="CG1383" s="5"/>
      <c r="CH1383" s="5"/>
      <c r="CI1383" s="5"/>
      <c r="CJ1383" s="5"/>
      <c r="CK1383" s="5"/>
      <c r="CL1383" s="5"/>
      <c r="CM1383" s="5"/>
      <c r="CN1383" s="5"/>
      <c r="CO1383" s="5"/>
      <c r="CP1383" s="5"/>
      <c r="CQ1383" s="5"/>
      <c r="CR1383" s="5"/>
      <c r="CS1383" s="5"/>
      <c r="CT1383" s="5"/>
      <c r="CU1383" s="5"/>
      <c r="CV1383" s="5"/>
      <c r="CW1383" s="5"/>
      <c r="CX1383" s="5"/>
      <c r="CY1383" s="5"/>
      <c r="CZ1383" s="5"/>
      <c r="DA1383" s="5"/>
      <c r="DB1383" s="5"/>
      <c r="DC1383" s="5"/>
      <c r="DD1383" s="5"/>
      <c r="DE1383" s="5"/>
      <c r="DF1383" s="5"/>
      <c r="DG1383" s="5"/>
      <c r="DH1383" s="5"/>
      <c r="DI1383" s="5"/>
      <c r="DJ1383" s="5"/>
      <c r="DK1383" s="5"/>
      <c r="DL1383" s="5"/>
      <c r="DM1383" s="5"/>
      <c r="DN1383" s="5"/>
      <c r="DO1383" s="5"/>
      <c r="DP1383" s="5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  <c r="GV1383" s="1"/>
      <c r="GW1383" s="1"/>
      <c r="GX1383" s="1"/>
      <c r="GY1383" s="1"/>
      <c r="GZ1383" s="1"/>
      <c r="HA1383" s="1"/>
      <c r="HB1383" s="1"/>
      <c r="HC1383" s="1"/>
      <c r="HD1383" s="1"/>
      <c r="HE1383" s="1"/>
      <c r="HF1383" s="1"/>
      <c r="HG1383" s="1"/>
      <c r="HH1383" s="1"/>
      <c r="HI1383" s="1"/>
      <c r="HJ1383" s="1"/>
      <c r="HK1383" s="1"/>
      <c r="HL1383" s="1"/>
      <c r="HM1383" s="1"/>
      <c r="HN1383" s="1"/>
      <c r="HO1383" s="1"/>
      <c r="HP1383" s="1"/>
      <c r="HQ1383" s="1"/>
      <c r="HR1383" s="1"/>
      <c r="HS1383" s="1"/>
      <c r="HT1383" s="1"/>
      <c r="HU1383" s="1"/>
      <c r="HV1383" s="1"/>
      <c r="HW1383" s="1"/>
      <c r="HX1383" s="1"/>
      <c r="HY1383" s="1"/>
      <c r="HZ1383" s="1"/>
      <c r="IA1383" s="1"/>
      <c r="IB1383" s="1"/>
      <c r="IC1383" s="1"/>
      <c r="ID1383" s="1"/>
      <c r="IE1383" s="1"/>
      <c r="IF1383" s="1"/>
      <c r="IG1383" s="1"/>
      <c r="IH1383" s="1"/>
      <c r="II1383" s="1"/>
      <c r="IJ1383" s="1"/>
      <c r="IK1383" s="1"/>
      <c r="IL1383" s="1"/>
      <c r="IM1383" s="1"/>
      <c r="IN1383" s="1"/>
      <c r="IO1383" s="1"/>
      <c r="IP1383" s="1"/>
      <c r="IQ1383" s="1"/>
      <c r="IR1383" s="1"/>
      <c r="IS1383" s="1"/>
      <c r="IT1383" s="1"/>
      <c r="IU1383" s="1"/>
      <c r="IV1383" s="1"/>
      <c r="IW1383" s="1"/>
      <c r="IX1383" s="1"/>
      <c r="IY1383" s="1"/>
      <c r="IZ1383" s="1"/>
      <c r="JA1383" s="1"/>
      <c r="JB1383" s="1"/>
      <c r="JC1383" s="1"/>
      <c r="JD1383" s="1"/>
    </row>
    <row r="1384" s="504" customFormat="true" ht="12.75" hidden="false" customHeight="true" outlineLevel="0" collapsed="false">
      <c r="A1384" s="5"/>
      <c r="B1384" s="5"/>
      <c r="C1384" s="5"/>
      <c r="D1384" s="8"/>
      <c r="E1384" s="8"/>
      <c r="F1384" s="8"/>
      <c r="G1384" s="5"/>
      <c r="H1384" s="5"/>
      <c r="I1384" s="5"/>
      <c r="J1384" s="8"/>
      <c r="K1384" s="8"/>
      <c r="L1384" s="5"/>
      <c r="M1384" s="8"/>
      <c r="N1384" s="8"/>
      <c r="O1384" s="8"/>
      <c r="P1384" s="8"/>
      <c r="Q1384" s="5"/>
      <c r="R1384" s="5"/>
      <c r="S1384" s="5"/>
      <c r="T1384" s="5"/>
      <c r="U1384" s="5"/>
      <c r="V1384" s="10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02"/>
      <c r="AU1384" s="502"/>
      <c r="AV1384" s="606"/>
      <c r="AW1384" s="502"/>
      <c r="AX1384" s="502"/>
      <c r="AY1384" s="502"/>
      <c r="AZ1384" s="502"/>
      <c r="BA1384" s="502"/>
      <c r="BB1384" s="502"/>
      <c r="BC1384" s="502"/>
      <c r="BD1384" s="502"/>
      <c r="BE1384" s="502"/>
      <c r="BF1384" s="502"/>
      <c r="BG1384" s="502"/>
      <c r="BH1384" s="502"/>
      <c r="BI1384" s="502"/>
      <c r="BJ1384" s="502"/>
      <c r="BK1384" s="502"/>
      <c r="BL1384" s="502"/>
      <c r="BM1384" s="502"/>
      <c r="BN1384" s="502"/>
      <c r="BO1384" s="502"/>
      <c r="BP1384" s="5"/>
      <c r="BQ1384" s="5"/>
      <c r="BR1384" s="5"/>
      <c r="BS1384" s="5"/>
      <c r="BT1384" s="5"/>
      <c r="BU1384" s="5"/>
      <c r="BV1384" s="5"/>
      <c r="BW1384" s="5"/>
      <c r="BX1384" s="5"/>
      <c r="BY1384" s="5"/>
      <c r="BZ1384" s="5"/>
      <c r="CA1384" s="5"/>
      <c r="CB1384" s="5"/>
      <c r="CC1384" s="5"/>
      <c r="CD1384" s="5"/>
      <c r="CE1384" s="5"/>
      <c r="CF1384" s="5"/>
      <c r="CG1384" s="5"/>
      <c r="CH1384" s="5"/>
      <c r="CI1384" s="5"/>
      <c r="CJ1384" s="5"/>
      <c r="CK1384" s="5"/>
      <c r="CL1384" s="5"/>
      <c r="CM1384" s="5"/>
      <c r="CN1384" s="5"/>
      <c r="CO1384" s="5"/>
      <c r="CP1384" s="5"/>
      <c r="CQ1384" s="5"/>
      <c r="CR1384" s="5"/>
      <c r="CS1384" s="5"/>
      <c r="CT1384" s="5"/>
      <c r="CU1384" s="5"/>
      <c r="CV1384" s="5"/>
      <c r="CW1384" s="5"/>
      <c r="CX1384" s="5"/>
      <c r="CY1384" s="5"/>
      <c r="CZ1384" s="5"/>
      <c r="DA1384" s="5"/>
      <c r="DB1384" s="5"/>
      <c r="DC1384" s="5"/>
      <c r="DD1384" s="5"/>
      <c r="DE1384" s="5"/>
      <c r="DF1384" s="5"/>
      <c r="DG1384" s="5"/>
      <c r="DH1384" s="5"/>
      <c r="DI1384" s="5"/>
      <c r="DJ1384" s="5"/>
      <c r="DK1384" s="5"/>
      <c r="DL1384" s="5"/>
      <c r="DM1384" s="5"/>
      <c r="DN1384" s="5"/>
      <c r="DO1384" s="5"/>
      <c r="DP1384" s="5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  <c r="GV1384" s="1"/>
      <c r="GW1384" s="1"/>
      <c r="GX1384" s="1"/>
      <c r="GY1384" s="1"/>
      <c r="GZ1384" s="1"/>
      <c r="HA1384" s="1"/>
      <c r="HB1384" s="1"/>
      <c r="HC1384" s="1"/>
      <c r="HD1384" s="1"/>
      <c r="HE1384" s="1"/>
      <c r="HF1384" s="1"/>
      <c r="HG1384" s="1"/>
      <c r="HH1384" s="1"/>
      <c r="HI1384" s="1"/>
      <c r="HJ1384" s="1"/>
      <c r="HK1384" s="1"/>
      <c r="HL1384" s="1"/>
      <c r="HM1384" s="1"/>
      <c r="HN1384" s="1"/>
      <c r="HO1384" s="1"/>
      <c r="HP1384" s="1"/>
      <c r="HQ1384" s="1"/>
      <c r="HR1384" s="1"/>
      <c r="HS1384" s="1"/>
      <c r="HT1384" s="1"/>
      <c r="HU1384" s="1"/>
      <c r="HV1384" s="1"/>
      <c r="HW1384" s="1"/>
      <c r="HX1384" s="1"/>
      <c r="HY1384" s="1"/>
      <c r="HZ1384" s="1"/>
      <c r="IA1384" s="1"/>
      <c r="IB1384" s="1"/>
      <c r="IC1384" s="1"/>
      <c r="ID1384" s="1"/>
      <c r="IE1384" s="1"/>
      <c r="IF1384" s="1"/>
      <c r="IG1384" s="1"/>
      <c r="IH1384" s="1"/>
      <c r="II1384" s="1"/>
      <c r="IJ1384" s="1"/>
      <c r="IK1384" s="1"/>
      <c r="IL1384" s="1"/>
      <c r="IM1384" s="1"/>
      <c r="IN1384" s="1"/>
      <c r="IO1384" s="1"/>
      <c r="IP1384" s="1"/>
      <c r="IQ1384" s="1"/>
      <c r="IR1384" s="1"/>
      <c r="IS1384" s="1"/>
      <c r="IT1384" s="1"/>
      <c r="IU1384" s="1"/>
      <c r="IV1384" s="1"/>
      <c r="IW1384" s="1"/>
      <c r="IX1384" s="1"/>
      <c r="IY1384" s="1"/>
      <c r="IZ1384" s="1"/>
      <c r="JA1384" s="1"/>
      <c r="JB1384" s="1"/>
      <c r="JC1384" s="1"/>
      <c r="JD1384" s="1"/>
    </row>
    <row r="1385" s="504" customFormat="true" ht="12.75" hidden="false" customHeight="true" outlineLevel="0" collapsed="false">
      <c r="A1385" s="5"/>
      <c r="B1385" s="5"/>
      <c r="C1385" s="5"/>
      <c r="D1385" s="8"/>
      <c r="E1385" s="8"/>
      <c r="F1385" s="8"/>
      <c r="G1385" s="5"/>
      <c r="H1385" s="5"/>
      <c r="I1385" s="5"/>
      <c r="J1385" s="8"/>
      <c r="K1385" s="8"/>
      <c r="L1385" s="5"/>
      <c r="M1385" s="8"/>
      <c r="N1385" s="8"/>
      <c r="O1385" s="8"/>
      <c r="P1385" s="8"/>
      <c r="Q1385" s="5"/>
      <c r="R1385" s="5"/>
      <c r="S1385" s="5"/>
      <c r="T1385" s="5"/>
      <c r="U1385" s="5"/>
      <c r="V1385" s="10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02"/>
      <c r="AU1385" s="502"/>
      <c r="AV1385" s="606"/>
      <c r="AW1385" s="502"/>
      <c r="AX1385" s="502"/>
      <c r="AY1385" s="502"/>
      <c r="AZ1385" s="502"/>
      <c r="BA1385" s="502"/>
      <c r="BB1385" s="502"/>
      <c r="BC1385" s="502"/>
      <c r="BD1385" s="502"/>
      <c r="BE1385" s="502"/>
      <c r="BF1385" s="502"/>
      <c r="BG1385" s="502"/>
      <c r="BH1385" s="502"/>
      <c r="BI1385" s="502"/>
      <c r="BJ1385" s="502"/>
      <c r="BK1385" s="502"/>
      <c r="BL1385" s="502"/>
      <c r="BM1385" s="502"/>
      <c r="BN1385" s="502"/>
      <c r="BO1385" s="502"/>
      <c r="BP1385" s="5"/>
      <c r="BQ1385" s="5"/>
      <c r="BR1385" s="5"/>
      <c r="BS1385" s="5"/>
      <c r="BT1385" s="5"/>
      <c r="BU1385" s="5"/>
      <c r="BV1385" s="5"/>
      <c r="BW1385" s="5"/>
      <c r="BX1385" s="5"/>
      <c r="BY1385" s="5"/>
      <c r="BZ1385" s="5"/>
      <c r="CA1385" s="5"/>
      <c r="CB1385" s="5"/>
      <c r="CC1385" s="5"/>
      <c r="CD1385" s="5"/>
      <c r="CE1385" s="5"/>
      <c r="CF1385" s="5"/>
      <c r="CG1385" s="5"/>
      <c r="CH1385" s="5"/>
      <c r="CI1385" s="5"/>
      <c r="CJ1385" s="5"/>
      <c r="CK1385" s="5"/>
      <c r="CL1385" s="5"/>
      <c r="CM1385" s="5"/>
      <c r="CN1385" s="5"/>
      <c r="CO1385" s="5"/>
      <c r="CP1385" s="5"/>
      <c r="CQ1385" s="5"/>
      <c r="CR1385" s="5"/>
      <c r="CS1385" s="5"/>
      <c r="CT1385" s="5"/>
      <c r="CU1385" s="5"/>
      <c r="CV1385" s="5"/>
      <c r="CW1385" s="5"/>
      <c r="CX1385" s="5"/>
      <c r="CY1385" s="5"/>
      <c r="CZ1385" s="5"/>
      <c r="DA1385" s="5"/>
      <c r="DB1385" s="5"/>
      <c r="DC1385" s="5"/>
      <c r="DD1385" s="5"/>
      <c r="DE1385" s="5"/>
      <c r="DF1385" s="5"/>
      <c r="DG1385" s="5"/>
      <c r="DH1385" s="5"/>
      <c r="DI1385" s="5"/>
      <c r="DJ1385" s="5"/>
      <c r="DK1385" s="5"/>
      <c r="DL1385" s="5"/>
      <c r="DM1385" s="5"/>
      <c r="DN1385" s="5"/>
      <c r="DO1385" s="5"/>
      <c r="DP1385" s="5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  <c r="GV1385" s="1"/>
      <c r="GW1385" s="1"/>
      <c r="GX1385" s="1"/>
      <c r="GY1385" s="1"/>
      <c r="GZ1385" s="1"/>
      <c r="HA1385" s="1"/>
      <c r="HB1385" s="1"/>
      <c r="HC1385" s="1"/>
      <c r="HD1385" s="1"/>
      <c r="HE1385" s="1"/>
      <c r="HF1385" s="1"/>
      <c r="HG1385" s="1"/>
      <c r="HH1385" s="1"/>
      <c r="HI1385" s="1"/>
      <c r="HJ1385" s="1"/>
      <c r="HK1385" s="1"/>
      <c r="HL1385" s="1"/>
      <c r="HM1385" s="1"/>
      <c r="HN1385" s="1"/>
      <c r="HO1385" s="1"/>
      <c r="HP1385" s="1"/>
      <c r="HQ1385" s="1"/>
      <c r="HR1385" s="1"/>
      <c r="HS1385" s="1"/>
      <c r="HT1385" s="1"/>
      <c r="HU1385" s="1"/>
      <c r="HV1385" s="1"/>
      <c r="HW1385" s="1"/>
      <c r="HX1385" s="1"/>
      <c r="HY1385" s="1"/>
      <c r="HZ1385" s="1"/>
      <c r="IA1385" s="1"/>
      <c r="IB1385" s="1"/>
      <c r="IC1385" s="1"/>
      <c r="ID1385" s="1"/>
      <c r="IE1385" s="1"/>
      <c r="IF1385" s="1"/>
      <c r="IG1385" s="1"/>
      <c r="IH1385" s="1"/>
      <c r="II1385" s="1"/>
      <c r="IJ1385" s="1"/>
      <c r="IK1385" s="1"/>
      <c r="IL1385" s="1"/>
      <c r="IM1385" s="1"/>
      <c r="IN1385" s="1"/>
      <c r="IO1385" s="1"/>
      <c r="IP1385" s="1"/>
      <c r="IQ1385" s="1"/>
      <c r="IR1385" s="1"/>
      <c r="IS1385" s="1"/>
      <c r="IT1385" s="1"/>
      <c r="IU1385" s="1"/>
      <c r="IV1385" s="1"/>
      <c r="IW1385" s="1"/>
      <c r="IX1385" s="1"/>
      <c r="IY1385" s="1"/>
      <c r="IZ1385" s="1"/>
      <c r="JA1385" s="1"/>
      <c r="JB1385" s="1"/>
      <c r="JC1385" s="1"/>
      <c r="JD1385" s="1"/>
    </row>
    <row r="1386" s="504" customFormat="true" ht="12.75" hidden="false" customHeight="true" outlineLevel="0" collapsed="false">
      <c r="A1386" s="5"/>
      <c r="B1386" s="5"/>
      <c r="C1386" s="5"/>
      <c r="D1386" s="8"/>
      <c r="E1386" s="8"/>
      <c r="F1386" s="8"/>
      <c r="G1386" s="5"/>
      <c r="H1386" s="5"/>
      <c r="I1386" s="5"/>
      <c r="J1386" s="8"/>
      <c r="K1386" s="8"/>
      <c r="L1386" s="5"/>
      <c r="M1386" s="8"/>
      <c r="N1386" s="8"/>
      <c r="O1386" s="8"/>
      <c r="P1386" s="8"/>
      <c r="Q1386" s="5"/>
      <c r="R1386" s="5"/>
      <c r="S1386" s="5"/>
      <c r="T1386" s="5"/>
      <c r="U1386" s="5"/>
      <c r="V1386" s="10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02"/>
      <c r="AU1386" s="502"/>
      <c r="AV1386" s="606"/>
      <c r="AW1386" s="502"/>
      <c r="AX1386" s="502"/>
      <c r="AY1386" s="502"/>
      <c r="AZ1386" s="502"/>
      <c r="BA1386" s="502"/>
      <c r="BB1386" s="502"/>
      <c r="BC1386" s="502"/>
      <c r="BD1386" s="502"/>
      <c r="BE1386" s="502"/>
      <c r="BF1386" s="502"/>
      <c r="BG1386" s="502"/>
      <c r="BH1386" s="502"/>
      <c r="BI1386" s="502"/>
      <c r="BJ1386" s="502"/>
      <c r="BK1386" s="502"/>
      <c r="BL1386" s="502"/>
      <c r="BM1386" s="502"/>
      <c r="BN1386" s="502"/>
      <c r="BO1386" s="502"/>
      <c r="BP1386" s="5"/>
      <c r="BQ1386" s="5"/>
      <c r="BR1386" s="5"/>
      <c r="BS1386" s="5"/>
      <c r="BT1386" s="5"/>
      <c r="BU1386" s="5"/>
      <c r="BV1386" s="5"/>
      <c r="BW1386" s="5"/>
      <c r="BX1386" s="5"/>
      <c r="BY1386" s="5"/>
      <c r="BZ1386" s="5"/>
      <c r="CA1386" s="5"/>
      <c r="CB1386" s="5"/>
      <c r="CC1386" s="5"/>
      <c r="CD1386" s="5"/>
      <c r="CE1386" s="5"/>
      <c r="CF1386" s="5"/>
      <c r="CG1386" s="5"/>
      <c r="CH1386" s="5"/>
      <c r="CI1386" s="5"/>
      <c r="CJ1386" s="5"/>
      <c r="CK1386" s="5"/>
      <c r="CL1386" s="5"/>
      <c r="CM1386" s="5"/>
      <c r="CN1386" s="5"/>
      <c r="CO1386" s="5"/>
      <c r="CP1386" s="5"/>
      <c r="CQ1386" s="5"/>
      <c r="CR1386" s="5"/>
      <c r="CS1386" s="5"/>
      <c r="CT1386" s="5"/>
      <c r="CU1386" s="5"/>
      <c r="CV1386" s="5"/>
      <c r="CW1386" s="5"/>
      <c r="CX1386" s="5"/>
      <c r="CY1386" s="5"/>
      <c r="CZ1386" s="5"/>
      <c r="DA1386" s="5"/>
      <c r="DB1386" s="5"/>
      <c r="DC1386" s="5"/>
      <c r="DD1386" s="5"/>
      <c r="DE1386" s="5"/>
      <c r="DF1386" s="5"/>
      <c r="DG1386" s="5"/>
      <c r="DH1386" s="5"/>
      <c r="DI1386" s="5"/>
      <c r="DJ1386" s="5"/>
      <c r="DK1386" s="5"/>
      <c r="DL1386" s="5"/>
      <c r="DM1386" s="5"/>
      <c r="DN1386" s="5"/>
      <c r="DO1386" s="5"/>
      <c r="DP1386" s="5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  <c r="GV1386" s="1"/>
      <c r="GW1386" s="1"/>
      <c r="GX1386" s="1"/>
      <c r="GY1386" s="1"/>
      <c r="GZ1386" s="1"/>
      <c r="HA1386" s="1"/>
      <c r="HB1386" s="1"/>
      <c r="HC1386" s="1"/>
      <c r="HD1386" s="1"/>
      <c r="HE1386" s="1"/>
      <c r="HF1386" s="1"/>
      <c r="HG1386" s="1"/>
      <c r="HH1386" s="1"/>
      <c r="HI1386" s="1"/>
      <c r="HJ1386" s="1"/>
      <c r="HK1386" s="1"/>
      <c r="HL1386" s="1"/>
      <c r="HM1386" s="1"/>
      <c r="HN1386" s="1"/>
      <c r="HO1386" s="1"/>
      <c r="HP1386" s="1"/>
      <c r="HQ1386" s="1"/>
      <c r="HR1386" s="1"/>
      <c r="HS1386" s="1"/>
      <c r="HT1386" s="1"/>
      <c r="HU1386" s="1"/>
      <c r="HV1386" s="1"/>
      <c r="HW1386" s="1"/>
      <c r="HX1386" s="1"/>
      <c r="HY1386" s="1"/>
      <c r="HZ1386" s="1"/>
      <c r="IA1386" s="1"/>
      <c r="IB1386" s="1"/>
      <c r="IC1386" s="1"/>
      <c r="ID1386" s="1"/>
      <c r="IE1386" s="1"/>
      <c r="IF1386" s="1"/>
      <c r="IG1386" s="1"/>
      <c r="IH1386" s="1"/>
      <c r="II1386" s="1"/>
      <c r="IJ1386" s="1"/>
      <c r="IK1386" s="1"/>
      <c r="IL1386" s="1"/>
      <c r="IM1386" s="1"/>
      <c r="IN1386" s="1"/>
      <c r="IO1386" s="1"/>
      <c r="IP1386" s="1"/>
      <c r="IQ1386" s="1"/>
      <c r="IR1386" s="1"/>
      <c r="IS1386" s="1"/>
      <c r="IT1386" s="1"/>
      <c r="IU1386" s="1"/>
      <c r="IV1386" s="1"/>
      <c r="IW1386" s="1"/>
      <c r="IX1386" s="1"/>
      <c r="IY1386" s="1"/>
      <c r="IZ1386" s="1"/>
      <c r="JA1386" s="1"/>
      <c r="JB1386" s="1"/>
      <c r="JC1386" s="1"/>
      <c r="JD1386" s="1"/>
    </row>
    <row r="1387" s="504" customFormat="true" ht="12.75" hidden="false" customHeight="true" outlineLevel="0" collapsed="false">
      <c r="A1387" s="5"/>
      <c r="B1387" s="5"/>
      <c r="C1387" s="5"/>
      <c r="D1387" s="8"/>
      <c r="E1387" s="8"/>
      <c r="F1387" s="8"/>
      <c r="G1387" s="5"/>
      <c r="H1387" s="5"/>
      <c r="I1387" s="5"/>
      <c r="J1387" s="8"/>
      <c r="K1387" s="8"/>
      <c r="L1387" s="5"/>
      <c r="M1387" s="8"/>
      <c r="N1387" s="8"/>
      <c r="O1387" s="8"/>
      <c r="P1387" s="8"/>
      <c r="Q1387" s="5"/>
      <c r="R1387" s="5"/>
      <c r="S1387" s="5"/>
      <c r="T1387" s="5"/>
      <c r="U1387" s="5"/>
      <c r="V1387" s="10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02"/>
      <c r="AU1387" s="502"/>
      <c r="AV1387" s="606"/>
      <c r="AW1387" s="502"/>
      <c r="AX1387" s="502"/>
      <c r="AY1387" s="502"/>
      <c r="AZ1387" s="502"/>
      <c r="BA1387" s="502"/>
      <c r="BB1387" s="502"/>
      <c r="BC1387" s="502"/>
      <c r="BD1387" s="502"/>
      <c r="BE1387" s="502"/>
      <c r="BF1387" s="502"/>
      <c r="BG1387" s="502"/>
      <c r="BH1387" s="502"/>
      <c r="BI1387" s="502"/>
      <c r="BJ1387" s="502"/>
      <c r="BK1387" s="502"/>
      <c r="BL1387" s="502"/>
      <c r="BM1387" s="502"/>
      <c r="BN1387" s="502"/>
      <c r="BO1387" s="502"/>
      <c r="BP1387" s="5"/>
      <c r="BQ1387" s="5"/>
      <c r="BR1387" s="5"/>
      <c r="BS1387" s="5"/>
      <c r="BT1387" s="5"/>
      <c r="BU1387" s="5"/>
      <c r="BV1387" s="5"/>
      <c r="BW1387" s="5"/>
      <c r="BX1387" s="5"/>
      <c r="BY1387" s="5"/>
      <c r="BZ1387" s="5"/>
      <c r="CA1387" s="5"/>
      <c r="CB1387" s="5"/>
      <c r="CC1387" s="5"/>
      <c r="CD1387" s="5"/>
      <c r="CE1387" s="5"/>
      <c r="CF1387" s="5"/>
      <c r="CG1387" s="5"/>
      <c r="CH1387" s="5"/>
      <c r="CI1387" s="5"/>
      <c r="CJ1387" s="5"/>
      <c r="CK1387" s="5"/>
      <c r="CL1387" s="5"/>
      <c r="CM1387" s="5"/>
      <c r="CN1387" s="5"/>
      <c r="CO1387" s="5"/>
      <c r="CP1387" s="5"/>
      <c r="CQ1387" s="5"/>
      <c r="CR1387" s="5"/>
      <c r="CS1387" s="5"/>
      <c r="CT1387" s="5"/>
      <c r="CU1387" s="5"/>
      <c r="CV1387" s="5"/>
      <c r="CW1387" s="5"/>
      <c r="CX1387" s="5"/>
      <c r="CY1387" s="5"/>
      <c r="CZ1387" s="5"/>
      <c r="DA1387" s="5"/>
      <c r="DB1387" s="5"/>
      <c r="DC1387" s="5"/>
      <c r="DD1387" s="5"/>
      <c r="DE1387" s="5"/>
      <c r="DF1387" s="5"/>
      <c r="DG1387" s="5"/>
      <c r="DH1387" s="5"/>
      <c r="DI1387" s="5"/>
      <c r="DJ1387" s="5"/>
      <c r="DK1387" s="5"/>
      <c r="DL1387" s="5"/>
      <c r="DM1387" s="5"/>
      <c r="DN1387" s="5"/>
      <c r="DO1387" s="5"/>
      <c r="DP1387" s="5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  <c r="GV1387" s="1"/>
      <c r="GW1387" s="1"/>
      <c r="GX1387" s="1"/>
      <c r="GY1387" s="1"/>
      <c r="GZ1387" s="1"/>
      <c r="HA1387" s="1"/>
      <c r="HB1387" s="1"/>
      <c r="HC1387" s="1"/>
      <c r="HD1387" s="1"/>
      <c r="HE1387" s="1"/>
      <c r="HF1387" s="1"/>
      <c r="HG1387" s="1"/>
      <c r="HH1387" s="1"/>
      <c r="HI1387" s="1"/>
      <c r="HJ1387" s="1"/>
      <c r="HK1387" s="1"/>
      <c r="HL1387" s="1"/>
      <c r="HM1387" s="1"/>
      <c r="HN1387" s="1"/>
      <c r="HO1387" s="1"/>
      <c r="HP1387" s="1"/>
      <c r="HQ1387" s="1"/>
      <c r="HR1387" s="1"/>
      <c r="HS1387" s="1"/>
      <c r="HT1387" s="1"/>
      <c r="HU1387" s="1"/>
      <c r="HV1387" s="1"/>
      <c r="HW1387" s="1"/>
      <c r="HX1387" s="1"/>
      <c r="HY1387" s="1"/>
      <c r="HZ1387" s="1"/>
      <c r="IA1387" s="1"/>
      <c r="IB1387" s="1"/>
      <c r="IC1387" s="1"/>
      <c r="ID1387" s="1"/>
      <c r="IE1387" s="1"/>
      <c r="IF1387" s="1"/>
      <c r="IG1387" s="1"/>
      <c r="IH1387" s="1"/>
      <c r="II1387" s="1"/>
      <c r="IJ1387" s="1"/>
      <c r="IK1387" s="1"/>
      <c r="IL1387" s="1"/>
      <c r="IM1387" s="1"/>
      <c r="IN1387" s="1"/>
      <c r="IO1387" s="1"/>
      <c r="IP1387" s="1"/>
      <c r="IQ1387" s="1"/>
      <c r="IR1387" s="1"/>
      <c r="IS1387" s="1"/>
      <c r="IT1387" s="1"/>
      <c r="IU1387" s="1"/>
      <c r="IV1387" s="1"/>
      <c r="IW1387" s="1"/>
      <c r="IX1387" s="1"/>
      <c r="IY1387" s="1"/>
      <c r="IZ1387" s="1"/>
      <c r="JA1387" s="1"/>
      <c r="JB1387" s="1"/>
      <c r="JC1387" s="1"/>
      <c r="JD1387" s="1"/>
    </row>
    <row r="1388" s="504" customFormat="true" ht="12.75" hidden="false" customHeight="true" outlineLevel="0" collapsed="false">
      <c r="A1388" s="5"/>
      <c r="B1388" s="5"/>
      <c r="C1388" s="5"/>
      <c r="D1388" s="8"/>
      <c r="E1388" s="8"/>
      <c r="F1388" s="8"/>
      <c r="G1388" s="5"/>
      <c r="H1388" s="5"/>
      <c r="I1388" s="5"/>
      <c r="J1388" s="8"/>
      <c r="K1388" s="8"/>
      <c r="L1388" s="5"/>
      <c r="M1388" s="8"/>
      <c r="N1388" s="8"/>
      <c r="O1388" s="8"/>
      <c r="P1388" s="8"/>
      <c r="Q1388" s="5"/>
      <c r="R1388" s="5"/>
      <c r="S1388" s="5"/>
      <c r="T1388" s="5"/>
      <c r="U1388" s="5"/>
      <c r="V1388" s="10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02"/>
      <c r="AU1388" s="502"/>
      <c r="AV1388" s="606"/>
      <c r="AW1388" s="502"/>
      <c r="AX1388" s="502"/>
      <c r="AY1388" s="502"/>
      <c r="AZ1388" s="502"/>
      <c r="BA1388" s="502"/>
      <c r="BB1388" s="502"/>
      <c r="BC1388" s="502"/>
      <c r="BD1388" s="502"/>
      <c r="BE1388" s="502"/>
      <c r="BF1388" s="502"/>
      <c r="BG1388" s="502"/>
      <c r="BH1388" s="502"/>
      <c r="BI1388" s="502"/>
      <c r="BJ1388" s="502"/>
      <c r="BK1388" s="502"/>
      <c r="BL1388" s="502"/>
      <c r="BM1388" s="502"/>
      <c r="BN1388" s="502"/>
      <c r="BO1388" s="502"/>
      <c r="BP1388" s="5"/>
      <c r="BQ1388" s="5"/>
      <c r="BR1388" s="5"/>
      <c r="BS1388" s="5"/>
      <c r="BT1388" s="5"/>
      <c r="BU1388" s="5"/>
      <c r="BV1388" s="5"/>
      <c r="BW1388" s="5"/>
      <c r="BX1388" s="5"/>
      <c r="BY1388" s="5"/>
      <c r="BZ1388" s="5"/>
      <c r="CA1388" s="5"/>
      <c r="CB1388" s="5"/>
      <c r="CC1388" s="5"/>
      <c r="CD1388" s="5"/>
      <c r="CE1388" s="5"/>
      <c r="CF1388" s="5"/>
      <c r="CG1388" s="5"/>
      <c r="CH1388" s="5"/>
      <c r="CI1388" s="5"/>
      <c r="CJ1388" s="5"/>
      <c r="CK1388" s="5"/>
      <c r="CL1388" s="5"/>
      <c r="CM1388" s="5"/>
      <c r="CN1388" s="5"/>
      <c r="CO1388" s="5"/>
      <c r="CP1388" s="5"/>
      <c r="CQ1388" s="5"/>
      <c r="CR1388" s="5"/>
      <c r="CS1388" s="5"/>
      <c r="CT1388" s="5"/>
      <c r="CU1388" s="5"/>
      <c r="CV1388" s="5"/>
      <c r="CW1388" s="5"/>
      <c r="CX1388" s="5"/>
      <c r="CY1388" s="5"/>
      <c r="CZ1388" s="5"/>
      <c r="DA1388" s="5"/>
      <c r="DB1388" s="5"/>
      <c r="DC1388" s="5"/>
      <c r="DD1388" s="5"/>
      <c r="DE1388" s="5"/>
      <c r="DF1388" s="5"/>
      <c r="DG1388" s="5"/>
      <c r="DH1388" s="5"/>
      <c r="DI1388" s="5"/>
      <c r="DJ1388" s="5"/>
      <c r="DK1388" s="5"/>
      <c r="DL1388" s="5"/>
      <c r="DM1388" s="5"/>
      <c r="DN1388" s="5"/>
      <c r="DO1388" s="5"/>
      <c r="DP1388" s="5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  <c r="GV1388" s="1"/>
      <c r="GW1388" s="1"/>
      <c r="GX1388" s="1"/>
      <c r="GY1388" s="1"/>
      <c r="GZ1388" s="1"/>
      <c r="HA1388" s="1"/>
      <c r="HB1388" s="1"/>
      <c r="HC1388" s="1"/>
      <c r="HD1388" s="1"/>
      <c r="HE1388" s="1"/>
      <c r="HF1388" s="1"/>
      <c r="HG1388" s="1"/>
      <c r="HH1388" s="1"/>
      <c r="HI1388" s="1"/>
      <c r="HJ1388" s="1"/>
      <c r="HK1388" s="1"/>
      <c r="HL1388" s="1"/>
      <c r="HM1388" s="1"/>
      <c r="HN1388" s="1"/>
      <c r="HO1388" s="1"/>
      <c r="HP1388" s="1"/>
      <c r="HQ1388" s="1"/>
      <c r="HR1388" s="1"/>
      <c r="HS1388" s="1"/>
      <c r="HT1388" s="1"/>
      <c r="HU1388" s="1"/>
      <c r="HV1388" s="1"/>
      <c r="HW1388" s="1"/>
      <c r="HX1388" s="1"/>
      <c r="HY1388" s="1"/>
      <c r="HZ1388" s="1"/>
      <c r="IA1388" s="1"/>
      <c r="IB1388" s="1"/>
      <c r="IC1388" s="1"/>
      <c r="ID1388" s="1"/>
      <c r="IE1388" s="1"/>
      <c r="IF1388" s="1"/>
      <c r="IG1388" s="1"/>
      <c r="IH1388" s="1"/>
      <c r="II1388" s="1"/>
      <c r="IJ1388" s="1"/>
      <c r="IK1388" s="1"/>
      <c r="IL1388" s="1"/>
      <c r="IM1388" s="1"/>
      <c r="IN1388" s="1"/>
      <c r="IO1388" s="1"/>
      <c r="IP1388" s="1"/>
      <c r="IQ1388" s="1"/>
      <c r="IR1388" s="1"/>
      <c r="IS1388" s="1"/>
      <c r="IT1388" s="1"/>
      <c r="IU1388" s="1"/>
      <c r="IV1388" s="1"/>
      <c r="IW1388" s="1"/>
      <c r="IX1388" s="1"/>
      <c r="IY1388" s="1"/>
      <c r="IZ1388" s="1"/>
      <c r="JA1388" s="1"/>
      <c r="JB1388" s="1"/>
      <c r="JC1388" s="1"/>
      <c r="JD1388" s="1"/>
    </row>
    <row r="1389" s="504" customFormat="true" ht="12.75" hidden="false" customHeight="true" outlineLevel="0" collapsed="false">
      <c r="A1389" s="5"/>
      <c r="B1389" s="5"/>
      <c r="C1389" s="5"/>
      <c r="D1389" s="8"/>
      <c r="E1389" s="8"/>
      <c r="F1389" s="8"/>
      <c r="G1389" s="5"/>
      <c r="H1389" s="5"/>
      <c r="I1389" s="5"/>
      <c r="J1389" s="8"/>
      <c r="K1389" s="8"/>
      <c r="L1389" s="5"/>
      <c r="M1389" s="8"/>
      <c r="N1389" s="8"/>
      <c r="O1389" s="8"/>
      <c r="P1389" s="8"/>
      <c r="Q1389" s="5"/>
      <c r="R1389" s="5"/>
      <c r="S1389" s="5"/>
      <c r="T1389" s="5"/>
      <c r="U1389" s="5"/>
      <c r="V1389" s="10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02"/>
      <c r="AU1389" s="502"/>
      <c r="AV1389" s="606"/>
      <c r="AW1389" s="502"/>
      <c r="AX1389" s="502"/>
      <c r="AY1389" s="502"/>
      <c r="AZ1389" s="502"/>
      <c r="BA1389" s="502"/>
      <c r="BB1389" s="502"/>
      <c r="BC1389" s="502"/>
      <c r="BD1389" s="502"/>
      <c r="BE1389" s="502"/>
      <c r="BF1389" s="502"/>
      <c r="BG1389" s="502"/>
      <c r="BH1389" s="502"/>
      <c r="BI1389" s="502"/>
      <c r="BJ1389" s="502"/>
      <c r="BK1389" s="502"/>
      <c r="BL1389" s="502"/>
      <c r="BM1389" s="502"/>
      <c r="BN1389" s="502"/>
      <c r="BO1389" s="502"/>
      <c r="BP1389" s="5"/>
      <c r="BQ1389" s="5"/>
      <c r="BR1389" s="5"/>
      <c r="BS1389" s="5"/>
      <c r="BT1389" s="5"/>
      <c r="BU1389" s="5"/>
      <c r="BV1389" s="5"/>
      <c r="BW1389" s="5"/>
      <c r="BX1389" s="5"/>
      <c r="BY1389" s="5"/>
      <c r="BZ1389" s="5"/>
      <c r="CA1389" s="5"/>
      <c r="CB1389" s="5"/>
      <c r="CC1389" s="5"/>
      <c r="CD1389" s="5"/>
      <c r="CE1389" s="5"/>
      <c r="CF1389" s="5"/>
      <c r="CG1389" s="5"/>
      <c r="CH1389" s="5"/>
      <c r="CI1389" s="5"/>
      <c r="CJ1389" s="5"/>
      <c r="CK1389" s="5"/>
      <c r="CL1389" s="5"/>
      <c r="CM1389" s="5"/>
      <c r="CN1389" s="5"/>
      <c r="CO1389" s="5"/>
      <c r="CP1389" s="5"/>
      <c r="CQ1389" s="5"/>
      <c r="CR1389" s="5"/>
      <c r="CS1389" s="5"/>
      <c r="CT1389" s="5"/>
      <c r="CU1389" s="5"/>
      <c r="CV1389" s="5"/>
      <c r="CW1389" s="5"/>
      <c r="CX1389" s="5"/>
      <c r="CY1389" s="5"/>
      <c r="CZ1389" s="5"/>
      <c r="DA1389" s="5"/>
      <c r="DB1389" s="5"/>
      <c r="DC1389" s="5"/>
      <c r="DD1389" s="5"/>
      <c r="DE1389" s="5"/>
      <c r="DF1389" s="5"/>
      <c r="DG1389" s="5"/>
      <c r="DH1389" s="5"/>
      <c r="DI1389" s="5"/>
      <c r="DJ1389" s="5"/>
      <c r="DK1389" s="5"/>
      <c r="DL1389" s="5"/>
      <c r="DM1389" s="5"/>
      <c r="DN1389" s="5"/>
      <c r="DO1389" s="5"/>
      <c r="DP1389" s="5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  <c r="GV1389" s="1"/>
      <c r="GW1389" s="1"/>
      <c r="GX1389" s="1"/>
      <c r="GY1389" s="1"/>
      <c r="GZ1389" s="1"/>
      <c r="HA1389" s="1"/>
      <c r="HB1389" s="1"/>
      <c r="HC1389" s="1"/>
      <c r="HD1389" s="1"/>
      <c r="HE1389" s="1"/>
      <c r="HF1389" s="1"/>
      <c r="HG1389" s="1"/>
      <c r="HH1389" s="1"/>
      <c r="HI1389" s="1"/>
      <c r="HJ1389" s="1"/>
      <c r="HK1389" s="1"/>
      <c r="HL1389" s="1"/>
      <c r="HM1389" s="1"/>
      <c r="HN1389" s="1"/>
      <c r="HO1389" s="1"/>
      <c r="HP1389" s="1"/>
      <c r="HQ1389" s="1"/>
      <c r="HR1389" s="1"/>
      <c r="HS1389" s="1"/>
      <c r="HT1389" s="1"/>
      <c r="HU1389" s="1"/>
      <c r="HV1389" s="1"/>
      <c r="HW1389" s="1"/>
      <c r="HX1389" s="1"/>
      <c r="HY1389" s="1"/>
      <c r="HZ1389" s="1"/>
      <c r="IA1389" s="1"/>
      <c r="IB1389" s="1"/>
      <c r="IC1389" s="1"/>
      <c r="ID1389" s="1"/>
      <c r="IE1389" s="1"/>
      <c r="IF1389" s="1"/>
      <c r="IG1389" s="1"/>
      <c r="IH1389" s="1"/>
      <c r="II1389" s="1"/>
      <c r="IJ1389" s="1"/>
      <c r="IK1389" s="1"/>
      <c r="IL1389" s="1"/>
      <c r="IM1389" s="1"/>
      <c r="IN1389" s="1"/>
      <c r="IO1389" s="1"/>
      <c r="IP1389" s="1"/>
      <c r="IQ1389" s="1"/>
      <c r="IR1389" s="1"/>
      <c r="IS1389" s="1"/>
      <c r="IT1389" s="1"/>
      <c r="IU1389" s="1"/>
      <c r="IV1389" s="1"/>
      <c r="IW1389" s="1"/>
      <c r="IX1389" s="1"/>
      <c r="IY1389" s="1"/>
      <c r="IZ1389" s="1"/>
      <c r="JA1389" s="1"/>
      <c r="JB1389" s="1"/>
      <c r="JC1389" s="1"/>
      <c r="JD1389" s="1"/>
    </row>
    <row r="1390" s="504" customFormat="true" ht="12.75" hidden="false" customHeight="true" outlineLevel="0" collapsed="false">
      <c r="A1390" s="5"/>
      <c r="B1390" s="5"/>
      <c r="C1390" s="5"/>
      <c r="D1390" s="8"/>
      <c r="E1390" s="8"/>
      <c r="F1390" s="8"/>
      <c r="G1390" s="5"/>
      <c r="H1390" s="5"/>
      <c r="I1390" s="5"/>
      <c r="J1390" s="8"/>
      <c r="K1390" s="8"/>
      <c r="L1390" s="5"/>
      <c r="M1390" s="8"/>
      <c r="N1390" s="8"/>
      <c r="O1390" s="8"/>
      <c r="P1390" s="8"/>
      <c r="Q1390" s="5"/>
      <c r="R1390" s="5"/>
      <c r="S1390" s="5"/>
      <c r="T1390" s="5"/>
      <c r="U1390" s="5"/>
      <c r="V1390" s="10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02"/>
      <c r="AU1390" s="502"/>
      <c r="AV1390" s="606"/>
      <c r="AW1390" s="502"/>
      <c r="AX1390" s="502"/>
      <c r="AY1390" s="502"/>
      <c r="AZ1390" s="502"/>
      <c r="BA1390" s="502"/>
      <c r="BB1390" s="502"/>
      <c r="BC1390" s="502"/>
      <c r="BD1390" s="502"/>
      <c r="BE1390" s="502"/>
      <c r="BF1390" s="502"/>
      <c r="BG1390" s="502"/>
      <c r="BH1390" s="502"/>
      <c r="BI1390" s="502"/>
      <c r="BJ1390" s="502"/>
      <c r="BK1390" s="502"/>
      <c r="BL1390" s="502"/>
      <c r="BM1390" s="502"/>
      <c r="BN1390" s="502"/>
      <c r="BO1390" s="502"/>
      <c r="BP1390" s="5"/>
      <c r="BQ1390" s="5"/>
      <c r="BR1390" s="5"/>
      <c r="BS1390" s="5"/>
      <c r="BT1390" s="5"/>
      <c r="BU1390" s="5"/>
      <c r="BV1390" s="5"/>
      <c r="BW1390" s="5"/>
      <c r="BX1390" s="5"/>
      <c r="BY1390" s="5"/>
      <c r="BZ1390" s="5"/>
      <c r="CA1390" s="5"/>
      <c r="CB1390" s="5"/>
      <c r="CC1390" s="5"/>
      <c r="CD1390" s="5"/>
      <c r="CE1390" s="5"/>
      <c r="CF1390" s="5"/>
      <c r="CG1390" s="5"/>
      <c r="CH1390" s="5"/>
      <c r="CI1390" s="5"/>
      <c r="CJ1390" s="5"/>
      <c r="CK1390" s="5"/>
      <c r="CL1390" s="5"/>
      <c r="CM1390" s="5"/>
      <c r="CN1390" s="5"/>
      <c r="CO1390" s="5"/>
      <c r="CP1390" s="5"/>
      <c r="CQ1390" s="5"/>
      <c r="CR1390" s="5"/>
      <c r="CS1390" s="5"/>
      <c r="CT1390" s="5"/>
      <c r="CU1390" s="5"/>
      <c r="CV1390" s="5"/>
      <c r="CW1390" s="5"/>
      <c r="CX1390" s="5"/>
      <c r="CY1390" s="5"/>
      <c r="CZ1390" s="5"/>
      <c r="DA1390" s="5"/>
      <c r="DB1390" s="5"/>
      <c r="DC1390" s="5"/>
      <c r="DD1390" s="5"/>
      <c r="DE1390" s="5"/>
      <c r="DF1390" s="5"/>
      <c r="DG1390" s="5"/>
      <c r="DH1390" s="5"/>
      <c r="DI1390" s="5"/>
      <c r="DJ1390" s="5"/>
      <c r="DK1390" s="5"/>
      <c r="DL1390" s="5"/>
      <c r="DM1390" s="5"/>
      <c r="DN1390" s="5"/>
      <c r="DO1390" s="5"/>
      <c r="DP1390" s="5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  <c r="GT1390" s="1"/>
      <c r="GU1390" s="1"/>
      <c r="GV1390" s="1"/>
      <c r="GW1390" s="1"/>
      <c r="GX1390" s="1"/>
      <c r="GY1390" s="1"/>
      <c r="GZ1390" s="1"/>
      <c r="HA1390" s="1"/>
      <c r="HB1390" s="1"/>
      <c r="HC1390" s="1"/>
      <c r="HD1390" s="1"/>
      <c r="HE1390" s="1"/>
      <c r="HF1390" s="1"/>
      <c r="HG1390" s="1"/>
      <c r="HH1390" s="1"/>
      <c r="HI1390" s="1"/>
      <c r="HJ1390" s="1"/>
      <c r="HK1390" s="1"/>
      <c r="HL1390" s="1"/>
      <c r="HM1390" s="1"/>
      <c r="HN1390" s="1"/>
      <c r="HO1390" s="1"/>
      <c r="HP1390" s="1"/>
      <c r="HQ1390" s="1"/>
      <c r="HR1390" s="1"/>
      <c r="HS1390" s="1"/>
      <c r="HT1390" s="1"/>
      <c r="HU1390" s="1"/>
      <c r="HV1390" s="1"/>
      <c r="HW1390" s="1"/>
      <c r="HX1390" s="1"/>
      <c r="HY1390" s="1"/>
      <c r="HZ1390" s="1"/>
      <c r="IA1390" s="1"/>
      <c r="IB1390" s="1"/>
      <c r="IC1390" s="1"/>
      <c r="ID1390" s="1"/>
      <c r="IE1390" s="1"/>
      <c r="IF1390" s="1"/>
      <c r="IG1390" s="1"/>
      <c r="IH1390" s="1"/>
      <c r="II1390" s="1"/>
      <c r="IJ1390" s="1"/>
      <c r="IK1390" s="1"/>
      <c r="IL1390" s="1"/>
      <c r="IM1390" s="1"/>
      <c r="IN1390" s="1"/>
      <c r="IO1390" s="1"/>
      <c r="IP1390" s="1"/>
      <c r="IQ1390" s="1"/>
      <c r="IR1390" s="1"/>
      <c r="IS1390" s="1"/>
      <c r="IT1390" s="1"/>
      <c r="IU1390" s="1"/>
      <c r="IV1390" s="1"/>
      <c r="IW1390" s="1"/>
      <c r="IX1390" s="1"/>
      <c r="IY1390" s="1"/>
      <c r="IZ1390" s="1"/>
      <c r="JA1390" s="1"/>
      <c r="JB1390" s="1"/>
      <c r="JC1390" s="1"/>
      <c r="JD1390" s="1"/>
    </row>
    <row r="1391" s="504" customFormat="true" ht="12.75" hidden="false" customHeight="true" outlineLevel="0" collapsed="false">
      <c r="A1391" s="5"/>
      <c r="B1391" s="5"/>
      <c r="C1391" s="5"/>
      <c r="D1391" s="8"/>
      <c r="E1391" s="8"/>
      <c r="F1391" s="8"/>
      <c r="G1391" s="5"/>
      <c r="H1391" s="5"/>
      <c r="I1391" s="5"/>
      <c r="J1391" s="8"/>
      <c r="K1391" s="8"/>
      <c r="L1391" s="5"/>
      <c r="M1391" s="8"/>
      <c r="N1391" s="8"/>
      <c r="O1391" s="8"/>
      <c r="P1391" s="8"/>
      <c r="Q1391" s="5"/>
      <c r="R1391" s="5"/>
      <c r="S1391" s="5"/>
      <c r="T1391" s="5"/>
      <c r="U1391" s="5"/>
      <c r="V1391" s="10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02"/>
      <c r="AU1391" s="502"/>
      <c r="AV1391" s="606"/>
      <c r="AW1391" s="502"/>
      <c r="AX1391" s="502"/>
      <c r="AY1391" s="502"/>
      <c r="AZ1391" s="502"/>
      <c r="BA1391" s="502"/>
      <c r="BB1391" s="502"/>
      <c r="BC1391" s="502"/>
      <c r="BD1391" s="502"/>
      <c r="BE1391" s="502"/>
      <c r="BF1391" s="502"/>
      <c r="BG1391" s="502"/>
      <c r="BH1391" s="502"/>
      <c r="BI1391" s="502"/>
      <c r="BJ1391" s="502"/>
      <c r="BK1391" s="502"/>
      <c r="BL1391" s="502"/>
      <c r="BM1391" s="502"/>
      <c r="BN1391" s="502"/>
      <c r="BO1391" s="502"/>
      <c r="BP1391" s="5"/>
      <c r="BQ1391" s="5"/>
      <c r="BR1391" s="5"/>
      <c r="BS1391" s="5"/>
      <c r="BT1391" s="5"/>
      <c r="BU1391" s="5"/>
      <c r="BV1391" s="5"/>
      <c r="BW1391" s="5"/>
      <c r="BX1391" s="5"/>
      <c r="BY1391" s="5"/>
      <c r="BZ1391" s="5"/>
      <c r="CA1391" s="5"/>
      <c r="CB1391" s="5"/>
      <c r="CC1391" s="5"/>
      <c r="CD1391" s="5"/>
      <c r="CE1391" s="5"/>
      <c r="CF1391" s="5"/>
      <c r="CG1391" s="5"/>
      <c r="CH1391" s="5"/>
      <c r="CI1391" s="5"/>
      <c r="CJ1391" s="5"/>
      <c r="CK1391" s="5"/>
      <c r="CL1391" s="5"/>
      <c r="CM1391" s="5"/>
      <c r="CN1391" s="5"/>
      <c r="CO1391" s="5"/>
      <c r="CP1391" s="5"/>
      <c r="CQ1391" s="5"/>
      <c r="CR1391" s="5"/>
      <c r="CS1391" s="5"/>
      <c r="CT1391" s="5"/>
      <c r="CU1391" s="5"/>
      <c r="CV1391" s="5"/>
      <c r="CW1391" s="5"/>
      <c r="CX1391" s="5"/>
      <c r="CY1391" s="5"/>
      <c r="CZ1391" s="5"/>
      <c r="DA1391" s="5"/>
      <c r="DB1391" s="5"/>
      <c r="DC1391" s="5"/>
      <c r="DD1391" s="5"/>
      <c r="DE1391" s="5"/>
      <c r="DF1391" s="5"/>
      <c r="DG1391" s="5"/>
      <c r="DH1391" s="5"/>
      <c r="DI1391" s="5"/>
      <c r="DJ1391" s="5"/>
      <c r="DK1391" s="5"/>
      <c r="DL1391" s="5"/>
      <c r="DM1391" s="5"/>
      <c r="DN1391" s="5"/>
      <c r="DO1391" s="5"/>
      <c r="DP1391" s="5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  <c r="GT1391" s="1"/>
      <c r="GU1391" s="1"/>
      <c r="GV1391" s="1"/>
      <c r="GW1391" s="1"/>
      <c r="GX1391" s="1"/>
      <c r="GY1391" s="1"/>
      <c r="GZ1391" s="1"/>
      <c r="HA1391" s="1"/>
      <c r="HB1391" s="1"/>
      <c r="HC1391" s="1"/>
      <c r="HD1391" s="1"/>
      <c r="HE1391" s="1"/>
      <c r="HF1391" s="1"/>
      <c r="HG1391" s="1"/>
      <c r="HH1391" s="1"/>
      <c r="HI1391" s="1"/>
      <c r="HJ1391" s="1"/>
      <c r="HK1391" s="1"/>
      <c r="HL1391" s="1"/>
      <c r="HM1391" s="1"/>
      <c r="HN1391" s="1"/>
      <c r="HO1391" s="1"/>
      <c r="HP1391" s="1"/>
      <c r="HQ1391" s="1"/>
      <c r="HR1391" s="1"/>
      <c r="HS1391" s="1"/>
      <c r="HT1391" s="1"/>
      <c r="HU1391" s="1"/>
      <c r="HV1391" s="1"/>
      <c r="HW1391" s="1"/>
      <c r="HX1391" s="1"/>
      <c r="HY1391" s="1"/>
      <c r="HZ1391" s="1"/>
      <c r="IA1391" s="1"/>
      <c r="IB1391" s="1"/>
      <c r="IC1391" s="1"/>
      <c r="ID1391" s="1"/>
      <c r="IE1391" s="1"/>
      <c r="IF1391" s="1"/>
      <c r="IG1391" s="1"/>
      <c r="IH1391" s="1"/>
      <c r="II1391" s="1"/>
      <c r="IJ1391" s="1"/>
      <c r="IK1391" s="1"/>
      <c r="IL1391" s="1"/>
      <c r="IM1391" s="1"/>
      <c r="IN1391" s="1"/>
      <c r="IO1391" s="1"/>
      <c r="IP1391" s="1"/>
      <c r="IQ1391" s="1"/>
      <c r="IR1391" s="1"/>
      <c r="IS1391" s="1"/>
      <c r="IT1391" s="1"/>
      <c r="IU1391" s="1"/>
      <c r="IV1391" s="1"/>
      <c r="IW1391" s="1"/>
      <c r="IX1391" s="1"/>
      <c r="IY1391" s="1"/>
      <c r="IZ1391" s="1"/>
      <c r="JA1391" s="1"/>
      <c r="JB1391" s="1"/>
      <c r="JC1391" s="1"/>
      <c r="JD1391" s="1"/>
    </row>
    <row r="1392" s="504" customFormat="true" ht="12.75" hidden="false" customHeight="true" outlineLevel="0" collapsed="false">
      <c r="A1392" s="5"/>
      <c r="B1392" s="5"/>
      <c r="C1392" s="5"/>
      <c r="D1392" s="8"/>
      <c r="E1392" s="8"/>
      <c r="F1392" s="8"/>
      <c r="G1392" s="5"/>
      <c r="H1392" s="5"/>
      <c r="I1392" s="5"/>
      <c r="J1392" s="8"/>
      <c r="K1392" s="8"/>
      <c r="L1392" s="5"/>
      <c r="M1392" s="8"/>
      <c r="N1392" s="8"/>
      <c r="O1392" s="8"/>
      <c r="P1392" s="8"/>
      <c r="Q1392" s="5"/>
      <c r="R1392" s="5"/>
      <c r="S1392" s="5"/>
      <c r="T1392" s="5"/>
      <c r="U1392" s="5"/>
      <c r="V1392" s="10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02"/>
      <c r="AU1392" s="502"/>
      <c r="AV1392" s="606"/>
      <c r="AW1392" s="502"/>
      <c r="AX1392" s="502"/>
      <c r="AY1392" s="502"/>
      <c r="AZ1392" s="502"/>
      <c r="BA1392" s="502"/>
      <c r="BB1392" s="502"/>
      <c r="BC1392" s="502"/>
      <c r="BD1392" s="502"/>
      <c r="BE1392" s="502"/>
      <c r="BF1392" s="502"/>
      <c r="BG1392" s="502"/>
      <c r="BH1392" s="502"/>
      <c r="BI1392" s="502"/>
      <c r="BJ1392" s="502"/>
      <c r="BK1392" s="502"/>
      <c r="BL1392" s="502"/>
      <c r="BM1392" s="502"/>
      <c r="BN1392" s="502"/>
      <c r="BO1392" s="502"/>
      <c r="BP1392" s="5"/>
      <c r="BQ1392" s="5"/>
      <c r="BR1392" s="5"/>
      <c r="BS1392" s="5"/>
      <c r="BT1392" s="5"/>
      <c r="BU1392" s="5"/>
      <c r="BV1392" s="5"/>
      <c r="BW1392" s="5"/>
      <c r="BX1392" s="5"/>
      <c r="BY1392" s="5"/>
      <c r="BZ1392" s="5"/>
      <c r="CA1392" s="5"/>
      <c r="CB1392" s="5"/>
      <c r="CC1392" s="5"/>
      <c r="CD1392" s="5"/>
      <c r="CE1392" s="5"/>
      <c r="CF1392" s="5"/>
      <c r="CG1392" s="5"/>
      <c r="CH1392" s="5"/>
      <c r="CI1392" s="5"/>
      <c r="CJ1392" s="5"/>
      <c r="CK1392" s="5"/>
      <c r="CL1392" s="5"/>
      <c r="CM1392" s="5"/>
      <c r="CN1392" s="5"/>
      <c r="CO1392" s="5"/>
      <c r="CP1392" s="5"/>
      <c r="CQ1392" s="5"/>
      <c r="CR1392" s="5"/>
      <c r="CS1392" s="5"/>
      <c r="CT1392" s="5"/>
      <c r="CU1392" s="5"/>
      <c r="CV1392" s="5"/>
      <c r="CW1392" s="5"/>
      <c r="CX1392" s="5"/>
      <c r="CY1392" s="5"/>
      <c r="CZ1392" s="5"/>
      <c r="DA1392" s="5"/>
      <c r="DB1392" s="5"/>
      <c r="DC1392" s="5"/>
      <c r="DD1392" s="5"/>
      <c r="DE1392" s="5"/>
      <c r="DF1392" s="5"/>
      <c r="DG1392" s="5"/>
      <c r="DH1392" s="5"/>
      <c r="DI1392" s="5"/>
      <c r="DJ1392" s="5"/>
      <c r="DK1392" s="5"/>
      <c r="DL1392" s="5"/>
      <c r="DM1392" s="5"/>
      <c r="DN1392" s="5"/>
      <c r="DO1392" s="5"/>
      <c r="DP1392" s="5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  <c r="GT1392" s="1"/>
      <c r="GU1392" s="1"/>
      <c r="GV1392" s="1"/>
      <c r="GW1392" s="1"/>
      <c r="GX1392" s="1"/>
      <c r="GY1392" s="1"/>
      <c r="GZ1392" s="1"/>
      <c r="HA1392" s="1"/>
      <c r="HB1392" s="1"/>
      <c r="HC1392" s="1"/>
      <c r="HD1392" s="1"/>
      <c r="HE1392" s="1"/>
      <c r="HF1392" s="1"/>
      <c r="HG1392" s="1"/>
      <c r="HH1392" s="1"/>
      <c r="HI1392" s="1"/>
      <c r="HJ1392" s="1"/>
      <c r="HK1392" s="1"/>
      <c r="HL1392" s="1"/>
      <c r="HM1392" s="1"/>
      <c r="HN1392" s="1"/>
      <c r="HO1392" s="1"/>
      <c r="HP1392" s="1"/>
      <c r="HQ1392" s="1"/>
      <c r="HR1392" s="1"/>
      <c r="HS1392" s="1"/>
      <c r="HT1392" s="1"/>
      <c r="HU1392" s="1"/>
      <c r="HV1392" s="1"/>
      <c r="HW1392" s="1"/>
      <c r="HX1392" s="1"/>
      <c r="HY1392" s="1"/>
      <c r="HZ1392" s="1"/>
      <c r="IA1392" s="1"/>
      <c r="IB1392" s="1"/>
      <c r="IC1392" s="1"/>
      <c r="ID1392" s="1"/>
      <c r="IE1392" s="1"/>
      <c r="IF1392" s="1"/>
      <c r="IG1392" s="1"/>
      <c r="IH1392" s="1"/>
      <c r="II1392" s="1"/>
      <c r="IJ1392" s="1"/>
      <c r="IK1392" s="1"/>
      <c r="IL1392" s="1"/>
      <c r="IM1392" s="1"/>
      <c r="IN1392" s="1"/>
      <c r="IO1392" s="1"/>
      <c r="IP1392" s="1"/>
      <c r="IQ1392" s="1"/>
      <c r="IR1392" s="1"/>
      <c r="IS1392" s="1"/>
      <c r="IT1392" s="1"/>
      <c r="IU1392" s="1"/>
      <c r="IV1392" s="1"/>
      <c r="IW1392" s="1"/>
      <c r="IX1392" s="1"/>
      <c r="IY1392" s="1"/>
      <c r="IZ1392" s="1"/>
      <c r="JA1392" s="1"/>
      <c r="JB1392" s="1"/>
      <c r="JC1392" s="1"/>
      <c r="JD1392" s="1"/>
    </row>
    <row r="1393" s="504" customFormat="true" ht="12.75" hidden="false" customHeight="true" outlineLevel="0" collapsed="false">
      <c r="A1393" s="5"/>
      <c r="B1393" s="5"/>
      <c r="C1393" s="5"/>
      <c r="D1393" s="8"/>
      <c r="E1393" s="8"/>
      <c r="F1393" s="8"/>
      <c r="G1393" s="5"/>
      <c r="H1393" s="5"/>
      <c r="I1393" s="5"/>
      <c r="J1393" s="8"/>
      <c r="K1393" s="8"/>
      <c r="L1393" s="5"/>
      <c r="M1393" s="8"/>
      <c r="N1393" s="8"/>
      <c r="O1393" s="8"/>
      <c r="P1393" s="8"/>
      <c r="Q1393" s="5"/>
      <c r="R1393" s="5"/>
      <c r="S1393" s="5"/>
      <c r="T1393" s="5"/>
      <c r="U1393" s="5"/>
      <c r="V1393" s="10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02"/>
      <c r="AU1393" s="502"/>
      <c r="AV1393" s="606"/>
      <c r="AW1393" s="502"/>
      <c r="AX1393" s="502"/>
      <c r="AY1393" s="502"/>
      <c r="AZ1393" s="502"/>
      <c r="BA1393" s="502"/>
      <c r="BB1393" s="502"/>
      <c r="BC1393" s="502"/>
      <c r="BD1393" s="502"/>
      <c r="BE1393" s="502"/>
      <c r="BF1393" s="502"/>
      <c r="BG1393" s="502"/>
      <c r="BH1393" s="502"/>
      <c r="BI1393" s="502"/>
      <c r="BJ1393" s="502"/>
      <c r="BK1393" s="502"/>
      <c r="BL1393" s="502"/>
      <c r="BM1393" s="502"/>
      <c r="BN1393" s="502"/>
      <c r="BO1393" s="502"/>
      <c r="BP1393" s="5"/>
      <c r="BQ1393" s="5"/>
      <c r="BR1393" s="5"/>
      <c r="BS1393" s="5"/>
      <c r="BT1393" s="5"/>
      <c r="BU1393" s="5"/>
      <c r="BV1393" s="5"/>
      <c r="BW1393" s="5"/>
      <c r="BX1393" s="5"/>
      <c r="BY1393" s="5"/>
      <c r="BZ1393" s="5"/>
      <c r="CA1393" s="5"/>
      <c r="CB1393" s="5"/>
      <c r="CC1393" s="5"/>
      <c r="CD1393" s="5"/>
      <c r="CE1393" s="5"/>
      <c r="CF1393" s="5"/>
      <c r="CG1393" s="5"/>
      <c r="CH1393" s="5"/>
      <c r="CI1393" s="5"/>
      <c r="CJ1393" s="5"/>
      <c r="CK1393" s="5"/>
      <c r="CL1393" s="5"/>
      <c r="CM1393" s="5"/>
      <c r="CN1393" s="5"/>
      <c r="CO1393" s="5"/>
      <c r="CP1393" s="5"/>
      <c r="CQ1393" s="5"/>
      <c r="CR1393" s="5"/>
      <c r="CS1393" s="5"/>
      <c r="CT1393" s="5"/>
      <c r="CU1393" s="5"/>
      <c r="CV1393" s="5"/>
      <c r="CW1393" s="5"/>
      <c r="CX1393" s="5"/>
      <c r="CY1393" s="5"/>
      <c r="CZ1393" s="5"/>
      <c r="DA1393" s="5"/>
      <c r="DB1393" s="5"/>
      <c r="DC1393" s="5"/>
      <c r="DD1393" s="5"/>
      <c r="DE1393" s="5"/>
      <c r="DF1393" s="5"/>
      <c r="DG1393" s="5"/>
      <c r="DH1393" s="5"/>
      <c r="DI1393" s="5"/>
      <c r="DJ1393" s="5"/>
      <c r="DK1393" s="5"/>
      <c r="DL1393" s="5"/>
      <c r="DM1393" s="5"/>
      <c r="DN1393" s="5"/>
      <c r="DO1393" s="5"/>
      <c r="DP1393" s="5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  <c r="GT1393" s="1"/>
      <c r="GU1393" s="1"/>
      <c r="GV1393" s="1"/>
      <c r="GW1393" s="1"/>
      <c r="GX1393" s="1"/>
      <c r="GY1393" s="1"/>
      <c r="GZ1393" s="1"/>
      <c r="HA1393" s="1"/>
      <c r="HB1393" s="1"/>
      <c r="HC1393" s="1"/>
      <c r="HD1393" s="1"/>
      <c r="HE1393" s="1"/>
      <c r="HF1393" s="1"/>
      <c r="HG1393" s="1"/>
      <c r="HH1393" s="1"/>
      <c r="HI1393" s="1"/>
      <c r="HJ1393" s="1"/>
      <c r="HK1393" s="1"/>
      <c r="HL1393" s="1"/>
      <c r="HM1393" s="1"/>
      <c r="HN1393" s="1"/>
      <c r="HO1393" s="1"/>
      <c r="HP1393" s="1"/>
      <c r="HQ1393" s="1"/>
      <c r="HR1393" s="1"/>
      <c r="HS1393" s="1"/>
      <c r="HT1393" s="1"/>
      <c r="HU1393" s="1"/>
      <c r="HV1393" s="1"/>
      <c r="HW1393" s="1"/>
      <c r="HX1393" s="1"/>
      <c r="HY1393" s="1"/>
      <c r="HZ1393" s="1"/>
      <c r="IA1393" s="1"/>
      <c r="IB1393" s="1"/>
      <c r="IC1393" s="1"/>
      <c r="ID1393" s="1"/>
      <c r="IE1393" s="1"/>
      <c r="IF1393" s="1"/>
      <c r="IG1393" s="1"/>
      <c r="IH1393" s="1"/>
      <c r="II1393" s="1"/>
      <c r="IJ1393" s="1"/>
      <c r="IK1393" s="1"/>
      <c r="IL1393" s="1"/>
      <c r="IM1393" s="1"/>
      <c r="IN1393" s="1"/>
      <c r="IO1393" s="1"/>
      <c r="IP1393" s="1"/>
      <c r="IQ1393" s="1"/>
      <c r="IR1393" s="1"/>
      <c r="IS1393" s="1"/>
      <c r="IT1393" s="1"/>
      <c r="IU1393" s="1"/>
      <c r="IV1393" s="1"/>
      <c r="IW1393" s="1"/>
      <c r="IX1393" s="1"/>
      <c r="IY1393" s="1"/>
      <c r="IZ1393" s="1"/>
      <c r="JA1393" s="1"/>
      <c r="JB1393" s="1"/>
      <c r="JC1393" s="1"/>
      <c r="JD1393" s="1"/>
    </row>
    <row r="1394" s="504" customFormat="true" ht="12.75" hidden="false" customHeight="true" outlineLevel="0" collapsed="false">
      <c r="A1394" s="5"/>
      <c r="B1394" s="5"/>
      <c r="C1394" s="5"/>
      <c r="D1394" s="8"/>
      <c r="E1394" s="8"/>
      <c r="F1394" s="8"/>
      <c r="G1394" s="5"/>
      <c r="H1394" s="5"/>
      <c r="I1394" s="5"/>
      <c r="J1394" s="8"/>
      <c r="K1394" s="8"/>
      <c r="L1394" s="5"/>
      <c r="M1394" s="8"/>
      <c r="N1394" s="8"/>
      <c r="O1394" s="8"/>
      <c r="P1394" s="8"/>
      <c r="Q1394" s="5"/>
      <c r="R1394" s="5"/>
      <c r="S1394" s="5"/>
      <c r="T1394" s="5"/>
      <c r="U1394" s="5"/>
      <c r="V1394" s="10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02"/>
      <c r="AU1394" s="502"/>
      <c r="AV1394" s="606"/>
      <c r="AW1394" s="502"/>
      <c r="AX1394" s="502"/>
      <c r="AY1394" s="502"/>
      <c r="AZ1394" s="502"/>
      <c r="BA1394" s="502"/>
      <c r="BB1394" s="502"/>
      <c r="BC1394" s="502"/>
      <c r="BD1394" s="502"/>
      <c r="BE1394" s="502"/>
      <c r="BF1394" s="502"/>
      <c r="BG1394" s="502"/>
      <c r="BH1394" s="502"/>
      <c r="BI1394" s="502"/>
      <c r="BJ1394" s="502"/>
      <c r="BK1394" s="502"/>
      <c r="BL1394" s="502"/>
      <c r="BM1394" s="502"/>
      <c r="BN1394" s="502"/>
      <c r="BO1394" s="502"/>
      <c r="BP1394" s="5"/>
      <c r="BQ1394" s="5"/>
      <c r="BR1394" s="5"/>
      <c r="BS1394" s="5"/>
      <c r="BT1394" s="5"/>
      <c r="BU1394" s="5"/>
      <c r="BV1394" s="5"/>
      <c r="BW1394" s="5"/>
      <c r="BX1394" s="5"/>
      <c r="BY1394" s="5"/>
      <c r="BZ1394" s="5"/>
      <c r="CA1394" s="5"/>
      <c r="CB1394" s="5"/>
      <c r="CC1394" s="5"/>
      <c r="CD1394" s="5"/>
      <c r="CE1394" s="5"/>
      <c r="CF1394" s="5"/>
      <c r="CG1394" s="5"/>
      <c r="CH1394" s="5"/>
      <c r="CI1394" s="5"/>
      <c r="CJ1394" s="5"/>
      <c r="CK1394" s="5"/>
      <c r="CL1394" s="5"/>
      <c r="CM1394" s="5"/>
      <c r="CN1394" s="5"/>
      <c r="CO1394" s="5"/>
      <c r="CP1394" s="5"/>
      <c r="CQ1394" s="5"/>
      <c r="CR1394" s="5"/>
      <c r="CS1394" s="5"/>
      <c r="CT1394" s="5"/>
      <c r="CU1394" s="5"/>
      <c r="CV1394" s="5"/>
      <c r="CW1394" s="5"/>
      <c r="CX1394" s="5"/>
      <c r="CY1394" s="5"/>
      <c r="CZ1394" s="5"/>
      <c r="DA1394" s="5"/>
      <c r="DB1394" s="5"/>
      <c r="DC1394" s="5"/>
      <c r="DD1394" s="5"/>
      <c r="DE1394" s="5"/>
      <c r="DF1394" s="5"/>
      <c r="DG1394" s="5"/>
      <c r="DH1394" s="5"/>
      <c r="DI1394" s="5"/>
      <c r="DJ1394" s="5"/>
      <c r="DK1394" s="5"/>
      <c r="DL1394" s="5"/>
      <c r="DM1394" s="5"/>
      <c r="DN1394" s="5"/>
      <c r="DO1394" s="5"/>
      <c r="DP1394" s="5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  <c r="GV1394" s="1"/>
      <c r="GW1394" s="1"/>
      <c r="GX1394" s="1"/>
      <c r="GY1394" s="1"/>
      <c r="GZ1394" s="1"/>
      <c r="HA1394" s="1"/>
      <c r="HB1394" s="1"/>
      <c r="HC1394" s="1"/>
      <c r="HD1394" s="1"/>
      <c r="HE1394" s="1"/>
      <c r="HF1394" s="1"/>
      <c r="HG1394" s="1"/>
      <c r="HH1394" s="1"/>
      <c r="HI1394" s="1"/>
      <c r="HJ1394" s="1"/>
      <c r="HK1394" s="1"/>
      <c r="HL1394" s="1"/>
      <c r="HM1394" s="1"/>
      <c r="HN1394" s="1"/>
      <c r="HO1394" s="1"/>
      <c r="HP1394" s="1"/>
      <c r="HQ1394" s="1"/>
      <c r="HR1394" s="1"/>
      <c r="HS1394" s="1"/>
      <c r="HT1394" s="1"/>
      <c r="HU1394" s="1"/>
      <c r="HV1394" s="1"/>
      <c r="HW1394" s="1"/>
      <c r="HX1394" s="1"/>
      <c r="HY1394" s="1"/>
      <c r="HZ1394" s="1"/>
      <c r="IA1394" s="1"/>
      <c r="IB1394" s="1"/>
      <c r="IC1394" s="1"/>
      <c r="ID1394" s="1"/>
      <c r="IE1394" s="1"/>
      <c r="IF1394" s="1"/>
      <c r="IG1394" s="1"/>
      <c r="IH1394" s="1"/>
      <c r="II1394" s="1"/>
      <c r="IJ1394" s="1"/>
      <c r="IK1394" s="1"/>
      <c r="IL1394" s="1"/>
      <c r="IM1394" s="1"/>
      <c r="IN1394" s="1"/>
      <c r="IO1394" s="1"/>
      <c r="IP1394" s="1"/>
      <c r="IQ1394" s="1"/>
      <c r="IR1394" s="1"/>
      <c r="IS1394" s="1"/>
      <c r="IT1394" s="1"/>
      <c r="IU1394" s="1"/>
      <c r="IV1394" s="1"/>
      <c r="IW1394" s="1"/>
      <c r="IX1394" s="1"/>
      <c r="IY1394" s="1"/>
      <c r="IZ1394" s="1"/>
      <c r="JA1394" s="1"/>
      <c r="JB1394" s="1"/>
      <c r="JC1394" s="1"/>
      <c r="JD1394" s="1"/>
    </row>
    <row r="1395" s="504" customFormat="true" ht="12.75" hidden="false" customHeight="true" outlineLevel="0" collapsed="false">
      <c r="A1395" s="5"/>
      <c r="B1395" s="5"/>
      <c r="C1395" s="5"/>
      <c r="D1395" s="8"/>
      <c r="E1395" s="8"/>
      <c r="F1395" s="8"/>
      <c r="G1395" s="5"/>
      <c r="H1395" s="5"/>
      <c r="I1395" s="5"/>
      <c r="J1395" s="8"/>
      <c r="K1395" s="8"/>
      <c r="L1395" s="5"/>
      <c r="M1395" s="8"/>
      <c r="N1395" s="8"/>
      <c r="O1395" s="8"/>
      <c r="P1395" s="8"/>
      <c r="Q1395" s="5"/>
      <c r="R1395" s="5"/>
      <c r="S1395" s="5"/>
      <c r="T1395" s="5"/>
      <c r="U1395" s="5"/>
      <c r="V1395" s="10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02"/>
      <c r="AU1395" s="502"/>
      <c r="AV1395" s="606"/>
      <c r="AW1395" s="502"/>
      <c r="AX1395" s="502"/>
      <c r="AY1395" s="502"/>
      <c r="AZ1395" s="502"/>
      <c r="BA1395" s="502"/>
      <c r="BB1395" s="502"/>
      <c r="BC1395" s="502"/>
      <c r="BD1395" s="502"/>
      <c r="BE1395" s="502"/>
      <c r="BF1395" s="502"/>
      <c r="BG1395" s="502"/>
      <c r="BH1395" s="502"/>
      <c r="BI1395" s="502"/>
      <c r="BJ1395" s="502"/>
      <c r="BK1395" s="502"/>
      <c r="BL1395" s="502"/>
      <c r="BM1395" s="502"/>
      <c r="BN1395" s="502"/>
      <c r="BO1395" s="502"/>
      <c r="BP1395" s="5"/>
      <c r="BQ1395" s="5"/>
      <c r="BR1395" s="5"/>
      <c r="BS1395" s="5"/>
      <c r="BT1395" s="5"/>
      <c r="BU1395" s="5"/>
      <c r="BV1395" s="5"/>
      <c r="BW1395" s="5"/>
      <c r="BX1395" s="5"/>
      <c r="BY1395" s="5"/>
      <c r="BZ1395" s="5"/>
      <c r="CA1395" s="5"/>
      <c r="CB1395" s="5"/>
      <c r="CC1395" s="5"/>
      <c r="CD1395" s="5"/>
      <c r="CE1395" s="5"/>
      <c r="CF1395" s="5"/>
      <c r="CG1395" s="5"/>
      <c r="CH1395" s="5"/>
      <c r="CI1395" s="5"/>
      <c r="CJ1395" s="5"/>
      <c r="CK1395" s="5"/>
      <c r="CL1395" s="5"/>
      <c r="CM1395" s="5"/>
      <c r="CN1395" s="5"/>
      <c r="CO1395" s="5"/>
      <c r="CP1395" s="5"/>
      <c r="CQ1395" s="5"/>
      <c r="CR1395" s="5"/>
      <c r="CS1395" s="5"/>
      <c r="CT1395" s="5"/>
      <c r="CU1395" s="5"/>
      <c r="CV1395" s="5"/>
      <c r="CW1395" s="5"/>
      <c r="CX1395" s="5"/>
      <c r="CY1395" s="5"/>
      <c r="CZ1395" s="5"/>
      <c r="DA1395" s="5"/>
      <c r="DB1395" s="5"/>
      <c r="DC1395" s="5"/>
      <c r="DD1395" s="5"/>
      <c r="DE1395" s="5"/>
      <c r="DF1395" s="5"/>
      <c r="DG1395" s="5"/>
      <c r="DH1395" s="5"/>
      <c r="DI1395" s="5"/>
      <c r="DJ1395" s="5"/>
      <c r="DK1395" s="5"/>
      <c r="DL1395" s="5"/>
      <c r="DM1395" s="5"/>
      <c r="DN1395" s="5"/>
      <c r="DO1395" s="5"/>
      <c r="DP1395" s="5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  <c r="GT1395" s="1"/>
      <c r="GU1395" s="1"/>
      <c r="GV1395" s="1"/>
      <c r="GW1395" s="1"/>
      <c r="GX1395" s="1"/>
      <c r="GY1395" s="1"/>
      <c r="GZ1395" s="1"/>
      <c r="HA1395" s="1"/>
      <c r="HB1395" s="1"/>
      <c r="HC1395" s="1"/>
      <c r="HD1395" s="1"/>
      <c r="HE1395" s="1"/>
      <c r="HF1395" s="1"/>
      <c r="HG1395" s="1"/>
      <c r="HH1395" s="1"/>
      <c r="HI1395" s="1"/>
      <c r="HJ1395" s="1"/>
      <c r="HK1395" s="1"/>
      <c r="HL1395" s="1"/>
      <c r="HM1395" s="1"/>
      <c r="HN1395" s="1"/>
      <c r="HO1395" s="1"/>
      <c r="HP1395" s="1"/>
      <c r="HQ1395" s="1"/>
      <c r="HR1395" s="1"/>
      <c r="HS1395" s="1"/>
      <c r="HT1395" s="1"/>
      <c r="HU1395" s="1"/>
      <c r="HV1395" s="1"/>
      <c r="HW1395" s="1"/>
      <c r="HX1395" s="1"/>
      <c r="HY1395" s="1"/>
      <c r="HZ1395" s="1"/>
      <c r="IA1395" s="1"/>
      <c r="IB1395" s="1"/>
      <c r="IC1395" s="1"/>
      <c r="ID1395" s="1"/>
      <c r="IE1395" s="1"/>
      <c r="IF1395" s="1"/>
      <c r="IG1395" s="1"/>
      <c r="IH1395" s="1"/>
      <c r="II1395" s="1"/>
      <c r="IJ1395" s="1"/>
      <c r="IK1395" s="1"/>
      <c r="IL1395" s="1"/>
      <c r="IM1395" s="1"/>
      <c r="IN1395" s="1"/>
      <c r="IO1395" s="1"/>
      <c r="IP1395" s="1"/>
      <c r="IQ1395" s="1"/>
      <c r="IR1395" s="1"/>
      <c r="IS1395" s="1"/>
      <c r="IT1395" s="1"/>
      <c r="IU1395" s="1"/>
      <c r="IV1395" s="1"/>
      <c r="IW1395" s="1"/>
      <c r="IX1395" s="1"/>
      <c r="IY1395" s="1"/>
      <c r="IZ1395" s="1"/>
      <c r="JA1395" s="1"/>
      <c r="JB1395" s="1"/>
      <c r="JC1395" s="1"/>
      <c r="JD1395" s="1"/>
    </row>
    <row r="1396" s="504" customFormat="true" ht="12.75" hidden="false" customHeight="true" outlineLevel="0" collapsed="false">
      <c r="A1396" s="5"/>
      <c r="B1396" s="5"/>
      <c r="C1396" s="5"/>
      <c r="D1396" s="8"/>
      <c r="E1396" s="8"/>
      <c r="F1396" s="8"/>
      <c r="G1396" s="5"/>
      <c r="H1396" s="5"/>
      <c r="I1396" s="5"/>
      <c r="J1396" s="8"/>
      <c r="K1396" s="8"/>
      <c r="L1396" s="5"/>
      <c r="M1396" s="8"/>
      <c r="N1396" s="8"/>
      <c r="O1396" s="8"/>
      <c r="P1396" s="8"/>
      <c r="Q1396" s="5"/>
      <c r="R1396" s="5"/>
      <c r="S1396" s="5"/>
      <c r="T1396" s="5"/>
      <c r="U1396" s="5"/>
      <c r="V1396" s="10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02"/>
      <c r="AU1396" s="502"/>
      <c r="AV1396" s="606"/>
      <c r="AW1396" s="502"/>
      <c r="AX1396" s="502"/>
      <c r="AY1396" s="502"/>
      <c r="AZ1396" s="502"/>
      <c r="BA1396" s="502"/>
      <c r="BB1396" s="502"/>
      <c r="BC1396" s="502"/>
      <c r="BD1396" s="502"/>
      <c r="BE1396" s="502"/>
      <c r="BF1396" s="502"/>
      <c r="BG1396" s="502"/>
      <c r="BH1396" s="502"/>
      <c r="BI1396" s="502"/>
      <c r="BJ1396" s="502"/>
      <c r="BK1396" s="502"/>
      <c r="BL1396" s="502"/>
      <c r="BM1396" s="502"/>
      <c r="BN1396" s="502"/>
      <c r="BO1396" s="502"/>
      <c r="BP1396" s="5"/>
      <c r="BQ1396" s="5"/>
      <c r="BR1396" s="5"/>
      <c r="BS1396" s="5"/>
      <c r="BT1396" s="5"/>
      <c r="BU1396" s="5"/>
      <c r="BV1396" s="5"/>
      <c r="BW1396" s="5"/>
      <c r="BX1396" s="5"/>
      <c r="BY1396" s="5"/>
      <c r="BZ1396" s="5"/>
      <c r="CA1396" s="5"/>
      <c r="CB1396" s="5"/>
      <c r="CC1396" s="5"/>
      <c r="CD1396" s="5"/>
      <c r="CE1396" s="5"/>
      <c r="CF1396" s="5"/>
      <c r="CG1396" s="5"/>
      <c r="CH1396" s="5"/>
      <c r="CI1396" s="5"/>
      <c r="CJ1396" s="5"/>
      <c r="CK1396" s="5"/>
      <c r="CL1396" s="5"/>
      <c r="CM1396" s="5"/>
      <c r="CN1396" s="5"/>
      <c r="CO1396" s="5"/>
      <c r="CP1396" s="5"/>
      <c r="CQ1396" s="5"/>
      <c r="CR1396" s="5"/>
      <c r="CS1396" s="5"/>
      <c r="CT1396" s="5"/>
      <c r="CU1396" s="5"/>
      <c r="CV1396" s="5"/>
      <c r="CW1396" s="5"/>
      <c r="CX1396" s="5"/>
      <c r="CY1396" s="5"/>
      <c r="CZ1396" s="5"/>
      <c r="DA1396" s="5"/>
      <c r="DB1396" s="5"/>
      <c r="DC1396" s="5"/>
      <c r="DD1396" s="5"/>
      <c r="DE1396" s="5"/>
      <c r="DF1396" s="5"/>
      <c r="DG1396" s="5"/>
      <c r="DH1396" s="5"/>
      <c r="DI1396" s="5"/>
      <c r="DJ1396" s="5"/>
      <c r="DK1396" s="5"/>
      <c r="DL1396" s="5"/>
      <c r="DM1396" s="5"/>
      <c r="DN1396" s="5"/>
      <c r="DO1396" s="5"/>
      <c r="DP1396" s="5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  <c r="GT1396" s="1"/>
      <c r="GU1396" s="1"/>
      <c r="GV1396" s="1"/>
      <c r="GW1396" s="1"/>
      <c r="GX1396" s="1"/>
      <c r="GY1396" s="1"/>
      <c r="GZ1396" s="1"/>
      <c r="HA1396" s="1"/>
      <c r="HB1396" s="1"/>
      <c r="HC1396" s="1"/>
      <c r="HD1396" s="1"/>
      <c r="HE1396" s="1"/>
      <c r="HF1396" s="1"/>
      <c r="HG1396" s="1"/>
      <c r="HH1396" s="1"/>
      <c r="HI1396" s="1"/>
      <c r="HJ1396" s="1"/>
      <c r="HK1396" s="1"/>
      <c r="HL1396" s="1"/>
      <c r="HM1396" s="1"/>
      <c r="HN1396" s="1"/>
      <c r="HO1396" s="1"/>
      <c r="HP1396" s="1"/>
      <c r="HQ1396" s="1"/>
      <c r="HR1396" s="1"/>
      <c r="HS1396" s="1"/>
      <c r="HT1396" s="1"/>
      <c r="HU1396" s="1"/>
      <c r="HV1396" s="1"/>
      <c r="HW1396" s="1"/>
      <c r="HX1396" s="1"/>
      <c r="HY1396" s="1"/>
      <c r="HZ1396" s="1"/>
      <c r="IA1396" s="1"/>
      <c r="IB1396" s="1"/>
      <c r="IC1396" s="1"/>
      <c r="ID1396" s="1"/>
      <c r="IE1396" s="1"/>
      <c r="IF1396" s="1"/>
      <c r="IG1396" s="1"/>
      <c r="IH1396" s="1"/>
      <c r="II1396" s="1"/>
      <c r="IJ1396" s="1"/>
      <c r="IK1396" s="1"/>
      <c r="IL1396" s="1"/>
      <c r="IM1396" s="1"/>
      <c r="IN1396" s="1"/>
      <c r="IO1396" s="1"/>
      <c r="IP1396" s="1"/>
      <c r="IQ1396" s="1"/>
      <c r="IR1396" s="1"/>
      <c r="IS1396" s="1"/>
      <c r="IT1396" s="1"/>
      <c r="IU1396" s="1"/>
      <c r="IV1396" s="1"/>
      <c r="IW1396" s="1"/>
      <c r="IX1396" s="1"/>
      <c r="IY1396" s="1"/>
      <c r="IZ1396" s="1"/>
      <c r="JA1396" s="1"/>
      <c r="JB1396" s="1"/>
      <c r="JC1396" s="1"/>
      <c r="JD1396" s="1"/>
    </row>
    <row r="1397" s="504" customFormat="true" ht="12.75" hidden="false" customHeight="true" outlineLevel="0" collapsed="false">
      <c r="A1397" s="5"/>
      <c r="B1397" s="5"/>
      <c r="C1397" s="5"/>
      <c r="D1397" s="8"/>
      <c r="E1397" s="8"/>
      <c r="F1397" s="8"/>
      <c r="G1397" s="5"/>
      <c r="H1397" s="5"/>
      <c r="I1397" s="5"/>
      <c r="J1397" s="8"/>
      <c r="K1397" s="8"/>
      <c r="L1397" s="5"/>
      <c r="M1397" s="8"/>
      <c r="N1397" s="8"/>
      <c r="O1397" s="8"/>
      <c r="P1397" s="8"/>
      <c r="Q1397" s="5"/>
      <c r="R1397" s="5"/>
      <c r="S1397" s="5"/>
      <c r="T1397" s="5"/>
      <c r="U1397" s="5"/>
      <c r="V1397" s="10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02"/>
      <c r="AU1397" s="502"/>
      <c r="AV1397" s="606"/>
      <c r="AW1397" s="502"/>
      <c r="AX1397" s="502"/>
      <c r="AY1397" s="502"/>
      <c r="AZ1397" s="502"/>
      <c r="BA1397" s="502"/>
      <c r="BB1397" s="502"/>
      <c r="BC1397" s="502"/>
      <c r="BD1397" s="502"/>
      <c r="BE1397" s="502"/>
      <c r="BF1397" s="502"/>
      <c r="BG1397" s="502"/>
      <c r="BH1397" s="502"/>
      <c r="BI1397" s="502"/>
      <c r="BJ1397" s="502"/>
      <c r="BK1397" s="502"/>
      <c r="BL1397" s="502"/>
      <c r="BM1397" s="502"/>
      <c r="BN1397" s="502"/>
      <c r="BO1397" s="502"/>
      <c r="BP1397" s="5"/>
      <c r="BQ1397" s="5"/>
      <c r="BR1397" s="5"/>
      <c r="BS1397" s="5"/>
      <c r="BT1397" s="5"/>
      <c r="BU1397" s="5"/>
      <c r="BV1397" s="5"/>
      <c r="BW1397" s="5"/>
      <c r="BX1397" s="5"/>
      <c r="BY1397" s="5"/>
      <c r="BZ1397" s="5"/>
      <c r="CA1397" s="5"/>
      <c r="CB1397" s="5"/>
      <c r="CC1397" s="5"/>
      <c r="CD1397" s="5"/>
      <c r="CE1397" s="5"/>
      <c r="CF1397" s="5"/>
      <c r="CG1397" s="5"/>
      <c r="CH1397" s="5"/>
      <c r="CI1397" s="5"/>
      <c r="CJ1397" s="5"/>
      <c r="CK1397" s="5"/>
      <c r="CL1397" s="5"/>
      <c r="CM1397" s="5"/>
      <c r="CN1397" s="5"/>
      <c r="CO1397" s="5"/>
      <c r="CP1397" s="5"/>
      <c r="CQ1397" s="5"/>
      <c r="CR1397" s="5"/>
      <c r="CS1397" s="5"/>
      <c r="CT1397" s="5"/>
      <c r="CU1397" s="5"/>
      <c r="CV1397" s="5"/>
      <c r="CW1397" s="5"/>
      <c r="CX1397" s="5"/>
      <c r="CY1397" s="5"/>
      <c r="CZ1397" s="5"/>
      <c r="DA1397" s="5"/>
      <c r="DB1397" s="5"/>
      <c r="DC1397" s="5"/>
      <c r="DD1397" s="5"/>
      <c r="DE1397" s="5"/>
      <c r="DF1397" s="5"/>
      <c r="DG1397" s="5"/>
      <c r="DH1397" s="5"/>
      <c r="DI1397" s="5"/>
      <c r="DJ1397" s="5"/>
      <c r="DK1397" s="5"/>
      <c r="DL1397" s="5"/>
      <c r="DM1397" s="5"/>
      <c r="DN1397" s="5"/>
      <c r="DO1397" s="5"/>
      <c r="DP1397" s="5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  <c r="GT1397" s="1"/>
      <c r="GU1397" s="1"/>
      <c r="GV1397" s="1"/>
      <c r="GW1397" s="1"/>
      <c r="GX1397" s="1"/>
      <c r="GY1397" s="1"/>
      <c r="GZ1397" s="1"/>
      <c r="HA1397" s="1"/>
      <c r="HB1397" s="1"/>
      <c r="HC1397" s="1"/>
      <c r="HD1397" s="1"/>
      <c r="HE1397" s="1"/>
      <c r="HF1397" s="1"/>
      <c r="HG1397" s="1"/>
      <c r="HH1397" s="1"/>
      <c r="HI1397" s="1"/>
      <c r="HJ1397" s="1"/>
      <c r="HK1397" s="1"/>
      <c r="HL1397" s="1"/>
      <c r="HM1397" s="1"/>
      <c r="HN1397" s="1"/>
      <c r="HO1397" s="1"/>
      <c r="HP1397" s="1"/>
      <c r="HQ1397" s="1"/>
      <c r="HR1397" s="1"/>
      <c r="HS1397" s="1"/>
      <c r="HT1397" s="1"/>
      <c r="HU1397" s="1"/>
      <c r="HV1397" s="1"/>
      <c r="HW1397" s="1"/>
      <c r="HX1397" s="1"/>
      <c r="HY1397" s="1"/>
      <c r="HZ1397" s="1"/>
      <c r="IA1397" s="1"/>
      <c r="IB1397" s="1"/>
      <c r="IC1397" s="1"/>
      <c r="ID1397" s="1"/>
      <c r="IE1397" s="1"/>
      <c r="IF1397" s="1"/>
      <c r="IG1397" s="1"/>
      <c r="IH1397" s="1"/>
      <c r="II1397" s="1"/>
      <c r="IJ1397" s="1"/>
      <c r="IK1397" s="1"/>
      <c r="IL1397" s="1"/>
      <c r="IM1397" s="1"/>
      <c r="IN1397" s="1"/>
      <c r="IO1397" s="1"/>
      <c r="IP1397" s="1"/>
      <c r="IQ1397" s="1"/>
      <c r="IR1397" s="1"/>
      <c r="IS1397" s="1"/>
      <c r="IT1397" s="1"/>
      <c r="IU1397" s="1"/>
      <c r="IV1397" s="1"/>
      <c r="IW1397" s="1"/>
      <c r="IX1397" s="1"/>
      <c r="IY1397" s="1"/>
      <c r="IZ1397" s="1"/>
      <c r="JA1397" s="1"/>
      <c r="JB1397" s="1"/>
      <c r="JC1397" s="1"/>
      <c r="JD1397" s="1"/>
    </row>
    <row r="1398" s="504" customFormat="true" ht="12.75" hidden="false" customHeight="true" outlineLevel="0" collapsed="false">
      <c r="A1398" s="5"/>
      <c r="B1398" s="5"/>
      <c r="C1398" s="5"/>
      <c r="D1398" s="8"/>
      <c r="E1398" s="8"/>
      <c r="F1398" s="8"/>
      <c r="G1398" s="5"/>
      <c r="H1398" s="5"/>
      <c r="I1398" s="5"/>
      <c r="J1398" s="8"/>
      <c r="K1398" s="8"/>
      <c r="L1398" s="5"/>
      <c r="M1398" s="8"/>
      <c r="N1398" s="8"/>
      <c r="O1398" s="8"/>
      <c r="P1398" s="8"/>
      <c r="Q1398" s="5"/>
      <c r="R1398" s="5"/>
      <c r="S1398" s="5"/>
      <c r="T1398" s="5"/>
      <c r="U1398" s="5"/>
      <c r="V1398" s="10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02"/>
      <c r="AU1398" s="502"/>
      <c r="AV1398" s="606"/>
      <c r="AW1398" s="502"/>
      <c r="AX1398" s="502"/>
      <c r="AY1398" s="502"/>
      <c r="AZ1398" s="502"/>
      <c r="BA1398" s="502"/>
      <c r="BB1398" s="502"/>
      <c r="BC1398" s="502"/>
      <c r="BD1398" s="502"/>
      <c r="BE1398" s="502"/>
      <c r="BF1398" s="502"/>
      <c r="BG1398" s="502"/>
      <c r="BH1398" s="502"/>
      <c r="BI1398" s="502"/>
      <c r="BJ1398" s="502"/>
      <c r="BK1398" s="502"/>
      <c r="BL1398" s="502"/>
      <c r="BM1398" s="502"/>
      <c r="BN1398" s="502"/>
      <c r="BO1398" s="502"/>
      <c r="BP1398" s="5"/>
      <c r="BQ1398" s="5"/>
      <c r="BR1398" s="5"/>
      <c r="BS1398" s="5"/>
      <c r="BT1398" s="5"/>
      <c r="BU1398" s="5"/>
      <c r="BV1398" s="5"/>
      <c r="BW1398" s="5"/>
      <c r="BX1398" s="5"/>
      <c r="BY1398" s="5"/>
      <c r="BZ1398" s="5"/>
      <c r="CA1398" s="5"/>
      <c r="CB1398" s="5"/>
      <c r="CC1398" s="5"/>
      <c r="CD1398" s="5"/>
      <c r="CE1398" s="5"/>
      <c r="CF1398" s="5"/>
      <c r="CG1398" s="5"/>
      <c r="CH1398" s="5"/>
      <c r="CI1398" s="5"/>
      <c r="CJ1398" s="5"/>
      <c r="CK1398" s="5"/>
      <c r="CL1398" s="5"/>
      <c r="CM1398" s="5"/>
      <c r="CN1398" s="5"/>
      <c r="CO1398" s="5"/>
      <c r="CP1398" s="5"/>
      <c r="CQ1398" s="5"/>
      <c r="CR1398" s="5"/>
      <c r="CS1398" s="5"/>
      <c r="CT1398" s="5"/>
      <c r="CU1398" s="5"/>
      <c r="CV1398" s="5"/>
      <c r="CW1398" s="5"/>
      <c r="CX1398" s="5"/>
      <c r="CY1398" s="5"/>
      <c r="CZ1398" s="5"/>
      <c r="DA1398" s="5"/>
      <c r="DB1398" s="5"/>
      <c r="DC1398" s="5"/>
      <c r="DD1398" s="5"/>
      <c r="DE1398" s="5"/>
      <c r="DF1398" s="5"/>
      <c r="DG1398" s="5"/>
      <c r="DH1398" s="5"/>
      <c r="DI1398" s="5"/>
      <c r="DJ1398" s="5"/>
      <c r="DK1398" s="5"/>
      <c r="DL1398" s="5"/>
      <c r="DM1398" s="5"/>
      <c r="DN1398" s="5"/>
      <c r="DO1398" s="5"/>
      <c r="DP1398" s="5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  <c r="GV1398" s="1"/>
      <c r="GW1398" s="1"/>
      <c r="GX1398" s="1"/>
      <c r="GY1398" s="1"/>
      <c r="GZ1398" s="1"/>
      <c r="HA1398" s="1"/>
      <c r="HB1398" s="1"/>
      <c r="HC1398" s="1"/>
      <c r="HD1398" s="1"/>
      <c r="HE1398" s="1"/>
      <c r="HF1398" s="1"/>
      <c r="HG1398" s="1"/>
      <c r="HH1398" s="1"/>
      <c r="HI1398" s="1"/>
      <c r="HJ1398" s="1"/>
      <c r="HK1398" s="1"/>
      <c r="HL1398" s="1"/>
      <c r="HM1398" s="1"/>
      <c r="HN1398" s="1"/>
      <c r="HO1398" s="1"/>
      <c r="HP1398" s="1"/>
      <c r="HQ1398" s="1"/>
      <c r="HR1398" s="1"/>
      <c r="HS1398" s="1"/>
      <c r="HT1398" s="1"/>
      <c r="HU1398" s="1"/>
      <c r="HV1398" s="1"/>
      <c r="HW1398" s="1"/>
      <c r="HX1398" s="1"/>
      <c r="HY1398" s="1"/>
      <c r="HZ1398" s="1"/>
      <c r="IA1398" s="1"/>
      <c r="IB1398" s="1"/>
      <c r="IC1398" s="1"/>
      <c r="ID1398" s="1"/>
      <c r="IE1398" s="1"/>
      <c r="IF1398" s="1"/>
      <c r="IG1398" s="1"/>
      <c r="IH1398" s="1"/>
      <c r="II1398" s="1"/>
      <c r="IJ1398" s="1"/>
      <c r="IK1398" s="1"/>
      <c r="IL1398" s="1"/>
      <c r="IM1398" s="1"/>
      <c r="IN1398" s="1"/>
      <c r="IO1398" s="1"/>
      <c r="IP1398" s="1"/>
      <c r="IQ1398" s="1"/>
      <c r="IR1398" s="1"/>
      <c r="IS1398" s="1"/>
      <c r="IT1398" s="1"/>
      <c r="IU1398" s="1"/>
      <c r="IV1398" s="1"/>
      <c r="IW1398" s="1"/>
      <c r="IX1398" s="1"/>
      <c r="IY1398" s="1"/>
      <c r="IZ1398" s="1"/>
      <c r="JA1398" s="1"/>
      <c r="JB1398" s="1"/>
      <c r="JC1398" s="1"/>
      <c r="JD1398" s="1"/>
    </row>
    <row r="1399" s="504" customFormat="true" ht="12.75" hidden="false" customHeight="true" outlineLevel="0" collapsed="false">
      <c r="A1399" s="5"/>
      <c r="B1399" s="5"/>
      <c r="C1399" s="5"/>
      <c r="D1399" s="8"/>
      <c r="E1399" s="8"/>
      <c r="F1399" s="8"/>
      <c r="G1399" s="5"/>
      <c r="H1399" s="5"/>
      <c r="I1399" s="5"/>
      <c r="J1399" s="8"/>
      <c r="K1399" s="8"/>
      <c r="L1399" s="5"/>
      <c r="M1399" s="8"/>
      <c r="N1399" s="8"/>
      <c r="O1399" s="8"/>
      <c r="P1399" s="8"/>
      <c r="Q1399" s="5"/>
      <c r="R1399" s="5"/>
      <c r="S1399" s="5"/>
      <c r="T1399" s="5"/>
      <c r="U1399" s="5"/>
      <c r="V1399" s="10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02"/>
      <c r="AU1399" s="502"/>
      <c r="AV1399" s="606"/>
      <c r="AW1399" s="502"/>
      <c r="AX1399" s="502"/>
      <c r="AY1399" s="502"/>
      <c r="AZ1399" s="502"/>
      <c r="BA1399" s="502"/>
      <c r="BB1399" s="502"/>
      <c r="BC1399" s="502"/>
      <c r="BD1399" s="502"/>
      <c r="BE1399" s="502"/>
      <c r="BF1399" s="502"/>
      <c r="BG1399" s="502"/>
      <c r="BH1399" s="502"/>
      <c r="BI1399" s="502"/>
      <c r="BJ1399" s="502"/>
      <c r="BK1399" s="502"/>
      <c r="BL1399" s="502"/>
      <c r="BM1399" s="502"/>
      <c r="BN1399" s="502"/>
      <c r="BO1399" s="502"/>
      <c r="BP1399" s="5"/>
      <c r="BQ1399" s="5"/>
      <c r="BR1399" s="5"/>
      <c r="BS1399" s="5"/>
      <c r="BT1399" s="5"/>
      <c r="BU1399" s="5"/>
      <c r="BV1399" s="5"/>
      <c r="BW1399" s="5"/>
      <c r="BX1399" s="5"/>
      <c r="BY1399" s="5"/>
      <c r="BZ1399" s="5"/>
      <c r="CA1399" s="5"/>
      <c r="CB1399" s="5"/>
      <c r="CC1399" s="5"/>
      <c r="CD1399" s="5"/>
      <c r="CE1399" s="5"/>
      <c r="CF1399" s="5"/>
      <c r="CG1399" s="5"/>
      <c r="CH1399" s="5"/>
      <c r="CI1399" s="5"/>
      <c r="CJ1399" s="5"/>
      <c r="CK1399" s="5"/>
      <c r="CL1399" s="5"/>
      <c r="CM1399" s="5"/>
      <c r="CN1399" s="5"/>
      <c r="CO1399" s="5"/>
      <c r="CP1399" s="5"/>
      <c r="CQ1399" s="5"/>
      <c r="CR1399" s="5"/>
      <c r="CS1399" s="5"/>
      <c r="CT1399" s="5"/>
      <c r="CU1399" s="5"/>
      <c r="CV1399" s="5"/>
      <c r="CW1399" s="5"/>
      <c r="CX1399" s="5"/>
      <c r="CY1399" s="5"/>
      <c r="CZ1399" s="5"/>
      <c r="DA1399" s="5"/>
      <c r="DB1399" s="5"/>
      <c r="DC1399" s="5"/>
      <c r="DD1399" s="5"/>
      <c r="DE1399" s="5"/>
      <c r="DF1399" s="5"/>
      <c r="DG1399" s="5"/>
      <c r="DH1399" s="5"/>
      <c r="DI1399" s="5"/>
      <c r="DJ1399" s="5"/>
      <c r="DK1399" s="5"/>
      <c r="DL1399" s="5"/>
      <c r="DM1399" s="5"/>
      <c r="DN1399" s="5"/>
      <c r="DO1399" s="5"/>
      <c r="DP1399" s="5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  <c r="GT1399" s="1"/>
      <c r="GU1399" s="1"/>
      <c r="GV1399" s="1"/>
      <c r="GW1399" s="1"/>
      <c r="GX1399" s="1"/>
      <c r="GY1399" s="1"/>
      <c r="GZ1399" s="1"/>
      <c r="HA1399" s="1"/>
      <c r="HB1399" s="1"/>
      <c r="HC1399" s="1"/>
      <c r="HD1399" s="1"/>
      <c r="HE1399" s="1"/>
      <c r="HF1399" s="1"/>
      <c r="HG1399" s="1"/>
      <c r="HH1399" s="1"/>
      <c r="HI1399" s="1"/>
      <c r="HJ1399" s="1"/>
      <c r="HK1399" s="1"/>
      <c r="HL1399" s="1"/>
      <c r="HM1399" s="1"/>
      <c r="HN1399" s="1"/>
      <c r="HO1399" s="1"/>
      <c r="HP1399" s="1"/>
      <c r="HQ1399" s="1"/>
      <c r="HR1399" s="1"/>
      <c r="HS1399" s="1"/>
      <c r="HT1399" s="1"/>
      <c r="HU1399" s="1"/>
      <c r="HV1399" s="1"/>
      <c r="HW1399" s="1"/>
      <c r="HX1399" s="1"/>
      <c r="HY1399" s="1"/>
      <c r="HZ1399" s="1"/>
      <c r="IA1399" s="1"/>
      <c r="IB1399" s="1"/>
      <c r="IC1399" s="1"/>
      <c r="ID1399" s="1"/>
      <c r="IE1399" s="1"/>
      <c r="IF1399" s="1"/>
      <c r="IG1399" s="1"/>
      <c r="IH1399" s="1"/>
      <c r="II1399" s="1"/>
      <c r="IJ1399" s="1"/>
      <c r="IK1399" s="1"/>
      <c r="IL1399" s="1"/>
      <c r="IM1399" s="1"/>
      <c r="IN1399" s="1"/>
      <c r="IO1399" s="1"/>
      <c r="IP1399" s="1"/>
      <c r="IQ1399" s="1"/>
      <c r="IR1399" s="1"/>
      <c r="IS1399" s="1"/>
      <c r="IT1399" s="1"/>
      <c r="IU1399" s="1"/>
      <c r="IV1399" s="1"/>
      <c r="IW1399" s="1"/>
      <c r="IX1399" s="1"/>
      <c r="IY1399" s="1"/>
      <c r="IZ1399" s="1"/>
      <c r="JA1399" s="1"/>
      <c r="JB1399" s="1"/>
      <c r="JC1399" s="1"/>
      <c r="JD1399" s="1"/>
    </row>
    <row r="1400" s="504" customFormat="true" ht="12.75" hidden="false" customHeight="true" outlineLevel="0" collapsed="false">
      <c r="A1400" s="5"/>
      <c r="B1400" s="5"/>
      <c r="C1400" s="5"/>
      <c r="D1400" s="8"/>
      <c r="E1400" s="8"/>
      <c r="F1400" s="8"/>
      <c r="G1400" s="5"/>
      <c r="H1400" s="5"/>
      <c r="I1400" s="5"/>
      <c r="J1400" s="8"/>
      <c r="K1400" s="8"/>
      <c r="L1400" s="5"/>
      <c r="M1400" s="8"/>
      <c r="N1400" s="8"/>
      <c r="O1400" s="8"/>
      <c r="P1400" s="8"/>
      <c r="Q1400" s="5"/>
      <c r="R1400" s="5"/>
      <c r="S1400" s="5"/>
      <c r="T1400" s="5"/>
      <c r="U1400" s="5"/>
      <c r="V1400" s="10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02"/>
      <c r="AU1400" s="502"/>
      <c r="AV1400" s="606"/>
      <c r="AW1400" s="502"/>
      <c r="AX1400" s="502"/>
      <c r="AY1400" s="502"/>
      <c r="AZ1400" s="502"/>
      <c r="BA1400" s="502"/>
      <c r="BB1400" s="502"/>
      <c r="BC1400" s="502"/>
      <c r="BD1400" s="502"/>
      <c r="BE1400" s="502"/>
      <c r="BF1400" s="502"/>
      <c r="BG1400" s="502"/>
      <c r="BH1400" s="502"/>
      <c r="BI1400" s="502"/>
      <c r="BJ1400" s="502"/>
      <c r="BK1400" s="502"/>
      <c r="BL1400" s="502"/>
      <c r="BM1400" s="502"/>
      <c r="BN1400" s="502"/>
      <c r="BO1400" s="502"/>
      <c r="BP1400" s="5"/>
      <c r="BQ1400" s="5"/>
      <c r="BR1400" s="5"/>
      <c r="BS1400" s="5"/>
      <c r="BT1400" s="5"/>
      <c r="BU1400" s="5"/>
      <c r="BV1400" s="5"/>
      <c r="BW1400" s="5"/>
      <c r="BX1400" s="5"/>
      <c r="BY1400" s="5"/>
      <c r="BZ1400" s="5"/>
      <c r="CA1400" s="5"/>
      <c r="CB1400" s="5"/>
      <c r="CC1400" s="5"/>
      <c r="CD1400" s="5"/>
      <c r="CE1400" s="5"/>
      <c r="CF1400" s="5"/>
      <c r="CG1400" s="5"/>
      <c r="CH1400" s="5"/>
      <c r="CI1400" s="5"/>
      <c r="CJ1400" s="5"/>
      <c r="CK1400" s="5"/>
      <c r="CL1400" s="5"/>
      <c r="CM1400" s="5"/>
      <c r="CN1400" s="5"/>
      <c r="CO1400" s="5"/>
      <c r="CP1400" s="5"/>
      <c r="CQ1400" s="5"/>
      <c r="CR1400" s="5"/>
      <c r="CS1400" s="5"/>
      <c r="CT1400" s="5"/>
      <c r="CU1400" s="5"/>
      <c r="CV1400" s="5"/>
      <c r="CW1400" s="5"/>
      <c r="CX1400" s="5"/>
      <c r="CY1400" s="5"/>
      <c r="CZ1400" s="5"/>
      <c r="DA1400" s="5"/>
      <c r="DB1400" s="5"/>
      <c r="DC1400" s="5"/>
      <c r="DD1400" s="5"/>
      <c r="DE1400" s="5"/>
      <c r="DF1400" s="5"/>
      <c r="DG1400" s="5"/>
      <c r="DH1400" s="5"/>
      <c r="DI1400" s="5"/>
      <c r="DJ1400" s="5"/>
      <c r="DK1400" s="5"/>
      <c r="DL1400" s="5"/>
      <c r="DM1400" s="5"/>
      <c r="DN1400" s="5"/>
      <c r="DO1400" s="5"/>
      <c r="DP1400" s="5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  <c r="GV1400" s="1"/>
      <c r="GW1400" s="1"/>
      <c r="GX1400" s="1"/>
      <c r="GY1400" s="1"/>
      <c r="GZ1400" s="1"/>
      <c r="HA1400" s="1"/>
      <c r="HB1400" s="1"/>
      <c r="HC1400" s="1"/>
      <c r="HD1400" s="1"/>
      <c r="HE1400" s="1"/>
      <c r="HF1400" s="1"/>
      <c r="HG1400" s="1"/>
      <c r="HH1400" s="1"/>
      <c r="HI1400" s="1"/>
      <c r="HJ1400" s="1"/>
      <c r="HK1400" s="1"/>
      <c r="HL1400" s="1"/>
      <c r="HM1400" s="1"/>
      <c r="HN1400" s="1"/>
      <c r="HO1400" s="1"/>
      <c r="HP1400" s="1"/>
      <c r="HQ1400" s="1"/>
      <c r="HR1400" s="1"/>
      <c r="HS1400" s="1"/>
      <c r="HT1400" s="1"/>
      <c r="HU1400" s="1"/>
      <c r="HV1400" s="1"/>
      <c r="HW1400" s="1"/>
      <c r="HX1400" s="1"/>
      <c r="HY1400" s="1"/>
      <c r="HZ1400" s="1"/>
      <c r="IA1400" s="1"/>
      <c r="IB1400" s="1"/>
      <c r="IC1400" s="1"/>
      <c r="ID1400" s="1"/>
      <c r="IE1400" s="1"/>
      <c r="IF1400" s="1"/>
      <c r="IG1400" s="1"/>
      <c r="IH1400" s="1"/>
      <c r="II1400" s="1"/>
      <c r="IJ1400" s="1"/>
      <c r="IK1400" s="1"/>
      <c r="IL1400" s="1"/>
      <c r="IM1400" s="1"/>
      <c r="IN1400" s="1"/>
      <c r="IO1400" s="1"/>
      <c r="IP1400" s="1"/>
      <c r="IQ1400" s="1"/>
      <c r="IR1400" s="1"/>
      <c r="IS1400" s="1"/>
      <c r="IT1400" s="1"/>
      <c r="IU1400" s="1"/>
      <c r="IV1400" s="1"/>
      <c r="IW1400" s="1"/>
      <c r="IX1400" s="1"/>
      <c r="IY1400" s="1"/>
      <c r="IZ1400" s="1"/>
      <c r="JA1400" s="1"/>
      <c r="JB1400" s="1"/>
      <c r="JC1400" s="1"/>
      <c r="JD1400" s="1"/>
    </row>
    <row r="1401" s="504" customFormat="true" ht="12.75" hidden="false" customHeight="true" outlineLevel="0" collapsed="false">
      <c r="A1401" s="5"/>
      <c r="B1401" s="5"/>
      <c r="C1401" s="5"/>
      <c r="D1401" s="8"/>
      <c r="E1401" s="8"/>
      <c r="F1401" s="8"/>
      <c r="G1401" s="5"/>
      <c r="H1401" s="5"/>
      <c r="I1401" s="5"/>
      <c r="J1401" s="8"/>
      <c r="K1401" s="8"/>
      <c r="L1401" s="5"/>
      <c r="M1401" s="8"/>
      <c r="N1401" s="8"/>
      <c r="O1401" s="8"/>
      <c r="P1401" s="8"/>
      <c r="Q1401" s="5"/>
      <c r="R1401" s="5"/>
      <c r="S1401" s="5"/>
      <c r="T1401" s="5"/>
      <c r="U1401" s="5"/>
      <c r="V1401" s="10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02"/>
      <c r="AU1401" s="502"/>
      <c r="AV1401" s="606"/>
      <c r="AW1401" s="502"/>
      <c r="AX1401" s="502"/>
      <c r="AY1401" s="502"/>
      <c r="AZ1401" s="502"/>
      <c r="BA1401" s="502"/>
      <c r="BB1401" s="502"/>
      <c r="BC1401" s="502"/>
      <c r="BD1401" s="502"/>
      <c r="BE1401" s="502"/>
      <c r="BF1401" s="502"/>
      <c r="BG1401" s="502"/>
      <c r="BH1401" s="502"/>
      <c r="BI1401" s="502"/>
      <c r="BJ1401" s="502"/>
      <c r="BK1401" s="502"/>
      <c r="BL1401" s="502"/>
      <c r="BM1401" s="502"/>
      <c r="BN1401" s="502"/>
      <c r="BO1401" s="502"/>
      <c r="BP1401" s="5"/>
      <c r="BQ1401" s="5"/>
      <c r="BR1401" s="5"/>
      <c r="BS1401" s="5"/>
      <c r="BT1401" s="5"/>
      <c r="BU1401" s="5"/>
      <c r="BV1401" s="5"/>
      <c r="BW1401" s="5"/>
      <c r="BX1401" s="5"/>
      <c r="BY1401" s="5"/>
      <c r="BZ1401" s="5"/>
      <c r="CA1401" s="5"/>
      <c r="CB1401" s="5"/>
      <c r="CC1401" s="5"/>
      <c r="CD1401" s="5"/>
      <c r="CE1401" s="5"/>
      <c r="CF1401" s="5"/>
      <c r="CG1401" s="5"/>
      <c r="CH1401" s="5"/>
      <c r="CI1401" s="5"/>
      <c r="CJ1401" s="5"/>
      <c r="CK1401" s="5"/>
      <c r="CL1401" s="5"/>
      <c r="CM1401" s="5"/>
      <c r="CN1401" s="5"/>
      <c r="CO1401" s="5"/>
      <c r="CP1401" s="5"/>
      <c r="CQ1401" s="5"/>
      <c r="CR1401" s="5"/>
      <c r="CS1401" s="5"/>
      <c r="CT1401" s="5"/>
      <c r="CU1401" s="5"/>
      <c r="CV1401" s="5"/>
      <c r="CW1401" s="5"/>
      <c r="CX1401" s="5"/>
      <c r="CY1401" s="5"/>
      <c r="CZ1401" s="5"/>
      <c r="DA1401" s="5"/>
      <c r="DB1401" s="5"/>
      <c r="DC1401" s="5"/>
      <c r="DD1401" s="5"/>
      <c r="DE1401" s="5"/>
      <c r="DF1401" s="5"/>
      <c r="DG1401" s="5"/>
      <c r="DH1401" s="5"/>
      <c r="DI1401" s="5"/>
      <c r="DJ1401" s="5"/>
      <c r="DK1401" s="5"/>
      <c r="DL1401" s="5"/>
      <c r="DM1401" s="5"/>
      <c r="DN1401" s="5"/>
      <c r="DO1401" s="5"/>
      <c r="DP1401" s="5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  <c r="GT1401" s="1"/>
      <c r="GU1401" s="1"/>
      <c r="GV1401" s="1"/>
      <c r="GW1401" s="1"/>
      <c r="GX1401" s="1"/>
      <c r="GY1401" s="1"/>
      <c r="GZ1401" s="1"/>
      <c r="HA1401" s="1"/>
      <c r="HB1401" s="1"/>
      <c r="HC1401" s="1"/>
      <c r="HD1401" s="1"/>
      <c r="HE1401" s="1"/>
      <c r="HF1401" s="1"/>
      <c r="HG1401" s="1"/>
      <c r="HH1401" s="1"/>
      <c r="HI1401" s="1"/>
      <c r="HJ1401" s="1"/>
      <c r="HK1401" s="1"/>
      <c r="HL1401" s="1"/>
      <c r="HM1401" s="1"/>
      <c r="HN1401" s="1"/>
      <c r="HO1401" s="1"/>
      <c r="HP1401" s="1"/>
      <c r="HQ1401" s="1"/>
      <c r="HR1401" s="1"/>
      <c r="HS1401" s="1"/>
      <c r="HT1401" s="1"/>
      <c r="HU1401" s="1"/>
      <c r="HV1401" s="1"/>
      <c r="HW1401" s="1"/>
      <c r="HX1401" s="1"/>
      <c r="HY1401" s="1"/>
      <c r="HZ1401" s="1"/>
      <c r="IA1401" s="1"/>
      <c r="IB1401" s="1"/>
      <c r="IC1401" s="1"/>
      <c r="ID1401" s="1"/>
      <c r="IE1401" s="1"/>
      <c r="IF1401" s="1"/>
      <c r="IG1401" s="1"/>
      <c r="IH1401" s="1"/>
      <c r="II1401" s="1"/>
      <c r="IJ1401" s="1"/>
      <c r="IK1401" s="1"/>
      <c r="IL1401" s="1"/>
      <c r="IM1401" s="1"/>
      <c r="IN1401" s="1"/>
      <c r="IO1401" s="1"/>
      <c r="IP1401" s="1"/>
      <c r="IQ1401" s="1"/>
      <c r="IR1401" s="1"/>
      <c r="IS1401" s="1"/>
      <c r="IT1401" s="1"/>
      <c r="IU1401" s="1"/>
      <c r="IV1401" s="1"/>
      <c r="IW1401" s="1"/>
      <c r="IX1401" s="1"/>
      <c r="IY1401" s="1"/>
      <c r="IZ1401" s="1"/>
      <c r="JA1401" s="1"/>
      <c r="JB1401" s="1"/>
      <c r="JC1401" s="1"/>
      <c r="JD1401" s="1"/>
    </row>
    <row r="1402" s="504" customFormat="true" ht="12.75" hidden="false" customHeight="true" outlineLevel="0" collapsed="false">
      <c r="A1402" s="5"/>
      <c r="B1402" s="5"/>
      <c r="C1402" s="5"/>
      <c r="D1402" s="8"/>
      <c r="E1402" s="8"/>
      <c r="F1402" s="8"/>
      <c r="G1402" s="5"/>
      <c r="H1402" s="5"/>
      <c r="I1402" s="5"/>
      <c r="J1402" s="8"/>
      <c r="K1402" s="8"/>
      <c r="L1402" s="5"/>
      <c r="M1402" s="8"/>
      <c r="N1402" s="8"/>
      <c r="O1402" s="8"/>
      <c r="P1402" s="8"/>
      <c r="Q1402" s="5"/>
      <c r="R1402" s="5"/>
      <c r="S1402" s="5"/>
      <c r="T1402" s="5"/>
      <c r="U1402" s="5"/>
      <c r="V1402" s="10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02"/>
      <c r="AU1402" s="502"/>
      <c r="AV1402" s="606"/>
      <c r="AW1402" s="502"/>
      <c r="AX1402" s="502"/>
      <c r="AY1402" s="502"/>
      <c r="AZ1402" s="502"/>
      <c r="BA1402" s="502"/>
      <c r="BB1402" s="502"/>
      <c r="BC1402" s="502"/>
      <c r="BD1402" s="502"/>
      <c r="BE1402" s="502"/>
      <c r="BF1402" s="502"/>
      <c r="BG1402" s="502"/>
      <c r="BH1402" s="502"/>
      <c r="BI1402" s="502"/>
      <c r="BJ1402" s="502"/>
      <c r="BK1402" s="502"/>
      <c r="BL1402" s="502"/>
      <c r="BM1402" s="502"/>
      <c r="BN1402" s="502"/>
      <c r="BO1402" s="502"/>
      <c r="BP1402" s="5"/>
      <c r="BQ1402" s="5"/>
      <c r="BR1402" s="5"/>
      <c r="BS1402" s="5"/>
      <c r="BT1402" s="5"/>
      <c r="BU1402" s="5"/>
      <c r="BV1402" s="5"/>
      <c r="BW1402" s="5"/>
      <c r="BX1402" s="5"/>
      <c r="BY1402" s="5"/>
      <c r="BZ1402" s="5"/>
      <c r="CA1402" s="5"/>
      <c r="CB1402" s="5"/>
      <c r="CC1402" s="5"/>
      <c r="CD1402" s="5"/>
      <c r="CE1402" s="5"/>
      <c r="CF1402" s="5"/>
      <c r="CG1402" s="5"/>
      <c r="CH1402" s="5"/>
      <c r="CI1402" s="5"/>
      <c r="CJ1402" s="5"/>
      <c r="CK1402" s="5"/>
      <c r="CL1402" s="5"/>
      <c r="CM1402" s="5"/>
      <c r="CN1402" s="5"/>
      <c r="CO1402" s="5"/>
      <c r="CP1402" s="5"/>
      <c r="CQ1402" s="5"/>
      <c r="CR1402" s="5"/>
      <c r="CS1402" s="5"/>
      <c r="CT1402" s="5"/>
      <c r="CU1402" s="5"/>
      <c r="CV1402" s="5"/>
      <c r="CW1402" s="5"/>
      <c r="CX1402" s="5"/>
      <c r="CY1402" s="5"/>
      <c r="CZ1402" s="5"/>
      <c r="DA1402" s="5"/>
      <c r="DB1402" s="5"/>
      <c r="DC1402" s="5"/>
      <c r="DD1402" s="5"/>
      <c r="DE1402" s="5"/>
      <c r="DF1402" s="5"/>
      <c r="DG1402" s="5"/>
      <c r="DH1402" s="5"/>
      <c r="DI1402" s="5"/>
      <c r="DJ1402" s="5"/>
      <c r="DK1402" s="5"/>
      <c r="DL1402" s="5"/>
      <c r="DM1402" s="5"/>
      <c r="DN1402" s="5"/>
      <c r="DO1402" s="5"/>
      <c r="DP1402" s="5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  <c r="GT1402" s="1"/>
      <c r="GU1402" s="1"/>
      <c r="GV1402" s="1"/>
      <c r="GW1402" s="1"/>
      <c r="GX1402" s="1"/>
      <c r="GY1402" s="1"/>
      <c r="GZ1402" s="1"/>
      <c r="HA1402" s="1"/>
      <c r="HB1402" s="1"/>
      <c r="HC1402" s="1"/>
      <c r="HD1402" s="1"/>
      <c r="HE1402" s="1"/>
      <c r="HF1402" s="1"/>
      <c r="HG1402" s="1"/>
      <c r="HH1402" s="1"/>
      <c r="HI1402" s="1"/>
      <c r="HJ1402" s="1"/>
      <c r="HK1402" s="1"/>
      <c r="HL1402" s="1"/>
      <c r="HM1402" s="1"/>
      <c r="HN1402" s="1"/>
      <c r="HO1402" s="1"/>
      <c r="HP1402" s="1"/>
      <c r="HQ1402" s="1"/>
      <c r="HR1402" s="1"/>
      <c r="HS1402" s="1"/>
      <c r="HT1402" s="1"/>
      <c r="HU1402" s="1"/>
      <c r="HV1402" s="1"/>
      <c r="HW1402" s="1"/>
      <c r="HX1402" s="1"/>
      <c r="HY1402" s="1"/>
      <c r="HZ1402" s="1"/>
      <c r="IA1402" s="1"/>
      <c r="IB1402" s="1"/>
      <c r="IC1402" s="1"/>
      <c r="ID1402" s="1"/>
      <c r="IE1402" s="1"/>
      <c r="IF1402" s="1"/>
      <c r="IG1402" s="1"/>
      <c r="IH1402" s="1"/>
      <c r="II1402" s="1"/>
      <c r="IJ1402" s="1"/>
      <c r="IK1402" s="1"/>
      <c r="IL1402" s="1"/>
      <c r="IM1402" s="1"/>
      <c r="IN1402" s="1"/>
      <c r="IO1402" s="1"/>
      <c r="IP1402" s="1"/>
      <c r="IQ1402" s="1"/>
      <c r="IR1402" s="1"/>
      <c r="IS1402" s="1"/>
      <c r="IT1402" s="1"/>
      <c r="IU1402" s="1"/>
      <c r="IV1402" s="1"/>
      <c r="IW1402" s="1"/>
      <c r="IX1402" s="1"/>
      <c r="IY1402" s="1"/>
      <c r="IZ1402" s="1"/>
      <c r="JA1402" s="1"/>
      <c r="JB1402" s="1"/>
      <c r="JC1402" s="1"/>
      <c r="JD1402" s="1"/>
    </row>
    <row r="1403" s="504" customFormat="true" ht="12.75" hidden="false" customHeight="true" outlineLevel="0" collapsed="false">
      <c r="A1403" s="5"/>
      <c r="B1403" s="5"/>
      <c r="C1403" s="5"/>
      <c r="D1403" s="8"/>
      <c r="E1403" s="8"/>
      <c r="F1403" s="8"/>
      <c r="G1403" s="5"/>
      <c r="H1403" s="5"/>
      <c r="I1403" s="5"/>
      <c r="J1403" s="8"/>
      <c r="K1403" s="8"/>
      <c r="L1403" s="5"/>
      <c r="M1403" s="8"/>
      <c r="N1403" s="8"/>
      <c r="O1403" s="8"/>
      <c r="P1403" s="8"/>
      <c r="Q1403" s="5"/>
      <c r="R1403" s="5"/>
      <c r="S1403" s="5"/>
      <c r="T1403" s="5"/>
      <c r="U1403" s="5"/>
      <c r="V1403" s="10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02"/>
      <c r="AU1403" s="502"/>
      <c r="AV1403" s="606"/>
      <c r="AW1403" s="502"/>
      <c r="AX1403" s="502"/>
      <c r="AY1403" s="502"/>
      <c r="AZ1403" s="502"/>
      <c r="BA1403" s="502"/>
      <c r="BB1403" s="502"/>
      <c r="BC1403" s="502"/>
      <c r="BD1403" s="502"/>
      <c r="BE1403" s="502"/>
      <c r="BF1403" s="502"/>
      <c r="BG1403" s="502"/>
      <c r="BH1403" s="502"/>
      <c r="BI1403" s="502"/>
      <c r="BJ1403" s="502"/>
      <c r="BK1403" s="502"/>
      <c r="BL1403" s="502"/>
      <c r="BM1403" s="502"/>
      <c r="BN1403" s="502"/>
      <c r="BO1403" s="502"/>
      <c r="BP1403" s="5"/>
      <c r="BQ1403" s="5"/>
      <c r="BR1403" s="5"/>
      <c r="BS1403" s="5"/>
      <c r="BT1403" s="5"/>
      <c r="BU1403" s="5"/>
      <c r="BV1403" s="5"/>
      <c r="BW1403" s="5"/>
      <c r="BX1403" s="5"/>
      <c r="BY1403" s="5"/>
      <c r="BZ1403" s="5"/>
      <c r="CA1403" s="5"/>
      <c r="CB1403" s="5"/>
      <c r="CC1403" s="5"/>
      <c r="CD1403" s="5"/>
      <c r="CE1403" s="5"/>
      <c r="CF1403" s="5"/>
      <c r="CG1403" s="5"/>
      <c r="CH1403" s="5"/>
      <c r="CI1403" s="5"/>
      <c r="CJ1403" s="5"/>
      <c r="CK1403" s="5"/>
      <c r="CL1403" s="5"/>
      <c r="CM1403" s="5"/>
      <c r="CN1403" s="5"/>
      <c r="CO1403" s="5"/>
      <c r="CP1403" s="5"/>
      <c r="CQ1403" s="5"/>
      <c r="CR1403" s="5"/>
      <c r="CS1403" s="5"/>
      <c r="CT1403" s="5"/>
      <c r="CU1403" s="5"/>
      <c r="CV1403" s="5"/>
      <c r="CW1403" s="5"/>
      <c r="CX1403" s="5"/>
      <c r="CY1403" s="5"/>
      <c r="CZ1403" s="5"/>
      <c r="DA1403" s="5"/>
      <c r="DB1403" s="5"/>
      <c r="DC1403" s="5"/>
      <c r="DD1403" s="5"/>
      <c r="DE1403" s="5"/>
      <c r="DF1403" s="5"/>
      <c r="DG1403" s="5"/>
      <c r="DH1403" s="5"/>
      <c r="DI1403" s="5"/>
      <c r="DJ1403" s="5"/>
      <c r="DK1403" s="5"/>
      <c r="DL1403" s="5"/>
      <c r="DM1403" s="5"/>
      <c r="DN1403" s="5"/>
      <c r="DO1403" s="5"/>
      <c r="DP1403" s="5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  <c r="GT1403" s="1"/>
      <c r="GU1403" s="1"/>
      <c r="GV1403" s="1"/>
      <c r="GW1403" s="1"/>
      <c r="GX1403" s="1"/>
      <c r="GY1403" s="1"/>
      <c r="GZ1403" s="1"/>
      <c r="HA1403" s="1"/>
      <c r="HB1403" s="1"/>
      <c r="HC1403" s="1"/>
      <c r="HD1403" s="1"/>
      <c r="HE1403" s="1"/>
      <c r="HF1403" s="1"/>
      <c r="HG1403" s="1"/>
      <c r="HH1403" s="1"/>
      <c r="HI1403" s="1"/>
      <c r="HJ1403" s="1"/>
      <c r="HK1403" s="1"/>
      <c r="HL1403" s="1"/>
      <c r="HM1403" s="1"/>
      <c r="HN1403" s="1"/>
      <c r="HO1403" s="1"/>
      <c r="HP1403" s="1"/>
      <c r="HQ1403" s="1"/>
      <c r="HR1403" s="1"/>
      <c r="HS1403" s="1"/>
      <c r="HT1403" s="1"/>
      <c r="HU1403" s="1"/>
      <c r="HV1403" s="1"/>
      <c r="HW1403" s="1"/>
      <c r="HX1403" s="1"/>
      <c r="HY1403" s="1"/>
      <c r="HZ1403" s="1"/>
      <c r="IA1403" s="1"/>
      <c r="IB1403" s="1"/>
      <c r="IC1403" s="1"/>
      <c r="ID1403" s="1"/>
      <c r="IE1403" s="1"/>
      <c r="IF1403" s="1"/>
      <c r="IG1403" s="1"/>
      <c r="IH1403" s="1"/>
      <c r="II1403" s="1"/>
      <c r="IJ1403" s="1"/>
      <c r="IK1403" s="1"/>
      <c r="IL1403" s="1"/>
      <c r="IM1403" s="1"/>
      <c r="IN1403" s="1"/>
      <c r="IO1403" s="1"/>
      <c r="IP1403" s="1"/>
      <c r="IQ1403" s="1"/>
      <c r="IR1403" s="1"/>
      <c r="IS1403" s="1"/>
      <c r="IT1403" s="1"/>
      <c r="IU1403" s="1"/>
      <c r="IV1403" s="1"/>
      <c r="IW1403" s="1"/>
      <c r="IX1403" s="1"/>
      <c r="IY1403" s="1"/>
      <c r="IZ1403" s="1"/>
      <c r="JA1403" s="1"/>
      <c r="JB1403" s="1"/>
      <c r="JC1403" s="1"/>
      <c r="JD1403" s="1"/>
    </row>
    <row r="1404" s="504" customFormat="true" ht="12.75" hidden="false" customHeight="true" outlineLevel="0" collapsed="false">
      <c r="A1404" s="5"/>
      <c r="B1404" s="5"/>
      <c r="C1404" s="5"/>
      <c r="D1404" s="8"/>
      <c r="E1404" s="8"/>
      <c r="F1404" s="8"/>
      <c r="G1404" s="5"/>
      <c r="H1404" s="5"/>
      <c r="I1404" s="5"/>
      <c r="J1404" s="8"/>
      <c r="K1404" s="8"/>
      <c r="L1404" s="5"/>
      <c r="M1404" s="8"/>
      <c r="N1404" s="8"/>
      <c r="O1404" s="8"/>
      <c r="P1404" s="8"/>
      <c r="Q1404" s="5"/>
      <c r="R1404" s="5"/>
      <c r="S1404" s="5"/>
      <c r="T1404" s="5"/>
      <c r="U1404" s="5"/>
      <c r="V1404" s="10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02"/>
      <c r="AU1404" s="502"/>
      <c r="AV1404" s="606"/>
      <c r="AW1404" s="502"/>
      <c r="AX1404" s="502"/>
      <c r="AY1404" s="502"/>
      <c r="AZ1404" s="502"/>
      <c r="BA1404" s="502"/>
      <c r="BB1404" s="502"/>
      <c r="BC1404" s="502"/>
      <c r="BD1404" s="502"/>
      <c r="BE1404" s="502"/>
      <c r="BF1404" s="502"/>
      <c r="BG1404" s="502"/>
      <c r="BH1404" s="502"/>
      <c r="BI1404" s="502"/>
      <c r="BJ1404" s="502"/>
      <c r="BK1404" s="502"/>
      <c r="BL1404" s="502"/>
      <c r="BM1404" s="502"/>
      <c r="BN1404" s="502"/>
      <c r="BO1404" s="502"/>
      <c r="BP1404" s="5"/>
      <c r="BQ1404" s="5"/>
      <c r="BR1404" s="5"/>
      <c r="BS1404" s="5"/>
      <c r="BT1404" s="5"/>
      <c r="BU1404" s="5"/>
      <c r="BV1404" s="5"/>
      <c r="BW1404" s="5"/>
      <c r="BX1404" s="5"/>
      <c r="BY1404" s="5"/>
      <c r="BZ1404" s="5"/>
      <c r="CA1404" s="5"/>
      <c r="CB1404" s="5"/>
      <c r="CC1404" s="5"/>
      <c r="CD1404" s="5"/>
      <c r="CE1404" s="5"/>
      <c r="CF1404" s="5"/>
      <c r="CG1404" s="5"/>
      <c r="CH1404" s="5"/>
      <c r="CI1404" s="5"/>
      <c r="CJ1404" s="5"/>
      <c r="CK1404" s="5"/>
      <c r="CL1404" s="5"/>
      <c r="CM1404" s="5"/>
      <c r="CN1404" s="5"/>
      <c r="CO1404" s="5"/>
      <c r="CP1404" s="5"/>
      <c r="CQ1404" s="5"/>
      <c r="CR1404" s="5"/>
      <c r="CS1404" s="5"/>
      <c r="CT1404" s="5"/>
      <c r="CU1404" s="5"/>
      <c r="CV1404" s="5"/>
      <c r="CW1404" s="5"/>
      <c r="CX1404" s="5"/>
      <c r="CY1404" s="5"/>
      <c r="CZ1404" s="5"/>
      <c r="DA1404" s="5"/>
      <c r="DB1404" s="5"/>
      <c r="DC1404" s="5"/>
      <c r="DD1404" s="5"/>
      <c r="DE1404" s="5"/>
      <c r="DF1404" s="5"/>
      <c r="DG1404" s="5"/>
      <c r="DH1404" s="5"/>
      <c r="DI1404" s="5"/>
      <c r="DJ1404" s="5"/>
      <c r="DK1404" s="5"/>
      <c r="DL1404" s="5"/>
      <c r="DM1404" s="5"/>
      <c r="DN1404" s="5"/>
      <c r="DO1404" s="5"/>
      <c r="DP1404" s="5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  <c r="GV1404" s="1"/>
      <c r="GW1404" s="1"/>
      <c r="GX1404" s="1"/>
      <c r="GY1404" s="1"/>
      <c r="GZ1404" s="1"/>
      <c r="HA1404" s="1"/>
      <c r="HB1404" s="1"/>
      <c r="HC1404" s="1"/>
      <c r="HD1404" s="1"/>
      <c r="HE1404" s="1"/>
      <c r="HF1404" s="1"/>
      <c r="HG1404" s="1"/>
      <c r="HH1404" s="1"/>
      <c r="HI1404" s="1"/>
      <c r="HJ1404" s="1"/>
      <c r="HK1404" s="1"/>
      <c r="HL1404" s="1"/>
      <c r="HM1404" s="1"/>
      <c r="HN1404" s="1"/>
      <c r="HO1404" s="1"/>
      <c r="HP1404" s="1"/>
      <c r="HQ1404" s="1"/>
      <c r="HR1404" s="1"/>
      <c r="HS1404" s="1"/>
      <c r="HT1404" s="1"/>
      <c r="HU1404" s="1"/>
      <c r="HV1404" s="1"/>
      <c r="HW1404" s="1"/>
      <c r="HX1404" s="1"/>
      <c r="HY1404" s="1"/>
      <c r="HZ1404" s="1"/>
      <c r="IA1404" s="1"/>
      <c r="IB1404" s="1"/>
      <c r="IC1404" s="1"/>
      <c r="ID1404" s="1"/>
      <c r="IE1404" s="1"/>
      <c r="IF1404" s="1"/>
      <c r="IG1404" s="1"/>
      <c r="IH1404" s="1"/>
      <c r="II1404" s="1"/>
      <c r="IJ1404" s="1"/>
      <c r="IK1404" s="1"/>
      <c r="IL1404" s="1"/>
      <c r="IM1404" s="1"/>
      <c r="IN1404" s="1"/>
      <c r="IO1404" s="1"/>
      <c r="IP1404" s="1"/>
      <c r="IQ1404" s="1"/>
      <c r="IR1404" s="1"/>
      <c r="IS1404" s="1"/>
      <c r="IT1404" s="1"/>
      <c r="IU1404" s="1"/>
      <c r="IV1404" s="1"/>
      <c r="IW1404" s="1"/>
      <c r="IX1404" s="1"/>
      <c r="IY1404" s="1"/>
      <c r="IZ1404" s="1"/>
      <c r="JA1404" s="1"/>
      <c r="JB1404" s="1"/>
      <c r="JC1404" s="1"/>
      <c r="JD1404" s="1"/>
    </row>
    <row r="1405" s="504" customFormat="true" ht="12.75" hidden="false" customHeight="true" outlineLevel="0" collapsed="false">
      <c r="A1405" s="5"/>
      <c r="B1405" s="5"/>
      <c r="C1405" s="5"/>
      <c r="D1405" s="8"/>
      <c r="E1405" s="8"/>
      <c r="F1405" s="8"/>
      <c r="G1405" s="5"/>
      <c r="H1405" s="5"/>
      <c r="I1405" s="5"/>
      <c r="J1405" s="8"/>
      <c r="K1405" s="8"/>
      <c r="L1405" s="5"/>
      <c r="M1405" s="8"/>
      <c r="N1405" s="8"/>
      <c r="O1405" s="8"/>
      <c r="P1405" s="8"/>
      <c r="Q1405" s="5"/>
      <c r="R1405" s="5"/>
      <c r="S1405" s="5"/>
      <c r="T1405" s="5"/>
      <c r="U1405" s="5"/>
      <c r="V1405" s="10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02"/>
      <c r="AU1405" s="502"/>
      <c r="AV1405" s="606"/>
      <c r="AW1405" s="502"/>
      <c r="AX1405" s="502"/>
      <c r="AY1405" s="502"/>
      <c r="AZ1405" s="502"/>
      <c r="BA1405" s="502"/>
      <c r="BB1405" s="502"/>
      <c r="BC1405" s="502"/>
      <c r="BD1405" s="502"/>
      <c r="BE1405" s="502"/>
      <c r="BF1405" s="502"/>
      <c r="BG1405" s="502"/>
      <c r="BH1405" s="502"/>
      <c r="BI1405" s="502"/>
      <c r="BJ1405" s="502"/>
      <c r="BK1405" s="502"/>
      <c r="BL1405" s="502"/>
      <c r="BM1405" s="502"/>
      <c r="BN1405" s="502"/>
      <c r="BO1405" s="502"/>
      <c r="BP1405" s="5"/>
      <c r="BQ1405" s="5"/>
      <c r="BR1405" s="5"/>
      <c r="BS1405" s="5"/>
      <c r="BT1405" s="5"/>
      <c r="BU1405" s="5"/>
      <c r="BV1405" s="5"/>
      <c r="BW1405" s="5"/>
      <c r="BX1405" s="5"/>
      <c r="BY1405" s="5"/>
      <c r="BZ1405" s="5"/>
      <c r="CA1405" s="5"/>
      <c r="CB1405" s="5"/>
      <c r="CC1405" s="5"/>
      <c r="CD1405" s="5"/>
      <c r="CE1405" s="5"/>
      <c r="CF1405" s="5"/>
      <c r="CG1405" s="5"/>
      <c r="CH1405" s="5"/>
      <c r="CI1405" s="5"/>
      <c r="CJ1405" s="5"/>
      <c r="CK1405" s="5"/>
      <c r="CL1405" s="5"/>
      <c r="CM1405" s="5"/>
      <c r="CN1405" s="5"/>
      <c r="CO1405" s="5"/>
      <c r="CP1405" s="5"/>
      <c r="CQ1405" s="5"/>
      <c r="CR1405" s="5"/>
      <c r="CS1405" s="5"/>
      <c r="CT1405" s="5"/>
      <c r="CU1405" s="5"/>
      <c r="CV1405" s="5"/>
      <c r="CW1405" s="5"/>
      <c r="CX1405" s="5"/>
      <c r="CY1405" s="5"/>
      <c r="CZ1405" s="5"/>
      <c r="DA1405" s="5"/>
      <c r="DB1405" s="5"/>
      <c r="DC1405" s="5"/>
      <c r="DD1405" s="5"/>
      <c r="DE1405" s="5"/>
      <c r="DF1405" s="5"/>
      <c r="DG1405" s="5"/>
      <c r="DH1405" s="5"/>
      <c r="DI1405" s="5"/>
      <c r="DJ1405" s="5"/>
      <c r="DK1405" s="5"/>
      <c r="DL1405" s="5"/>
      <c r="DM1405" s="5"/>
      <c r="DN1405" s="5"/>
      <c r="DO1405" s="5"/>
      <c r="DP1405" s="5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  <c r="GV1405" s="1"/>
      <c r="GW1405" s="1"/>
      <c r="GX1405" s="1"/>
      <c r="GY1405" s="1"/>
      <c r="GZ1405" s="1"/>
      <c r="HA1405" s="1"/>
      <c r="HB1405" s="1"/>
      <c r="HC1405" s="1"/>
      <c r="HD1405" s="1"/>
      <c r="HE1405" s="1"/>
      <c r="HF1405" s="1"/>
      <c r="HG1405" s="1"/>
      <c r="HH1405" s="1"/>
      <c r="HI1405" s="1"/>
      <c r="HJ1405" s="1"/>
      <c r="HK1405" s="1"/>
      <c r="HL1405" s="1"/>
      <c r="HM1405" s="1"/>
      <c r="HN1405" s="1"/>
      <c r="HO1405" s="1"/>
      <c r="HP1405" s="1"/>
      <c r="HQ1405" s="1"/>
      <c r="HR1405" s="1"/>
      <c r="HS1405" s="1"/>
      <c r="HT1405" s="1"/>
      <c r="HU1405" s="1"/>
      <c r="HV1405" s="1"/>
      <c r="HW1405" s="1"/>
      <c r="HX1405" s="1"/>
      <c r="HY1405" s="1"/>
      <c r="HZ1405" s="1"/>
      <c r="IA1405" s="1"/>
      <c r="IB1405" s="1"/>
      <c r="IC1405" s="1"/>
      <c r="ID1405" s="1"/>
      <c r="IE1405" s="1"/>
      <c r="IF1405" s="1"/>
      <c r="IG1405" s="1"/>
      <c r="IH1405" s="1"/>
      <c r="II1405" s="1"/>
      <c r="IJ1405" s="1"/>
      <c r="IK1405" s="1"/>
      <c r="IL1405" s="1"/>
      <c r="IM1405" s="1"/>
      <c r="IN1405" s="1"/>
      <c r="IO1405" s="1"/>
      <c r="IP1405" s="1"/>
      <c r="IQ1405" s="1"/>
      <c r="IR1405" s="1"/>
      <c r="IS1405" s="1"/>
      <c r="IT1405" s="1"/>
      <c r="IU1405" s="1"/>
      <c r="IV1405" s="1"/>
      <c r="IW1405" s="1"/>
      <c r="IX1405" s="1"/>
      <c r="IY1405" s="1"/>
      <c r="IZ1405" s="1"/>
      <c r="JA1405" s="1"/>
      <c r="JB1405" s="1"/>
      <c r="JC1405" s="1"/>
      <c r="JD1405" s="1"/>
    </row>
    <row r="1406" s="504" customFormat="true" ht="12.75" hidden="false" customHeight="true" outlineLevel="0" collapsed="false">
      <c r="A1406" s="5"/>
      <c r="B1406" s="5"/>
      <c r="C1406" s="5"/>
      <c r="D1406" s="8"/>
      <c r="E1406" s="8"/>
      <c r="F1406" s="8"/>
      <c r="G1406" s="5"/>
      <c r="H1406" s="5"/>
      <c r="I1406" s="5"/>
      <c r="J1406" s="8"/>
      <c r="K1406" s="8"/>
      <c r="L1406" s="5"/>
      <c r="M1406" s="8"/>
      <c r="N1406" s="8"/>
      <c r="O1406" s="8"/>
      <c r="P1406" s="8"/>
      <c r="Q1406" s="5"/>
      <c r="R1406" s="5"/>
      <c r="S1406" s="5"/>
      <c r="T1406" s="5"/>
      <c r="U1406" s="5"/>
      <c r="V1406" s="10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02"/>
      <c r="AU1406" s="502"/>
      <c r="AV1406" s="606"/>
      <c r="AW1406" s="502"/>
      <c r="AX1406" s="502"/>
      <c r="AY1406" s="502"/>
      <c r="AZ1406" s="502"/>
      <c r="BA1406" s="502"/>
      <c r="BB1406" s="502"/>
      <c r="BC1406" s="502"/>
      <c r="BD1406" s="502"/>
      <c r="BE1406" s="502"/>
      <c r="BF1406" s="502"/>
      <c r="BG1406" s="502"/>
      <c r="BH1406" s="502"/>
      <c r="BI1406" s="502"/>
      <c r="BJ1406" s="502"/>
      <c r="BK1406" s="502"/>
      <c r="BL1406" s="502"/>
      <c r="BM1406" s="502"/>
      <c r="BN1406" s="502"/>
      <c r="BO1406" s="502"/>
      <c r="BP1406" s="5"/>
      <c r="BQ1406" s="5"/>
      <c r="BR1406" s="5"/>
      <c r="BS1406" s="5"/>
      <c r="BT1406" s="5"/>
      <c r="BU1406" s="5"/>
      <c r="BV1406" s="5"/>
      <c r="BW1406" s="5"/>
      <c r="BX1406" s="5"/>
      <c r="BY1406" s="5"/>
      <c r="BZ1406" s="5"/>
      <c r="CA1406" s="5"/>
      <c r="CB1406" s="5"/>
      <c r="CC1406" s="5"/>
      <c r="CD1406" s="5"/>
      <c r="CE1406" s="5"/>
      <c r="CF1406" s="5"/>
      <c r="CG1406" s="5"/>
      <c r="CH1406" s="5"/>
      <c r="CI1406" s="5"/>
      <c r="CJ1406" s="5"/>
      <c r="CK1406" s="5"/>
      <c r="CL1406" s="5"/>
      <c r="CM1406" s="5"/>
      <c r="CN1406" s="5"/>
      <c r="CO1406" s="5"/>
      <c r="CP1406" s="5"/>
      <c r="CQ1406" s="5"/>
      <c r="CR1406" s="5"/>
      <c r="CS1406" s="5"/>
      <c r="CT1406" s="5"/>
      <c r="CU1406" s="5"/>
      <c r="CV1406" s="5"/>
      <c r="CW1406" s="5"/>
      <c r="CX1406" s="5"/>
      <c r="CY1406" s="5"/>
      <c r="CZ1406" s="5"/>
      <c r="DA1406" s="5"/>
      <c r="DB1406" s="5"/>
      <c r="DC1406" s="5"/>
      <c r="DD1406" s="5"/>
      <c r="DE1406" s="5"/>
      <c r="DF1406" s="5"/>
      <c r="DG1406" s="5"/>
      <c r="DH1406" s="5"/>
      <c r="DI1406" s="5"/>
      <c r="DJ1406" s="5"/>
      <c r="DK1406" s="5"/>
      <c r="DL1406" s="5"/>
      <c r="DM1406" s="5"/>
      <c r="DN1406" s="5"/>
      <c r="DO1406" s="5"/>
      <c r="DP1406" s="5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  <c r="GT1406" s="1"/>
      <c r="GU1406" s="1"/>
      <c r="GV1406" s="1"/>
      <c r="GW1406" s="1"/>
      <c r="GX1406" s="1"/>
      <c r="GY1406" s="1"/>
      <c r="GZ1406" s="1"/>
      <c r="HA1406" s="1"/>
      <c r="HB1406" s="1"/>
      <c r="HC1406" s="1"/>
      <c r="HD1406" s="1"/>
      <c r="HE1406" s="1"/>
      <c r="HF1406" s="1"/>
      <c r="HG1406" s="1"/>
      <c r="HH1406" s="1"/>
      <c r="HI1406" s="1"/>
      <c r="HJ1406" s="1"/>
      <c r="HK1406" s="1"/>
      <c r="HL1406" s="1"/>
      <c r="HM1406" s="1"/>
      <c r="HN1406" s="1"/>
      <c r="HO1406" s="1"/>
      <c r="HP1406" s="1"/>
      <c r="HQ1406" s="1"/>
      <c r="HR1406" s="1"/>
      <c r="HS1406" s="1"/>
      <c r="HT1406" s="1"/>
      <c r="HU1406" s="1"/>
      <c r="HV1406" s="1"/>
      <c r="HW1406" s="1"/>
      <c r="HX1406" s="1"/>
      <c r="HY1406" s="1"/>
      <c r="HZ1406" s="1"/>
      <c r="IA1406" s="1"/>
      <c r="IB1406" s="1"/>
      <c r="IC1406" s="1"/>
      <c r="ID1406" s="1"/>
      <c r="IE1406" s="1"/>
      <c r="IF1406" s="1"/>
      <c r="IG1406" s="1"/>
      <c r="IH1406" s="1"/>
      <c r="II1406" s="1"/>
      <c r="IJ1406" s="1"/>
      <c r="IK1406" s="1"/>
      <c r="IL1406" s="1"/>
      <c r="IM1406" s="1"/>
      <c r="IN1406" s="1"/>
      <c r="IO1406" s="1"/>
      <c r="IP1406" s="1"/>
      <c r="IQ1406" s="1"/>
      <c r="IR1406" s="1"/>
      <c r="IS1406" s="1"/>
      <c r="IT1406" s="1"/>
      <c r="IU1406" s="1"/>
      <c r="IV1406" s="1"/>
      <c r="IW1406" s="1"/>
      <c r="IX1406" s="1"/>
      <c r="IY1406" s="1"/>
      <c r="IZ1406" s="1"/>
      <c r="JA1406" s="1"/>
      <c r="JB1406" s="1"/>
      <c r="JC1406" s="1"/>
      <c r="JD1406" s="1"/>
    </row>
    <row r="1407" s="504" customFormat="true" ht="12.75" hidden="false" customHeight="true" outlineLevel="0" collapsed="false">
      <c r="A1407" s="5"/>
      <c r="B1407" s="5"/>
      <c r="C1407" s="5"/>
      <c r="D1407" s="8"/>
      <c r="E1407" s="8"/>
      <c r="F1407" s="8"/>
      <c r="G1407" s="5"/>
      <c r="H1407" s="5"/>
      <c r="I1407" s="5"/>
      <c r="J1407" s="8"/>
      <c r="K1407" s="8"/>
      <c r="L1407" s="5"/>
      <c r="M1407" s="8"/>
      <c r="N1407" s="8"/>
      <c r="O1407" s="8"/>
      <c r="P1407" s="8"/>
      <c r="Q1407" s="5"/>
      <c r="R1407" s="5"/>
      <c r="S1407" s="5"/>
      <c r="T1407" s="5"/>
      <c r="U1407" s="5"/>
      <c r="V1407" s="10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02"/>
      <c r="AU1407" s="502"/>
      <c r="AV1407" s="606"/>
      <c r="AW1407" s="502"/>
      <c r="AX1407" s="502"/>
      <c r="AY1407" s="502"/>
      <c r="AZ1407" s="502"/>
      <c r="BA1407" s="502"/>
      <c r="BB1407" s="502"/>
      <c r="BC1407" s="502"/>
      <c r="BD1407" s="502"/>
      <c r="BE1407" s="502"/>
      <c r="BF1407" s="502"/>
      <c r="BG1407" s="502"/>
      <c r="BH1407" s="502"/>
      <c r="BI1407" s="502"/>
      <c r="BJ1407" s="502"/>
      <c r="BK1407" s="502"/>
      <c r="BL1407" s="502"/>
      <c r="BM1407" s="502"/>
      <c r="BN1407" s="502"/>
      <c r="BO1407" s="502"/>
      <c r="BP1407" s="5"/>
      <c r="BQ1407" s="5"/>
      <c r="BR1407" s="5"/>
      <c r="BS1407" s="5"/>
      <c r="BT1407" s="5"/>
      <c r="BU1407" s="5"/>
      <c r="BV1407" s="5"/>
      <c r="BW1407" s="5"/>
      <c r="BX1407" s="5"/>
      <c r="BY1407" s="5"/>
      <c r="BZ1407" s="5"/>
      <c r="CA1407" s="5"/>
      <c r="CB1407" s="5"/>
      <c r="CC1407" s="5"/>
      <c r="CD1407" s="5"/>
      <c r="CE1407" s="5"/>
      <c r="CF1407" s="5"/>
      <c r="CG1407" s="5"/>
      <c r="CH1407" s="5"/>
      <c r="CI1407" s="5"/>
      <c r="CJ1407" s="5"/>
      <c r="CK1407" s="5"/>
      <c r="CL1407" s="5"/>
      <c r="CM1407" s="5"/>
      <c r="CN1407" s="5"/>
      <c r="CO1407" s="5"/>
      <c r="CP1407" s="5"/>
      <c r="CQ1407" s="5"/>
      <c r="CR1407" s="5"/>
      <c r="CS1407" s="5"/>
      <c r="CT1407" s="5"/>
      <c r="CU1407" s="5"/>
      <c r="CV1407" s="5"/>
      <c r="CW1407" s="5"/>
      <c r="CX1407" s="5"/>
      <c r="CY1407" s="5"/>
      <c r="CZ1407" s="5"/>
      <c r="DA1407" s="5"/>
      <c r="DB1407" s="5"/>
      <c r="DC1407" s="5"/>
      <c r="DD1407" s="5"/>
      <c r="DE1407" s="5"/>
      <c r="DF1407" s="5"/>
      <c r="DG1407" s="5"/>
      <c r="DH1407" s="5"/>
      <c r="DI1407" s="5"/>
      <c r="DJ1407" s="5"/>
      <c r="DK1407" s="5"/>
      <c r="DL1407" s="5"/>
      <c r="DM1407" s="5"/>
      <c r="DN1407" s="5"/>
      <c r="DO1407" s="5"/>
      <c r="DP1407" s="5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  <c r="GT1407" s="1"/>
      <c r="GU1407" s="1"/>
      <c r="GV1407" s="1"/>
      <c r="GW1407" s="1"/>
      <c r="GX1407" s="1"/>
      <c r="GY1407" s="1"/>
      <c r="GZ1407" s="1"/>
      <c r="HA1407" s="1"/>
      <c r="HB1407" s="1"/>
      <c r="HC1407" s="1"/>
      <c r="HD1407" s="1"/>
      <c r="HE1407" s="1"/>
      <c r="HF1407" s="1"/>
      <c r="HG1407" s="1"/>
      <c r="HH1407" s="1"/>
      <c r="HI1407" s="1"/>
      <c r="HJ1407" s="1"/>
      <c r="HK1407" s="1"/>
      <c r="HL1407" s="1"/>
      <c r="HM1407" s="1"/>
      <c r="HN1407" s="1"/>
      <c r="HO1407" s="1"/>
      <c r="HP1407" s="1"/>
      <c r="HQ1407" s="1"/>
      <c r="HR1407" s="1"/>
      <c r="HS1407" s="1"/>
      <c r="HT1407" s="1"/>
      <c r="HU1407" s="1"/>
      <c r="HV1407" s="1"/>
      <c r="HW1407" s="1"/>
      <c r="HX1407" s="1"/>
      <c r="HY1407" s="1"/>
      <c r="HZ1407" s="1"/>
      <c r="IA1407" s="1"/>
      <c r="IB1407" s="1"/>
      <c r="IC1407" s="1"/>
      <c r="ID1407" s="1"/>
      <c r="IE1407" s="1"/>
      <c r="IF1407" s="1"/>
      <c r="IG1407" s="1"/>
      <c r="IH1407" s="1"/>
      <c r="II1407" s="1"/>
      <c r="IJ1407" s="1"/>
      <c r="IK1407" s="1"/>
      <c r="IL1407" s="1"/>
      <c r="IM1407" s="1"/>
      <c r="IN1407" s="1"/>
      <c r="IO1407" s="1"/>
      <c r="IP1407" s="1"/>
      <c r="IQ1407" s="1"/>
      <c r="IR1407" s="1"/>
      <c r="IS1407" s="1"/>
      <c r="IT1407" s="1"/>
      <c r="IU1407" s="1"/>
      <c r="IV1407" s="1"/>
      <c r="IW1407" s="1"/>
      <c r="IX1407" s="1"/>
      <c r="IY1407" s="1"/>
      <c r="IZ1407" s="1"/>
      <c r="JA1407" s="1"/>
      <c r="JB1407" s="1"/>
      <c r="JC1407" s="1"/>
      <c r="JD1407" s="1"/>
    </row>
    <row r="1408" s="504" customFormat="true" ht="12.75" hidden="false" customHeight="true" outlineLevel="0" collapsed="false">
      <c r="A1408" s="5"/>
      <c r="B1408" s="5"/>
      <c r="C1408" s="5"/>
      <c r="D1408" s="8"/>
      <c r="E1408" s="8"/>
      <c r="F1408" s="8"/>
      <c r="G1408" s="5"/>
      <c r="H1408" s="5"/>
      <c r="I1408" s="5"/>
      <c r="J1408" s="8"/>
      <c r="K1408" s="8"/>
      <c r="L1408" s="5"/>
      <c r="M1408" s="8"/>
      <c r="N1408" s="8"/>
      <c r="O1408" s="8"/>
      <c r="P1408" s="8"/>
      <c r="Q1408" s="5"/>
      <c r="R1408" s="5"/>
      <c r="S1408" s="5"/>
      <c r="T1408" s="5"/>
      <c r="U1408" s="5"/>
      <c r="V1408" s="10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02"/>
      <c r="AU1408" s="502"/>
      <c r="AV1408" s="606"/>
      <c r="AW1408" s="502"/>
      <c r="AX1408" s="502"/>
      <c r="AY1408" s="502"/>
      <c r="AZ1408" s="502"/>
      <c r="BA1408" s="502"/>
      <c r="BB1408" s="502"/>
      <c r="BC1408" s="502"/>
      <c r="BD1408" s="502"/>
      <c r="BE1408" s="502"/>
      <c r="BF1408" s="502"/>
      <c r="BG1408" s="502"/>
      <c r="BH1408" s="502"/>
      <c r="BI1408" s="502"/>
      <c r="BJ1408" s="502"/>
      <c r="BK1408" s="502"/>
      <c r="BL1408" s="502"/>
      <c r="BM1408" s="502"/>
      <c r="BN1408" s="502"/>
      <c r="BO1408" s="502"/>
      <c r="BP1408" s="5"/>
      <c r="BQ1408" s="5"/>
      <c r="BR1408" s="5"/>
      <c r="BS1408" s="5"/>
      <c r="BT1408" s="5"/>
      <c r="BU1408" s="5"/>
      <c r="BV1408" s="5"/>
      <c r="BW1408" s="5"/>
      <c r="BX1408" s="5"/>
      <c r="BY1408" s="5"/>
      <c r="BZ1408" s="5"/>
      <c r="CA1408" s="5"/>
      <c r="CB1408" s="5"/>
      <c r="CC1408" s="5"/>
      <c r="CD1408" s="5"/>
      <c r="CE1408" s="5"/>
      <c r="CF1408" s="5"/>
      <c r="CG1408" s="5"/>
      <c r="CH1408" s="5"/>
      <c r="CI1408" s="5"/>
      <c r="CJ1408" s="5"/>
      <c r="CK1408" s="5"/>
      <c r="CL1408" s="5"/>
      <c r="CM1408" s="5"/>
      <c r="CN1408" s="5"/>
      <c r="CO1408" s="5"/>
      <c r="CP1408" s="5"/>
      <c r="CQ1408" s="5"/>
      <c r="CR1408" s="5"/>
      <c r="CS1408" s="5"/>
      <c r="CT1408" s="5"/>
      <c r="CU1408" s="5"/>
      <c r="CV1408" s="5"/>
      <c r="CW1408" s="5"/>
      <c r="CX1408" s="5"/>
      <c r="CY1408" s="5"/>
      <c r="CZ1408" s="5"/>
      <c r="DA1408" s="5"/>
      <c r="DB1408" s="5"/>
      <c r="DC1408" s="5"/>
      <c r="DD1408" s="5"/>
      <c r="DE1408" s="5"/>
      <c r="DF1408" s="5"/>
      <c r="DG1408" s="5"/>
      <c r="DH1408" s="5"/>
      <c r="DI1408" s="5"/>
      <c r="DJ1408" s="5"/>
      <c r="DK1408" s="5"/>
      <c r="DL1408" s="5"/>
      <c r="DM1408" s="5"/>
      <c r="DN1408" s="5"/>
      <c r="DO1408" s="5"/>
      <c r="DP1408" s="5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  <c r="GT1408" s="1"/>
      <c r="GU1408" s="1"/>
      <c r="GV1408" s="1"/>
      <c r="GW1408" s="1"/>
      <c r="GX1408" s="1"/>
      <c r="GY1408" s="1"/>
      <c r="GZ1408" s="1"/>
      <c r="HA1408" s="1"/>
      <c r="HB1408" s="1"/>
      <c r="HC1408" s="1"/>
      <c r="HD1408" s="1"/>
      <c r="HE1408" s="1"/>
      <c r="HF1408" s="1"/>
      <c r="HG1408" s="1"/>
      <c r="HH1408" s="1"/>
      <c r="HI1408" s="1"/>
      <c r="HJ1408" s="1"/>
      <c r="HK1408" s="1"/>
      <c r="HL1408" s="1"/>
      <c r="HM1408" s="1"/>
      <c r="HN1408" s="1"/>
      <c r="HO1408" s="1"/>
      <c r="HP1408" s="1"/>
      <c r="HQ1408" s="1"/>
      <c r="HR1408" s="1"/>
      <c r="HS1408" s="1"/>
      <c r="HT1408" s="1"/>
      <c r="HU1408" s="1"/>
      <c r="HV1408" s="1"/>
      <c r="HW1408" s="1"/>
      <c r="HX1408" s="1"/>
      <c r="HY1408" s="1"/>
      <c r="HZ1408" s="1"/>
      <c r="IA1408" s="1"/>
      <c r="IB1408" s="1"/>
      <c r="IC1408" s="1"/>
      <c r="ID1408" s="1"/>
      <c r="IE1408" s="1"/>
      <c r="IF1408" s="1"/>
      <c r="IG1408" s="1"/>
      <c r="IH1408" s="1"/>
      <c r="II1408" s="1"/>
      <c r="IJ1408" s="1"/>
      <c r="IK1408" s="1"/>
      <c r="IL1408" s="1"/>
      <c r="IM1408" s="1"/>
      <c r="IN1408" s="1"/>
      <c r="IO1408" s="1"/>
      <c r="IP1408" s="1"/>
      <c r="IQ1408" s="1"/>
      <c r="IR1408" s="1"/>
      <c r="IS1408" s="1"/>
      <c r="IT1408" s="1"/>
      <c r="IU1408" s="1"/>
      <c r="IV1408" s="1"/>
      <c r="IW1408" s="1"/>
      <c r="IX1408" s="1"/>
      <c r="IY1408" s="1"/>
      <c r="IZ1408" s="1"/>
      <c r="JA1408" s="1"/>
      <c r="JB1408" s="1"/>
      <c r="JC1408" s="1"/>
      <c r="JD1408" s="1"/>
    </row>
    <row r="1409" s="504" customFormat="true" ht="12.75" hidden="false" customHeight="true" outlineLevel="0" collapsed="false">
      <c r="A1409" s="5"/>
      <c r="B1409" s="5"/>
      <c r="C1409" s="5"/>
      <c r="D1409" s="8"/>
      <c r="E1409" s="8"/>
      <c r="F1409" s="8"/>
      <c r="G1409" s="5"/>
      <c r="H1409" s="5"/>
      <c r="I1409" s="5"/>
      <c r="J1409" s="8"/>
      <c r="K1409" s="8"/>
      <c r="L1409" s="5"/>
      <c r="M1409" s="8"/>
      <c r="N1409" s="8"/>
      <c r="O1409" s="8"/>
      <c r="P1409" s="8"/>
      <c r="Q1409" s="5"/>
      <c r="R1409" s="5"/>
      <c r="S1409" s="5"/>
      <c r="T1409" s="5"/>
      <c r="U1409" s="5"/>
      <c r="V1409" s="10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02"/>
      <c r="AU1409" s="502"/>
      <c r="AV1409" s="606"/>
      <c r="AW1409" s="502"/>
      <c r="AX1409" s="502"/>
      <c r="AY1409" s="502"/>
      <c r="AZ1409" s="502"/>
      <c r="BA1409" s="502"/>
      <c r="BB1409" s="502"/>
      <c r="BC1409" s="502"/>
      <c r="BD1409" s="502"/>
      <c r="BE1409" s="502"/>
      <c r="BF1409" s="502"/>
      <c r="BG1409" s="502"/>
      <c r="BH1409" s="502"/>
      <c r="BI1409" s="502"/>
      <c r="BJ1409" s="502"/>
      <c r="BK1409" s="502"/>
      <c r="BL1409" s="502"/>
      <c r="BM1409" s="502"/>
      <c r="BN1409" s="502"/>
      <c r="BO1409" s="502"/>
      <c r="BP1409" s="5"/>
      <c r="BQ1409" s="5"/>
      <c r="BR1409" s="5"/>
      <c r="BS1409" s="5"/>
      <c r="BT1409" s="5"/>
      <c r="BU1409" s="5"/>
      <c r="BV1409" s="5"/>
      <c r="BW1409" s="5"/>
      <c r="BX1409" s="5"/>
      <c r="BY1409" s="5"/>
      <c r="BZ1409" s="5"/>
      <c r="CA1409" s="5"/>
      <c r="CB1409" s="5"/>
      <c r="CC1409" s="5"/>
      <c r="CD1409" s="5"/>
      <c r="CE1409" s="5"/>
      <c r="CF1409" s="5"/>
      <c r="CG1409" s="5"/>
      <c r="CH1409" s="5"/>
      <c r="CI1409" s="5"/>
      <c r="CJ1409" s="5"/>
      <c r="CK1409" s="5"/>
      <c r="CL1409" s="5"/>
      <c r="CM1409" s="5"/>
      <c r="CN1409" s="5"/>
      <c r="CO1409" s="5"/>
      <c r="CP1409" s="5"/>
      <c r="CQ1409" s="5"/>
      <c r="CR1409" s="5"/>
      <c r="CS1409" s="5"/>
      <c r="CT1409" s="5"/>
      <c r="CU1409" s="5"/>
      <c r="CV1409" s="5"/>
      <c r="CW1409" s="5"/>
      <c r="CX1409" s="5"/>
      <c r="CY1409" s="5"/>
      <c r="CZ1409" s="5"/>
      <c r="DA1409" s="5"/>
      <c r="DB1409" s="5"/>
      <c r="DC1409" s="5"/>
      <c r="DD1409" s="5"/>
      <c r="DE1409" s="5"/>
      <c r="DF1409" s="5"/>
      <c r="DG1409" s="5"/>
      <c r="DH1409" s="5"/>
      <c r="DI1409" s="5"/>
      <c r="DJ1409" s="5"/>
      <c r="DK1409" s="5"/>
      <c r="DL1409" s="5"/>
      <c r="DM1409" s="5"/>
      <c r="DN1409" s="5"/>
      <c r="DO1409" s="5"/>
      <c r="DP1409" s="5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  <c r="GT1409" s="1"/>
      <c r="GU1409" s="1"/>
      <c r="GV1409" s="1"/>
      <c r="GW1409" s="1"/>
      <c r="GX1409" s="1"/>
      <c r="GY1409" s="1"/>
      <c r="GZ1409" s="1"/>
      <c r="HA1409" s="1"/>
      <c r="HB1409" s="1"/>
      <c r="HC1409" s="1"/>
      <c r="HD1409" s="1"/>
      <c r="HE1409" s="1"/>
      <c r="HF1409" s="1"/>
      <c r="HG1409" s="1"/>
      <c r="HH1409" s="1"/>
      <c r="HI1409" s="1"/>
      <c r="HJ1409" s="1"/>
      <c r="HK1409" s="1"/>
      <c r="HL1409" s="1"/>
      <c r="HM1409" s="1"/>
      <c r="HN1409" s="1"/>
      <c r="HO1409" s="1"/>
      <c r="HP1409" s="1"/>
      <c r="HQ1409" s="1"/>
      <c r="HR1409" s="1"/>
      <c r="HS1409" s="1"/>
      <c r="HT1409" s="1"/>
      <c r="HU1409" s="1"/>
      <c r="HV1409" s="1"/>
      <c r="HW1409" s="1"/>
      <c r="HX1409" s="1"/>
      <c r="HY1409" s="1"/>
      <c r="HZ1409" s="1"/>
      <c r="IA1409" s="1"/>
      <c r="IB1409" s="1"/>
      <c r="IC1409" s="1"/>
      <c r="ID1409" s="1"/>
      <c r="IE1409" s="1"/>
      <c r="IF1409" s="1"/>
      <c r="IG1409" s="1"/>
      <c r="IH1409" s="1"/>
      <c r="II1409" s="1"/>
      <c r="IJ1409" s="1"/>
      <c r="IK1409" s="1"/>
      <c r="IL1409" s="1"/>
      <c r="IM1409" s="1"/>
      <c r="IN1409" s="1"/>
      <c r="IO1409" s="1"/>
      <c r="IP1409" s="1"/>
      <c r="IQ1409" s="1"/>
      <c r="IR1409" s="1"/>
      <c r="IS1409" s="1"/>
      <c r="IT1409" s="1"/>
      <c r="IU1409" s="1"/>
      <c r="IV1409" s="1"/>
      <c r="IW1409" s="1"/>
      <c r="IX1409" s="1"/>
      <c r="IY1409" s="1"/>
      <c r="IZ1409" s="1"/>
      <c r="JA1409" s="1"/>
      <c r="JB1409" s="1"/>
      <c r="JC1409" s="1"/>
      <c r="JD1409" s="1"/>
    </row>
    <row r="1410" s="504" customFormat="true" ht="12.75" hidden="false" customHeight="true" outlineLevel="0" collapsed="false">
      <c r="A1410" s="5"/>
      <c r="B1410" s="5"/>
      <c r="C1410" s="5"/>
      <c r="D1410" s="8"/>
      <c r="E1410" s="8"/>
      <c r="F1410" s="8"/>
      <c r="G1410" s="5"/>
      <c r="H1410" s="5"/>
      <c r="I1410" s="5"/>
      <c r="J1410" s="8"/>
      <c r="K1410" s="8"/>
      <c r="L1410" s="5"/>
      <c r="M1410" s="8"/>
      <c r="N1410" s="8"/>
      <c r="O1410" s="8"/>
      <c r="P1410" s="8"/>
      <c r="Q1410" s="5"/>
      <c r="R1410" s="5"/>
      <c r="S1410" s="5"/>
      <c r="T1410" s="5"/>
      <c r="U1410" s="5"/>
      <c r="V1410" s="10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02"/>
      <c r="AU1410" s="502"/>
      <c r="AV1410" s="606"/>
      <c r="AW1410" s="502"/>
      <c r="AX1410" s="502"/>
      <c r="AY1410" s="502"/>
      <c r="AZ1410" s="502"/>
      <c r="BA1410" s="502"/>
      <c r="BB1410" s="502"/>
      <c r="BC1410" s="502"/>
      <c r="BD1410" s="502"/>
      <c r="BE1410" s="502"/>
      <c r="BF1410" s="502"/>
      <c r="BG1410" s="502"/>
      <c r="BH1410" s="502"/>
      <c r="BI1410" s="502"/>
      <c r="BJ1410" s="502"/>
      <c r="BK1410" s="502"/>
      <c r="BL1410" s="502"/>
      <c r="BM1410" s="502"/>
      <c r="BN1410" s="502"/>
      <c r="BO1410" s="502"/>
      <c r="BP1410" s="5"/>
      <c r="BQ1410" s="5"/>
      <c r="BR1410" s="5"/>
      <c r="BS1410" s="5"/>
      <c r="BT1410" s="5"/>
      <c r="BU1410" s="5"/>
      <c r="BV1410" s="5"/>
      <c r="BW1410" s="5"/>
      <c r="BX1410" s="5"/>
      <c r="BY1410" s="5"/>
      <c r="BZ1410" s="5"/>
      <c r="CA1410" s="5"/>
      <c r="CB1410" s="5"/>
      <c r="CC1410" s="5"/>
      <c r="CD1410" s="5"/>
      <c r="CE1410" s="5"/>
      <c r="CF1410" s="5"/>
      <c r="CG1410" s="5"/>
      <c r="CH1410" s="5"/>
      <c r="CI1410" s="5"/>
      <c r="CJ1410" s="5"/>
      <c r="CK1410" s="5"/>
      <c r="CL1410" s="5"/>
      <c r="CM1410" s="5"/>
      <c r="CN1410" s="5"/>
      <c r="CO1410" s="5"/>
      <c r="CP1410" s="5"/>
      <c r="CQ1410" s="5"/>
      <c r="CR1410" s="5"/>
      <c r="CS1410" s="5"/>
      <c r="CT1410" s="5"/>
      <c r="CU1410" s="5"/>
      <c r="CV1410" s="5"/>
      <c r="CW1410" s="5"/>
      <c r="CX1410" s="5"/>
      <c r="CY1410" s="5"/>
      <c r="CZ1410" s="5"/>
      <c r="DA1410" s="5"/>
      <c r="DB1410" s="5"/>
      <c r="DC1410" s="5"/>
      <c r="DD1410" s="5"/>
      <c r="DE1410" s="5"/>
      <c r="DF1410" s="5"/>
      <c r="DG1410" s="5"/>
      <c r="DH1410" s="5"/>
      <c r="DI1410" s="5"/>
      <c r="DJ1410" s="5"/>
      <c r="DK1410" s="5"/>
      <c r="DL1410" s="5"/>
      <c r="DM1410" s="5"/>
      <c r="DN1410" s="5"/>
      <c r="DO1410" s="5"/>
      <c r="DP1410" s="5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  <c r="GT1410" s="1"/>
      <c r="GU1410" s="1"/>
      <c r="GV1410" s="1"/>
      <c r="GW1410" s="1"/>
      <c r="GX1410" s="1"/>
      <c r="GY1410" s="1"/>
      <c r="GZ1410" s="1"/>
      <c r="HA1410" s="1"/>
      <c r="HB1410" s="1"/>
      <c r="HC1410" s="1"/>
      <c r="HD1410" s="1"/>
      <c r="HE1410" s="1"/>
      <c r="HF1410" s="1"/>
      <c r="HG1410" s="1"/>
      <c r="HH1410" s="1"/>
      <c r="HI1410" s="1"/>
      <c r="HJ1410" s="1"/>
      <c r="HK1410" s="1"/>
      <c r="HL1410" s="1"/>
      <c r="HM1410" s="1"/>
      <c r="HN1410" s="1"/>
      <c r="HO1410" s="1"/>
      <c r="HP1410" s="1"/>
      <c r="HQ1410" s="1"/>
      <c r="HR1410" s="1"/>
      <c r="HS1410" s="1"/>
      <c r="HT1410" s="1"/>
      <c r="HU1410" s="1"/>
      <c r="HV1410" s="1"/>
      <c r="HW1410" s="1"/>
      <c r="HX1410" s="1"/>
      <c r="HY1410" s="1"/>
      <c r="HZ1410" s="1"/>
      <c r="IA1410" s="1"/>
      <c r="IB1410" s="1"/>
      <c r="IC1410" s="1"/>
      <c r="ID1410" s="1"/>
      <c r="IE1410" s="1"/>
      <c r="IF1410" s="1"/>
      <c r="IG1410" s="1"/>
      <c r="IH1410" s="1"/>
      <c r="II1410" s="1"/>
      <c r="IJ1410" s="1"/>
      <c r="IK1410" s="1"/>
      <c r="IL1410" s="1"/>
      <c r="IM1410" s="1"/>
      <c r="IN1410" s="1"/>
      <c r="IO1410" s="1"/>
      <c r="IP1410" s="1"/>
      <c r="IQ1410" s="1"/>
      <c r="IR1410" s="1"/>
      <c r="IS1410" s="1"/>
      <c r="IT1410" s="1"/>
      <c r="IU1410" s="1"/>
      <c r="IV1410" s="1"/>
      <c r="IW1410" s="1"/>
      <c r="IX1410" s="1"/>
      <c r="IY1410" s="1"/>
      <c r="IZ1410" s="1"/>
      <c r="JA1410" s="1"/>
      <c r="JB1410" s="1"/>
      <c r="JC1410" s="1"/>
      <c r="JD1410" s="1"/>
    </row>
    <row r="1411" s="504" customFormat="true" ht="12.75" hidden="false" customHeight="true" outlineLevel="0" collapsed="false">
      <c r="A1411" s="5"/>
      <c r="B1411" s="5"/>
      <c r="C1411" s="5"/>
      <c r="D1411" s="8"/>
      <c r="E1411" s="8"/>
      <c r="F1411" s="8"/>
      <c r="G1411" s="5"/>
      <c r="H1411" s="5"/>
      <c r="I1411" s="5"/>
      <c r="J1411" s="8"/>
      <c r="K1411" s="8"/>
      <c r="L1411" s="5"/>
      <c r="M1411" s="8"/>
      <c r="N1411" s="8"/>
      <c r="O1411" s="8"/>
      <c r="P1411" s="8"/>
      <c r="Q1411" s="5"/>
      <c r="R1411" s="5"/>
      <c r="S1411" s="5"/>
      <c r="T1411" s="5"/>
      <c r="U1411" s="5"/>
      <c r="V1411" s="10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02"/>
      <c r="AU1411" s="502"/>
      <c r="AV1411" s="606"/>
      <c r="AW1411" s="502"/>
      <c r="AX1411" s="502"/>
      <c r="AY1411" s="502"/>
      <c r="AZ1411" s="502"/>
      <c r="BA1411" s="502"/>
      <c r="BB1411" s="502"/>
      <c r="BC1411" s="502"/>
      <c r="BD1411" s="502"/>
      <c r="BE1411" s="502"/>
      <c r="BF1411" s="502"/>
      <c r="BG1411" s="502"/>
      <c r="BH1411" s="502"/>
      <c r="BI1411" s="502"/>
      <c r="BJ1411" s="502"/>
      <c r="BK1411" s="502"/>
      <c r="BL1411" s="502"/>
      <c r="BM1411" s="502"/>
      <c r="BN1411" s="502"/>
      <c r="BO1411" s="502"/>
      <c r="BP1411" s="5"/>
      <c r="BQ1411" s="5"/>
      <c r="BR1411" s="5"/>
      <c r="BS1411" s="5"/>
      <c r="BT1411" s="5"/>
      <c r="BU1411" s="5"/>
      <c r="BV1411" s="5"/>
      <c r="BW1411" s="5"/>
      <c r="BX1411" s="5"/>
      <c r="BY1411" s="5"/>
      <c r="BZ1411" s="5"/>
      <c r="CA1411" s="5"/>
      <c r="CB1411" s="5"/>
      <c r="CC1411" s="5"/>
      <c r="CD1411" s="5"/>
      <c r="CE1411" s="5"/>
      <c r="CF1411" s="5"/>
      <c r="CG1411" s="5"/>
      <c r="CH1411" s="5"/>
      <c r="CI1411" s="5"/>
      <c r="CJ1411" s="5"/>
      <c r="CK1411" s="5"/>
      <c r="CL1411" s="5"/>
      <c r="CM1411" s="5"/>
      <c r="CN1411" s="5"/>
      <c r="CO1411" s="5"/>
      <c r="CP1411" s="5"/>
      <c r="CQ1411" s="5"/>
      <c r="CR1411" s="5"/>
      <c r="CS1411" s="5"/>
      <c r="CT1411" s="5"/>
      <c r="CU1411" s="5"/>
      <c r="CV1411" s="5"/>
      <c r="CW1411" s="5"/>
      <c r="CX1411" s="5"/>
      <c r="CY1411" s="5"/>
      <c r="CZ1411" s="5"/>
      <c r="DA1411" s="5"/>
      <c r="DB1411" s="5"/>
      <c r="DC1411" s="5"/>
      <c r="DD1411" s="5"/>
      <c r="DE1411" s="5"/>
      <c r="DF1411" s="5"/>
      <c r="DG1411" s="5"/>
      <c r="DH1411" s="5"/>
      <c r="DI1411" s="5"/>
      <c r="DJ1411" s="5"/>
      <c r="DK1411" s="5"/>
      <c r="DL1411" s="5"/>
      <c r="DM1411" s="5"/>
      <c r="DN1411" s="5"/>
      <c r="DO1411" s="5"/>
      <c r="DP1411" s="5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  <c r="GT1411" s="1"/>
      <c r="GU1411" s="1"/>
      <c r="GV1411" s="1"/>
      <c r="GW1411" s="1"/>
      <c r="GX1411" s="1"/>
      <c r="GY1411" s="1"/>
      <c r="GZ1411" s="1"/>
      <c r="HA1411" s="1"/>
      <c r="HB1411" s="1"/>
      <c r="HC1411" s="1"/>
      <c r="HD1411" s="1"/>
      <c r="HE1411" s="1"/>
      <c r="HF1411" s="1"/>
      <c r="HG1411" s="1"/>
      <c r="HH1411" s="1"/>
      <c r="HI1411" s="1"/>
      <c r="HJ1411" s="1"/>
      <c r="HK1411" s="1"/>
      <c r="HL1411" s="1"/>
      <c r="HM1411" s="1"/>
      <c r="HN1411" s="1"/>
      <c r="HO1411" s="1"/>
      <c r="HP1411" s="1"/>
      <c r="HQ1411" s="1"/>
      <c r="HR1411" s="1"/>
      <c r="HS1411" s="1"/>
      <c r="HT1411" s="1"/>
      <c r="HU1411" s="1"/>
      <c r="HV1411" s="1"/>
      <c r="HW1411" s="1"/>
      <c r="HX1411" s="1"/>
      <c r="HY1411" s="1"/>
      <c r="HZ1411" s="1"/>
      <c r="IA1411" s="1"/>
      <c r="IB1411" s="1"/>
      <c r="IC1411" s="1"/>
      <c r="ID1411" s="1"/>
      <c r="IE1411" s="1"/>
      <c r="IF1411" s="1"/>
      <c r="IG1411" s="1"/>
      <c r="IH1411" s="1"/>
      <c r="II1411" s="1"/>
      <c r="IJ1411" s="1"/>
      <c r="IK1411" s="1"/>
      <c r="IL1411" s="1"/>
      <c r="IM1411" s="1"/>
      <c r="IN1411" s="1"/>
      <c r="IO1411" s="1"/>
      <c r="IP1411" s="1"/>
      <c r="IQ1411" s="1"/>
      <c r="IR1411" s="1"/>
      <c r="IS1411" s="1"/>
      <c r="IT1411" s="1"/>
      <c r="IU1411" s="1"/>
      <c r="IV1411" s="1"/>
      <c r="IW1411" s="1"/>
      <c r="IX1411" s="1"/>
      <c r="IY1411" s="1"/>
      <c r="IZ1411" s="1"/>
      <c r="JA1411" s="1"/>
      <c r="JB1411" s="1"/>
      <c r="JC1411" s="1"/>
      <c r="JD1411" s="1"/>
    </row>
    <row r="1412" s="504" customFormat="true" ht="12.75" hidden="false" customHeight="true" outlineLevel="0" collapsed="false">
      <c r="A1412" s="5"/>
      <c r="B1412" s="5"/>
      <c r="C1412" s="5"/>
      <c r="D1412" s="8"/>
      <c r="E1412" s="8"/>
      <c r="F1412" s="8"/>
      <c r="G1412" s="5"/>
      <c r="H1412" s="5"/>
      <c r="I1412" s="5"/>
      <c r="J1412" s="8"/>
      <c r="K1412" s="8"/>
      <c r="L1412" s="5"/>
      <c r="M1412" s="8"/>
      <c r="N1412" s="8"/>
      <c r="O1412" s="8"/>
      <c r="P1412" s="8"/>
      <c r="Q1412" s="5"/>
      <c r="R1412" s="5"/>
      <c r="S1412" s="5"/>
      <c r="T1412" s="5"/>
      <c r="U1412" s="5"/>
      <c r="V1412" s="10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02"/>
      <c r="AU1412" s="502"/>
      <c r="AV1412" s="606"/>
      <c r="AW1412" s="502"/>
      <c r="AX1412" s="502"/>
      <c r="AY1412" s="502"/>
      <c r="AZ1412" s="502"/>
      <c r="BA1412" s="502"/>
      <c r="BB1412" s="502"/>
      <c r="BC1412" s="502"/>
      <c r="BD1412" s="502"/>
      <c r="BE1412" s="502"/>
      <c r="BF1412" s="502"/>
      <c r="BG1412" s="502"/>
      <c r="BH1412" s="502"/>
      <c r="BI1412" s="502"/>
      <c r="BJ1412" s="502"/>
      <c r="BK1412" s="502"/>
      <c r="BL1412" s="502"/>
      <c r="BM1412" s="502"/>
      <c r="BN1412" s="502"/>
      <c r="BO1412" s="502"/>
      <c r="BP1412" s="5"/>
      <c r="BQ1412" s="5"/>
      <c r="BR1412" s="5"/>
      <c r="BS1412" s="5"/>
      <c r="BT1412" s="5"/>
      <c r="BU1412" s="5"/>
      <c r="BV1412" s="5"/>
      <c r="BW1412" s="5"/>
      <c r="BX1412" s="5"/>
      <c r="BY1412" s="5"/>
      <c r="BZ1412" s="5"/>
      <c r="CA1412" s="5"/>
      <c r="CB1412" s="5"/>
      <c r="CC1412" s="5"/>
      <c r="CD1412" s="5"/>
      <c r="CE1412" s="5"/>
      <c r="CF1412" s="5"/>
      <c r="CG1412" s="5"/>
      <c r="CH1412" s="5"/>
      <c r="CI1412" s="5"/>
      <c r="CJ1412" s="5"/>
      <c r="CK1412" s="5"/>
      <c r="CL1412" s="5"/>
      <c r="CM1412" s="5"/>
      <c r="CN1412" s="5"/>
      <c r="CO1412" s="5"/>
      <c r="CP1412" s="5"/>
      <c r="CQ1412" s="5"/>
      <c r="CR1412" s="5"/>
      <c r="CS1412" s="5"/>
      <c r="CT1412" s="5"/>
      <c r="CU1412" s="5"/>
      <c r="CV1412" s="5"/>
      <c r="CW1412" s="5"/>
      <c r="CX1412" s="5"/>
      <c r="CY1412" s="5"/>
      <c r="CZ1412" s="5"/>
      <c r="DA1412" s="5"/>
      <c r="DB1412" s="5"/>
      <c r="DC1412" s="5"/>
      <c r="DD1412" s="5"/>
      <c r="DE1412" s="5"/>
      <c r="DF1412" s="5"/>
      <c r="DG1412" s="5"/>
      <c r="DH1412" s="5"/>
      <c r="DI1412" s="5"/>
      <c r="DJ1412" s="5"/>
      <c r="DK1412" s="5"/>
      <c r="DL1412" s="5"/>
      <c r="DM1412" s="5"/>
      <c r="DN1412" s="5"/>
      <c r="DO1412" s="5"/>
      <c r="DP1412" s="5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  <c r="GV1412" s="1"/>
      <c r="GW1412" s="1"/>
      <c r="GX1412" s="1"/>
      <c r="GY1412" s="1"/>
      <c r="GZ1412" s="1"/>
      <c r="HA1412" s="1"/>
      <c r="HB1412" s="1"/>
      <c r="HC1412" s="1"/>
      <c r="HD1412" s="1"/>
      <c r="HE1412" s="1"/>
      <c r="HF1412" s="1"/>
      <c r="HG1412" s="1"/>
      <c r="HH1412" s="1"/>
      <c r="HI1412" s="1"/>
      <c r="HJ1412" s="1"/>
      <c r="HK1412" s="1"/>
      <c r="HL1412" s="1"/>
      <c r="HM1412" s="1"/>
      <c r="HN1412" s="1"/>
      <c r="HO1412" s="1"/>
      <c r="HP1412" s="1"/>
      <c r="HQ1412" s="1"/>
      <c r="HR1412" s="1"/>
      <c r="HS1412" s="1"/>
      <c r="HT1412" s="1"/>
      <c r="HU1412" s="1"/>
      <c r="HV1412" s="1"/>
      <c r="HW1412" s="1"/>
      <c r="HX1412" s="1"/>
      <c r="HY1412" s="1"/>
      <c r="HZ1412" s="1"/>
      <c r="IA1412" s="1"/>
      <c r="IB1412" s="1"/>
      <c r="IC1412" s="1"/>
      <c r="ID1412" s="1"/>
      <c r="IE1412" s="1"/>
      <c r="IF1412" s="1"/>
      <c r="IG1412" s="1"/>
      <c r="IH1412" s="1"/>
      <c r="II1412" s="1"/>
      <c r="IJ1412" s="1"/>
      <c r="IK1412" s="1"/>
      <c r="IL1412" s="1"/>
      <c r="IM1412" s="1"/>
      <c r="IN1412" s="1"/>
      <c r="IO1412" s="1"/>
      <c r="IP1412" s="1"/>
      <c r="IQ1412" s="1"/>
      <c r="IR1412" s="1"/>
      <c r="IS1412" s="1"/>
      <c r="IT1412" s="1"/>
      <c r="IU1412" s="1"/>
      <c r="IV1412" s="1"/>
      <c r="IW1412" s="1"/>
      <c r="IX1412" s="1"/>
      <c r="IY1412" s="1"/>
      <c r="IZ1412" s="1"/>
      <c r="JA1412" s="1"/>
      <c r="JB1412" s="1"/>
      <c r="JC1412" s="1"/>
      <c r="JD1412" s="1"/>
    </row>
    <row r="1413" s="504" customFormat="true" ht="12.75" hidden="false" customHeight="true" outlineLevel="0" collapsed="false">
      <c r="A1413" s="5"/>
      <c r="B1413" s="5"/>
      <c r="C1413" s="5"/>
      <c r="D1413" s="8"/>
      <c r="E1413" s="8"/>
      <c r="F1413" s="8"/>
      <c r="G1413" s="5"/>
      <c r="H1413" s="5"/>
      <c r="I1413" s="5"/>
      <c r="J1413" s="8"/>
      <c r="K1413" s="8"/>
      <c r="L1413" s="5"/>
      <c r="M1413" s="8"/>
      <c r="N1413" s="8"/>
      <c r="O1413" s="8"/>
      <c r="P1413" s="8"/>
      <c r="Q1413" s="5"/>
      <c r="R1413" s="5"/>
      <c r="S1413" s="5"/>
      <c r="T1413" s="5"/>
      <c r="U1413" s="5"/>
      <c r="V1413" s="10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02"/>
      <c r="AU1413" s="502"/>
      <c r="AV1413" s="606"/>
      <c r="AW1413" s="502"/>
      <c r="AX1413" s="502"/>
      <c r="AY1413" s="502"/>
      <c r="AZ1413" s="502"/>
      <c r="BA1413" s="502"/>
      <c r="BB1413" s="502"/>
      <c r="BC1413" s="502"/>
      <c r="BD1413" s="502"/>
      <c r="BE1413" s="502"/>
      <c r="BF1413" s="502"/>
      <c r="BG1413" s="502"/>
      <c r="BH1413" s="502"/>
      <c r="BI1413" s="502"/>
      <c r="BJ1413" s="502"/>
      <c r="BK1413" s="502"/>
      <c r="BL1413" s="502"/>
      <c r="BM1413" s="502"/>
      <c r="BN1413" s="502"/>
      <c r="BO1413" s="502"/>
      <c r="BP1413" s="5"/>
      <c r="BQ1413" s="5"/>
      <c r="BR1413" s="5"/>
      <c r="BS1413" s="5"/>
      <c r="BT1413" s="5"/>
      <c r="BU1413" s="5"/>
      <c r="BV1413" s="5"/>
      <c r="BW1413" s="5"/>
      <c r="BX1413" s="5"/>
      <c r="BY1413" s="5"/>
      <c r="BZ1413" s="5"/>
      <c r="CA1413" s="5"/>
      <c r="CB1413" s="5"/>
      <c r="CC1413" s="5"/>
      <c r="CD1413" s="5"/>
      <c r="CE1413" s="5"/>
      <c r="CF1413" s="5"/>
      <c r="CG1413" s="5"/>
      <c r="CH1413" s="5"/>
      <c r="CI1413" s="5"/>
      <c r="CJ1413" s="5"/>
      <c r="CK1413" s="5"/>
      <c r="CL1413" s="5"/>
      <c r="CM1413" s="5"/>
      <c r="CN1413" s="5"/>
      <c r="CO1413" s="5"/>
      <c r="CP1413" s="5"/>
      <c r="CQ1413" s="5"/>
      <c r="CR1413" s="5"/>
      <c r="CS1413" s="5"/>
      <c r="CT1413" s="5"/>
      <c r="CU1413" s="5"/>
      <c r="CV1413" s="5"/>
      <c r="CW1413" s="5"/>
      <c r="CX1413" s="5"/>
      <c r="CY1413" s="5"/>
      <c r="CZ1413" s="5"/>
      <c r="DA1413" s="5"/>
      <c r="DB1413" s="5"/>
      <c r="DC1413" s="5"/>
      <c r="DD1413" s="5"/>
      <c r="DE1413" s="5"/>
      <c r="DF1413" s="5"/>
      <c r="DG1413" s="5"/>
      <c r="DH1413" s="5"/>
      <c r="DI1413" s="5"/>
      <c r="DJ1413" s="5"/>
      <c r="DK1413" s="5"/>
      <c r="DL1413" s="5"/>
      <c r="DM1413" s="5"/>
      <c r="DN1413" s="5"/>
      <c r="DO1413" s="5"/>
      <c r="DP1413" s="5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  <c r="GT1413" s="1"/>
      <c r="GU1413" s="1"/>
      <c r="GV1413" s="1"/>
      <c r="GW1413" s="1"/>
      <c r="GX1413" s="1"/>
      <c r="GY1413" s="1"/>
      <c r="GZ1413" s="1"/>
      <c r="HA1413" s="1"/>
      <c r="HB1413" s="1"/>
      <c r="HC1413" s="1"/>
      <c r="HD1413" s="1"/>
      <c r="HE1413" s="1"/>
      <c r="HF1413" s="1"/>
      <c r="HG1413" s="1"/>
      <c r="HH1413" s="1"/>
      <c r="HI1413" s="1"/>
      <c r="HJ1413" s="1"/>
      <c r="HK1413" s="1"/>
      <c r="HL1413" s="1"/>
      <c r="HM1413" s="1"/>
      <c r="HN1413" s="1"/>
      <c r="HO1413" s="1"/>
      <c r="HP1413" s="1"/>
      <c r="HQ1413" s="1"/>
      <c r="HR1413" s="1"/>
      <c r="HS1413" s="1"/>
      <c r="HT1413" s="1"/>
      <c r="HU1413" s="1"/>
      <c r="HV1413" s="1"/>
      <c r="HW1413" s="1"/>
      <c r="HX1413" s="1"/>
      <c r="HY1413" s="1"/>
      <c r="HZ1413" s="1"/>
      <c r="IA1413" s="1"/>
      <c r="IB1413" s="1"/>
      <c r="IC1413" s="1"/>
      <c r="ID1413" s="1"/>
      <c r="IE1413" s="1"/>
      <c r="IF1413" s="1"/>
      <c r="IG1413" s="1"/>
      <c r="IH1413" s="1"/>
      <c r="II1413" s="1"/>
      <c r="IJ1413" s="1"/>
      <c r="IK1413" s="1"/>
      <c r="IL1413" s="1"/>
      <c r="IM1413" s="1"/>
      <c r="IN1413" s="1"/>
      <c r="IO1413" s="1"/>
      <c r="IP1413" s="1"/>
      <c r="IQ1413" s="1"/>
      <c r="IR1413" s="1"/>
      <c r="IS1413" s="1"/>
      <c r="IT1413" s="1"/>
      <c r="IU1413" s="1"/>
      <c r="IV1413" s="1"/>
      <c r="IW1413" s="1"/>
      <c r="IX1413" s="1"/>
      <c r="IY1413" s="1"/>
      <c r="IZ1413" s="1"/>
      <c r="JA1413" s="1"/>
      <c r="JB1413" s="1"/>
      <c r="JC1413" s="1"/>
      <c r="JD1413" s="1"/>
    </row>
    <row r="1414" s="504" customFormat="true" ht="12.75" hidden="false" customHeight="true" outlineLevel="0" collapsed="false">
      <c r="A1414" s="5"/>
      <c r="B1414" s="5"/>
      <c r="C1414" s="5"/>
      <c r="D1414" s="8"/>
      <c r="E1414" s="8"/>
      <c r="F1414" s="8"/>
      <c r="G1414" s="5"/>
      <c r="H1414" s="5"/>
      <c r="I1414" s="5"/>
      <c r="J1414" s="8"/>
      <c r="K1414" s="8"/>
      <c r="L1414" s="5"/>
      <c r="M1414" s="8"/>
      <c r="N1414" s="8"/>
      <c r="O1414" s="8"/>
      <c r="P1414" s="8"/>
      <c r="Q1414" s="5"/>
      <c r="R1414" s="5"/>
      <c r="S1414" s="5"/>
      <c r="T1414" s="5"/>
      <c r="U1414" s="5"/>
      <c r="V1414" s="10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02"/>
      <c r="AU1414" s="502"/>
      <c r="AV1414" s="606"/>
      <c r="AW1414" s="502"/>
      <c r="AX1414" s="502"/>
      <c r="AY1414" s="502"/>
      <c r="AZ1414" s="502"/>
      <c r="BA1414" s="502"/>
      <c r="BB1414" s="502"/>
      <c r="BC1414" s="502"/>
      <c r="BD1414" s="502"/>
      <c r="BE1414" s="502"/>
      <c r="BF1414" s="502"/>
      <c r="BG1414" s="502"/>
      <c r="BH1414" s="502"/>
      <c r="BI1414" s="502"/>
      <c r="BJ1414" s="502"/>
      <c r="BK1414" s="502"/>
      <c r="BL1414" s="502"/>
      <c r="BM1414" s="502"/>
      <c r="BN1414" s="502"/>
      <c r="BO1414" s="502"/>
      <c r="BP1414" s="5"/>
      <c r="BQ1414" s="5"/>
      <c r="BR1414" s="5"/>
      <c r="BS1414" s="5"/>
      <c r="BT1414" s="5"/>
      <c r="BU1414" s="5"/>
      <c r="BV1414" s="5"/>
      <c r="BW1414" s="5"/>
      <c r="BX1414" s="5"/>
      <c r="BY1414" s="5"/>
      <c r="BZ1414" s="5"/>
      <c r="CA1414" s="5"/>
      <c r="CB1414" s="5"/>
      <c r="CC1414" s="5"/>
      <c r="CD1414" s="5"/>
      <c r="CE1414" s="5"/>
      <c r="CF1414" s="5"/>
      <c r="CG1414" s="5"/>
      <c r="CH1414" s="5"/>
      <c r="CI1414" s="5"/>
      <c r="CJ1414" s="5"/>
      <c r="CK1414" s="5"/>
      <c r="CL1414" s="5"/>
      <c r="CM1414" s="5"/>
      <c r="CN1414" s="5"/>
      <c r="CO1414" s="5"/>
      <c r="CP1414" s="5"/>
      <c r="CQ1414" s="5"/>
      <c r="CR1414" s="5"/>
      <c r="CS1414" s="5"/>
      <c r="CT1414" s="5"/>
      <c r="CU1414" s="5"/>
      <c r="CV1414" s="5"/>
      <c r="CW1414" s="5"/>
      <c r="CX1414" s="5"/>
      <c r="CY1414" s="5"/>
      <c r="CZ1414" s="5"/>
      <c r="DA1414" s="5"/>
      <c r="DB1414" s="5"/>
      <c r="DC1414" s="5"/>
      <c r="DD1414" s="5"/>
      <c r="DE1414" s="5"/>
      <c r="DF1414" s="5"/>
      <c r="DG1414" s="5"/>
      <c r="DH1414" s="5"/>
      <c r="DI1414" s="5"/>
      <c r="DJ1414" s="5"/>
      <c r="DK1414" s="5"/>
      <c r="DL1414" s="5"/>
      <c r="DM1414" s="5"/>
      <c r="DN1414" s="5"/>
      <c r="DO1414" s="5"/>
      <c r="DP1414" s="5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  <c r="GT1414" s="1"/>
      <c r="GU1414" s="1"/>
      <c r="GV1414" s="1"/>
      <c r="GW1414" s="1"/>
      <c r="GX1414" s="1"/>
      <c r="GY1414" s="1"/>
      <c r="GZ1414" s="1"/>
      <c r="HA1414" s="1"/>
      <c r="HB1414" s="1"/>
      <c r="HC1414" s="1"/>
      <c r="HD1414" s="1"/>
      <c r="HE1414" s="1"/>
      <c r="HF1414" s="1"/>
      <c r="HG1414" s="1"/>
      <c r="HH1414" s="1"/>
      <c r="HI1414" s="1"/>
      <c r="HJ1414" s="1"/>
      <c r="HK1414" s="1"/>
      <c r="HL1414" s="1"/>
      <c r="HM1414" s="1"/>
      <c r="HN1414" s="1"/>
      <c r="HO1414" s="1"/>
      <c r="HP1414" s="1"/>
      <c r="HQ1414" s="1"/>
      <c r="HR1414" s="1"/>
      <c r="HS1414" s="1"/>
      <c r="HT1414" s="1"/>
      <c r="HU1414" s="1"/>
      <c r="HV1414" s="1"/>
      <c r="HW1414" s="1"/>
      <c r="HX1414" s="1"/>
      <c r="HY1414" s="1"/>
      <c r="HZ1414" s="1"/>
      <c r="IA1414" s="1"/>
      <c r="IB1414" s="1"/>
      <c r="IC1414" s="1"/>
      <c r="ID1414" s="1"/>
      <c r="IE1414" s="1"/>
      <c r="IF1414" s="1"/>
      <c r="IG1414" s="1"/>
      <c r="IH1414" s="1"/>
      <c r="II1414" s="1"/>
      <c r="IJ1414" s="1"/>
      <c r="IK1414" s="1"/>
      <c r="IL1414" s="1"/>
      <c r="IM1414" s="1"/>
      <c r="IN1414" s="1"/>
      <c r="IO1414" s="1"/>
      <c r="IP1414" s="1"/>
      <c r="IQ1414" s="1"/>
      <c r="IR1414" s="1"/>
      <c r="IS1414" s="1"/>
      <c r="IT1414" s="1"/>
      <c r="IU1414" s="1"/>
      <c r="IV1414" s="1"/>
      <c r="IW1414" s="1"/>
      <c r="IX1414" s="1"/>
      <c r="IY1414" s="1"/>
      <c r="IZ1414" s="1"/>
      <c r="JA1414" s="1"/>
      <c r="JB1414" s="1"/>
      <c r="JC1414" s="1"/>
      <c r="JD1414" s="1"/>
    </row>
    <row r="1415" s="504" customFormat="true" ht="12.75" hidden="false" customHeight="true" outlineLevel="0" collapsed="false">
      <c r="A1415" s="5"/>
      <c r="B1415" s="5"/>
      <c r="C1415" s="5"/>
      <c r="D1415" s="8"/>
      <c r="E1415" s="8"/>
      <c r="F1415" s="8"/>
      <c r="G1415" s="5"/>
      <c r="H1415" s="5"/>
      <c r="I1415" s="5"/>
      <c r="J1415" s="8"/>
      <c r="K1415" s="8"/>
      <c r="L1415" s="5"/>
      <c r="M1415" s="8"/>
      <c r="N1415" s="8"/>
      <c r="O1415" s="8"/>
      <c r="P1415" s="8"/>
      <c r="Q1415" s="5"/>
      <c r="R1415" s="5"/>
      <c r="S1415" s="5"/>
      <c r="T1415" s="5"/>
      <c r="U1415" s="5"/>
      <c r="V1415" s="10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02"/>
      <c r="AU1415" s="502"/>
      <c r="AV1415" s="606"/>
      <c r="AW1415" s="502"/>
      <c r="AX1415" s="502"/>
      <c r="AY1415" s="502"/>
      <c r="AZ1415" s="502"/>
      <c r="BA1415" s="502"/>
      <c r="BB1415" s="502"/>
      <c r="BC1415" s="502"/>
      <c r="BD1415" s="502"/>
      <c r="BE1415" s="502"/>
      <c r="BF1415" s="502"/>
      <c r="BG1415" s="502"/>
      <c r="BH1415" s="502"/>
      <c r="BI1415" s="502"/>
      <c r="BJ1415" s="502"/>
      <c r="BK1415" s="502"/>
      <c r="BL1415" s="502"/>
      <c r="BM1415" s="502"/>
      <c r="BN1415" s="502"/>
      <c r="BO1415" s="502"/>
      <c r="BP1415" s="5"/>
      <c r="BQ1415" s="5"/>
      <c r="BR1415" s="5"/>
      <c r="BS1415" s="5"/>
      <c r="BT1415" s="5"/>
      <c r="BU1415" s="5"/>
      <c r="BV1415" s="5"/>
      <c r="BW1415" s="5"/>
      <c r="BX1415" s="5"/>
      <c r="BY1415" s="5"/>
      <c r="BZ1415" s="5"/>
      <c r="CA1415" s="5"/>
      <c r="CB1415" s="5"/>
      <c r="CC1415" s="5"/>
      <c r="CD1415" s="5"/>
      <c r="CE1415" s="5"/>
      <c r="CF1415" s="5"/>
      <c r="CG1415" s="5"/>
      <c r="CH1415" s="5"/>
      <c r="CI1415" s="5"/>
      <c r="CJ1415" s="5"/>
      <c r="CK1415" s="5"/>
      <c r="CL1415" s="5"/>
      <c r="CM1415" s="5"/>
      <c r="CN1415" s="5"/>
      <c r="CO1415" s="5"/>
      <c r="CP1415" s="5"/>
      <c r="CQ1415" s="5"/>
      <c r="CR1415" s="5"/>
      <c r="CS1415" s="5"/>
      <c r="CT1415" s="5"/>
      <c r="CU1415" s="5"/>
      <c r="CV1415" s="5"/>
      <c r="CW1415" s="5"/>
      <c r="CX1415" s="5"/>
      <c r="CY1415" s="5"/>
      <c r="CZ1415" s="5"/>
      <c r="DA1415" s="5"/>
      <c r="DB1415" s="5"/>
      <c r="DC1415" s="5"/>
      <c r="DD1415" s="5"/>
      <c r="DE1415" s="5"/>
      <c r="DF1415" s="5"/>
      <c r="DG1415" s="5"/>
      <c r="DH1415" s="5"/>
      <c r="DI1415" s="5"/>
      <c r="DJ1415" s="5"/>
      <c r="DK1415" s="5"/>
      <c r="DL1415" s="5"/>
      <c r="DM1415" s="5"/>
      <c r="DN1415" s="5"/>
      <c r="DO1415" s="5"/>
      <c r="DP1415" s="5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  <c r="GT1415" s="1"/>
      <c r="GU1415" s="1"/>
      <c r="GV1415" s="1"/>
      <c r="GW1415" s="1"/>
      <c r="GX1415" s="1"/>
      <c r="GY1415" s="1"/>
      <c r="GZ1415" s="1"/>
      <c r="HA1415" s="1"/>
      <c r="HB1415" s="1"/>
      <c r="HC1415" s="1"/>
      <c r="HD1415" s="1"/>
      <c r="HE1415" s="1"/>
      <c r="HF1415" s="1"/>
      <c r="HG1415" s="1"/>
      <c r="HH1415" s="1"/>
      <c r="HI1415" s="1"/>
      <c r="HJ1415" s="1"/>
      <c r="HK1415" s="1"/>
      <c r="HL1415" s="1"/>
      <c r="HM1415" s="1"/>
      <c r="HN1415" s="1"/>
      <c r="HO1415" s="1"/>
      <c r="HP1415" s="1"/>
      <c r="HQ1415" s="1"/>
      <c r="HR1415" s="1"/>
      <c r="HS1415" s="1"/>
      <c r="HT1415" s="1"/>
      <c r="HU1415" s="1"/>
      <c r="HV1415" s="1"/>
      <c r="HW1415" s="1"/>
      <c r="HX1415" s="1"/>
      <c r="HY1415" s="1"/>
      <c r="HZ1415" s="1"/>
      <c r="IA1415" s="1"/>
      <c r="IB1415" s="1"/>
      <c r="IC1415" s="1"/>
      <c r="ID1415" s="1"/>
      <c r="IE1415" s="1"/>
      <c r="IF1415" s="1"/>
      <c r="IG1415" s="1"/>
      <c r="IH1415" s="1"/>
      <c r="II1415" s="1"/>
      <c r="IJ1415" s="1"/>
      <c r="IK1415" s="1"/>
      <c r="IL1415" s="1"/>
      <c r="IM1415" s="1"/>
      <c r="IN1415" s="1"/>
      <c r="IO1415" s="1"/>
      <c r="IP1415" s="1"/>
      <c r="IQ1415" s="1"/>
      <c r="IR1415" s="1"/>
      <c r="IS1415" s="1"/>
      <c r="IT1415" s="1"/>
      <c r="IU1415" s="1"/>
      <c r="IV1415" s="1"/>
      <c r="IW1415" s="1"/>
      <c r="IX1415" s="1"/>
      <c r="IY1415" s="1"/>
      <c r="IZ1415" s="1"/>
      <c r="JA1415" s="1"/>
      <c r="JB1415" s="1"/>
      <c r="JC1415" s="1"/>
      <c r="JD1415" s="1"/>
    </row>
    <row r="1416" s="504" customFormat="true" ht="12.75" hidden="false" customHeight="true" outlineLevel="0" collapsed="false">
      <c r="A1416" s="5"/>
      <c r="B1416" s="5"/>
      <c r="C1416" s="5"/>
      <c r="D1416" s="8"/>
      <c r="E1416" s="8"/>
      <c r="F1416" s="8"/>
      <c r="G1416" s="5"/>
      <c r="H1416" s="5"/>
      <c r="I1416" s="5"/>
      <c r="J1416" s="8"/>
      <c r="K1416" s="8"/>
      <c r="L1416" s="5"/>
      <c r="M1416" s="8"/>
      <c r="N1416" s="8"/>
      <c r="O1416" s="8"/>
      <c r="P1416" s="8"/>
      <c r="Q1416" s="5"/>
      <c r="R1416" s="5"/>
      <c r="S1416" s="5"/>
      <c r="T1416" s="5"/>
      <c r="U1416" s="5"/>
      <c r="V1416" s="10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02"/>
      <c r="AU1416" s="502"/>
      <c r="AV1416" s="606"/>
      <c r="AW1416" s="502"/>
      <c r="AX1416" s="502"/>
      <c r="AY1416" s="502"/>
      <c r="AZ1416" s="502"/>
      <c r="BA1416" s="502"/>
      <c r="BB1416" s="502"/>
      <c r="BC1416" s="502"/>
      <c r="BD1416" s="502"/>
      <c r="BE1416" s="502"/>
      <c r="BF1416" s="502"/>
      <c r="BG1416" s="502"/>
      <c r="BH1416" s="502"/>
      <c r="BI1416" s="502"/>
      <c r="BJ1416" s="502"/>
      <c r="BK1416" s="502"/>
      <c r="BL1416" s="502"/>
      <c r="BM1416" s="502"/>
      <c r="BN1416" s="502"/>
      <c r="BO1416" s="502"/>
      <c r="BP1416" s="5"/>
      <c r="BQ1416" s="5"/>
      <c r="BR1416" s="5"/>
      <c r="BS1416" s="5"/>
      <c r="BT1416" s="5"/>
      <c r="BU1416" s="5"/>
      <c r="BV1416" s="5"/>
      <c r="BW1416" s="5"/>
      <c r="BX1416" s="5"/>
      <c r="BY1416" s="5"/>
      <c r="BZ1416" s="5"/>
      <c r="CA1416" s="5"/>
      <c r="CB1416" s="5"/>
      <c r="CC1416" s="5"/>
      <c r="CD1416" s="5"/>
      <c r="CE1416" s="5"/>
      <c r="CF1416" s="5"/>
      <c r="CG1416" s="5"/>
      <c r="CH1416" s="5"/>
      <c r="CI1416" s="5"/>
      <c r="CJ1416" s="5"/>
      <c r="CK1416" s="5"/>
      <c r="CL1416" s="5"/>
      <c r="CM1416" s="5"/>
      <c r="CN1416" s="5"/>
      <c r="CO1416" s="5"/>
      <c r="CP1416" s="5"/>
      <c r="CQ1416" s="5"/>
      <c r="CR1416" s="5"/>
      <c r="CS1416" s="5"/>
      <c r="CT1416" s="5"/>
      <c r="CU1416" s="5"/>
      <c r="CV1416" s="5"/>
      <c r="CW1416" s="5"/>
      <c r="CX1416" s="5"/>
      <c r="CY1416" s="5"/>
      <c r="CZ1416" s="5"/>
      <c r="DA1416" s="5"/>
      <c r="DB1416" s="5"/>
      <c r="DC1416" s="5"/>
      <c r="DD1416" s="5"/>
      <c r="DE1416" s="5"/>
      <c r="DF1416" s="5"/>
      <c r="DG1416" s="5"/>
      <c r="DH1416" s="5"/>
      <c r="DI1416" s="5"/>
      <c r="DJ1416" s="5"/>
      <c r="DK1416" s="5"/>
      <c r="DL1416" s="5"/>
      <c r="DM1416" s="5"/>
      <c r="DN1416" s="5"/>
      <c r="DO1416" s="5"/>
      <c r="DP1416" s="5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  <c r="GT1416" s="1"/>
      <c r="GU1416" s="1"/>
      <c r="GV1416" s="1"/>
      <c r="GW1416" s="1"/>
      <c r="GX1416" s="1"/>
      <c r="GY1416" s="1"/>
      <c r="GZ1416" s="1"/>
      <c r="HA1416" s="1"/>
      <c r="HB1416" s="1"/>
      <c r="HC1416" s="1"/>
      <c r="HD1416" s="1"/>
      <c r="HE1416" s="1"/>
      <c r="HF1416" s="1"/>
      <c r="HG1416" s="1"/>
      <c r="HH1416" s="1"/>
      <c r="HI1416" s="1"/>
      <c r="HJ1416" s="1"/>
      <c r="HK1416" s="1"/>
      <c r="HL1416" s="1"/>
      <c r="HM1416" s="1"/>
      <c r="HN1416" s="1"/>
      <c r="HO1416" s="1"/>
      <c r="HP1416" s="1"/>
      <c r="HQ1416" s="1"/>
      <c r="HR1416" s="1"/>
      <c r="HS1416" s="1"/>
      <c r="HT1416" s="1"/>
      <c r="HU1416" s="1"/>
      <c r="HV1416" s="1"/>
      <c r="HW1416" s="1"/>
      <c r="HX1416" s="1"/>
      <c r="HY1416" s="1"/>
      <c r="HZ1416" s="1"/>
      <c r="IA1416" s="1"/>
      <c r="IB1416" s="1"/>
      <c r="IC1416" s="1"/>
      <c r="ID1416" s="1"/>
      <c r="IE1416" s="1"/>
      <c r="IF1416" s="1"/>
      <c r="IG1416" s="1"/>
      <c r="IH1416" s="1"/>
      <c r="II1416" s="1"/>
      <c r="IJ1416" s="1"/>
      <c r="IK1416" s="1"/>
      <c r="IL1416" s="1"/>
      <c r="IM1416" s="1"/>
      <c r="IN1416" s="1"/>
      <c r="IO1416" s="1"/>
      <c r="IP1416" s="1"/>
      <c r="IQ1416" s="1"/>
      <c r="IR1416" s="1"/>
      <c r="IS1416" s="1"/>
      <c r="IT1416" s="1"/>
      <c r="IU1416" s="1"/>
      <c r="IV1416" s="1"/>
      <c r="IW1416" s="1"/>
      <c r="IX1416" s="1"/>
      <c r="IY1416" s="1"/>
      <c r="IZ1416" s="1"/>
      <c r="JA1416" s="1"/>
      <c r="JB1416" s="1"/>
      <c r="JC1416" s="1"/>
      <c r="JD1416" s="1"/>
    </row>
    <row r="1417" s="504" customFormat="true" ht="12.75" hidden="false" customHeight="true" outlineLevel="0" collapsed="false">
      <c r="A1417" s="5"/>
      <c r="B1417" s="5"/>
      <c r="C1417" s="5"/>
      <c r="D1417" s="8"/>
      <c r="E1417" s="8"/>
      <c r="F1417" s="8"/>
      <c r="G1417" s="5"/>
      <c r="H1417" s="5"/>
      <c r="I1417" s="5"/>
      <c r="J1417" s="8"/>
      <c r="K1417" s="8"/>
      <c r="L1417" s="5"/>
      <c r="M1417" s="8"/>
      <c r="N1417" s="8"/>
      <c r="O1417" s="8"/>
      <c r="P1417" s="8"/>
      <c r="Q1417" s="5"/>
      <c r="R1417" s="5"/>
      <c r="S1417" s="5"/>
      <c r="T1417" s="5"/>
      <c r="U1417" s="5"/>
      <c r="V1417" s="10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02"/>
      <c r="AU1417" s="502"/>
      <c r="AV1417" s="606"/>
      <c r="AW1417" s="502"/>
      <c r="AX1417" s="502"/>
      <c r="AY1417" s="502"/>
      <c r="AZ1417" s="502"/>
      <c r="BA1417" s="502"/>
      <c r="BB1417" s="502"/>
      <c r="BC1417" s="502"/>
      <c r="BD1417" s="502"/>
      <c r="BE1417" s="502"/>
      <c r="BF1417" s="502"/>
      <c r="BG1417" s="502"/>
      <c r="BH1417" s="502"/>
      <c r="BI1417" s="502"/>
      <c r="BJ1417" s="502"/>
      <c r="BK1417" s="502"/>
      <c r="BL1417" s="502"/>
      <c r="BM1417" s="502"/>
      <c r="BN1417" s="502"/>
      <c r="BO1417" s="502"/>
      <c r="BP1417" s="5"/>
      <c r="BQ1417" s="5"/>
      <c r="BR1417" s="5"/>
      <c r="BS1417" s="5"/>
      <c r="BT1417" s="5"/>
      <c r="BU1417" s="5"/>
      <c r="BV1417" s="5"/>
      <c r="BW1417" s="5"/>
      <c r="BX1417" s="5"/>
      <c r="BY1417" s="5"/>
      <c r="BZ1417" s="5"/>
      <c r="CA1417" s="5"/>
      <c r="CB1417" s="5"/>
      <c r="CC1417" s="5"/>
      <c r="CD1417" s="5"/>
      <c r="CE1417" s="5"/>
      <c r="CF1417" s="5"/>
      <c r="CG1417" s="5"/>
      <c r="CH1417" s="5"/>
      <c r="CI1417" s="5"/>
      <c r="CJ1417" s="5"/>
      <c r="CK1417" s="5"/>
      <c r="CL1417" s="5"/>
      <c r="CM1417" s="5"/>
      <c r="CN1417" s="5"/>
      <c r="CO1417" s="5"/>
      <c r="CP1417" s="5"/>
      <c r="CQ1417" s="5"/>
      <c r="CR1417" s="5"/>
      <c r="CS1417" s="5"/>
      <c r="CT1417" s="5"/>
      <c r="CU1417" s="5"/>
      <c r="CV1417" s="5"/>
      <c r="CW1417" s="5"/>
      <c r="CX1417" s="5"/>
      <c r="CY1417" s="5"/>
      <c r="CZ1417" s="5"/>
      <c r="DA1417" s="5"/>
      <c r="DB1417" s="5"/>
      <c r="DC1417" s="5"/>
      <c r="DD1417" s="5"/>
      <c r="DE1417" s="5"/>
      <c r="DF1417" s="5"/>
      <c r="DG1417" s="5"/>
      <c r="DH1417" s="5"/>
      <c r="DI1417" s="5"/>
      <c r="DJ1417" s="5"/>
      <c r="DK1417" s="5"/>
      <c r="DL1417" s="5"/>
      <c r="DM1417" s="5"/>
      <c r="DN1417" s="5"/>
      <c r="DO1417" s="5"/>
      <c r="DP1417" s="5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  <c r="GT1417" s="1"/>
      <c r="GU1417" s="1"/>
      <c r="GV1417" s="1"/>
      <c r="GW1417" s="1"/>
      <c r="GX1417" s="1"/>
      <c r="GY1417" s="1"/>
      <c r="GZ1417" s="1"/>
      <c r="HA1417" s="1"/>
      <c r="HB1417" s="1"/>
      <c r="HC1417" s="1"/>
      <c r="HD1417" s="1"/>
      <c r="HE1417" s="1"/>
      <c r="HF1417" s="1"/>
      <c r="HG1417" s="1"/>
      <c r="HH1417" s="1"/>
      <c r="HI1417" s="1"/>
      <c r="HJ1417" s="1"/>
      <c r="HK1417" s="1"/>
      <c r="HL1417" s="1"/>
      <c r="HM1417" s="1"/>
      <c r="HN1417" s="1"/>
      <c r="HO1417" s="1"/>
      <c r="HP1417" s="1"/>
      <c r="HQ1417" s="1"/>
      <c r="HR1417" s="1"/>
      <c r="HS1417" s="1"/>
      <c r="HT1417" s="1"/>
      <c r="HU1417" s="1"/>
      <c r="HV1417" s="1"/>
      <c r="HW1417" s="1"/>
      <c r="HX1417" s="1"/>
      <c r="HY1417" s="1"/>
      <c r="HZ1417" s="1"/>
      <c r="IA1417" s="1"/>
      <c r="IB1417" s="1"/>
      <c r="IC1417" s="1"/>
      <c r="ID1417" s="1"/>
      <c r="IE1417" s="1"/>
      <c r="IF1417" s="1"/>
      <c r="IG1417" s="1"/>
      <c r="IH1417" s="1"/>
      <c r="II1417" s="1"/>
      <c r="IJ1417" s="1"/>
      <c r="IK1417" s="1"/>
      <c r="IL1417" s="1"/>
      <c r="IM1417" s="1"/>
      <c r="IN1417" s="1"/>
      <c r="IO1417" s="1"/>
      <c r="IP1417" s="1"/>
      <c r="IQ1417" s="1"/>
      <c r="IR1417" s="1"/>
      <c r="IS1417" s="1"/>
      <c r="IT1417" s="1"/>
      <c r="IU1417" s="1"/>
      <c r="IV1417" s="1"/>
      <c r="IW1417" s="1"/>
      <c r="IX1417" s="1"/>
      <c r="IY1417" s="1"/>
      <c r="IZ1417" s="1"/>
      <c r="JA1417" s="1"/>
      <c r="JB1417" s="1"/>
      <c r="JC1417" s="1"/>
      <c r="JD1417" s="1"/>
    </row>
    <row r="1418" s="504" customFormat="true" ht="12.75" hidden="false" customHeight="true" outlineLevel="0" collapsed="false">
      <c r="A1418" s="5"/>
      <c r="B1418" s="5"/>
      <c r="C1418" s="5"/>
      <c r="D1418" s="8"/>
      <c r="E1418" s="8"/>
      <c r="F1418" s="8"/>
      <c r="G1418" s="5"/>
      <c r="H1418" s="5"/>
      <c r="I1418" s="5"/>
      <c r="J1418" s="8"/>
      <c r="K1418" s="8"/>
      <c r="L1418" s="5"/>
      <c r="M1418" s="8"/>
      <c r="N1418" s="8"/>
      <c r="O1418" s="8"/>
      <c r="P1418" s="8"/>
      <c r="Q1418" s="5"/>
      <c r="R1418" s="5"/>
      <c r="S1418" s="5"/>
      <c r="T1418" s="5"/>
      <c r="U1418" s="5"/>
      <c r="V1418" s="10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02"/>
      <c r="AU1418" s="502"/>
      <c r="AV1418" s="606"/>
      <c r="AW1418" s="502"/>
      <c r="AX1418" s="502"/>
      <c r="AY1418" s="502"/>
      <c r="AZ1418" s="502"/>
      <c r="BA1418" s="502"/>
      <c r="BB1418" s="502"/>
      <c r="BC1418" s="502"/>
      <c r="BD1418" s="502"/>
      <c r="BE1418" s="502"/>
      <c r="BF1418" s="502"/>
      <c r="BG1418" s="502"/>
      <c r="BH1418" s="502"/>
      <c r="BI1418" s="502"/>
      <c r="BJ1418" s="502"/>
      <c r="BK1418" s="502"/>
      <c r="BL1418" s="502"/>
      <c r="BM1418" s="502"/>
      <c r="BN1418" s="502"/>
      <c r="BO1418" s="502"/>
      <c r="BP1418" s="5"/>
      <c r="BQ1418" s="5"/>
      <c r="BR1418" s="5"/>
      <c r="BS1418" s="5"/>
      <c r="BT1418" s="5"/>
      <c r="BU1418" s="5"/>
      <c r="BV1418" s="5"/>
      <c r="BW1418" s="5"/>
      <c r="BX1418" s="5"/>
      <c r="BY1418" s="5"/>
      <c r="BZ1418" s="5"/>
      <c r="CA1418" s="5"/>
      <c r="CB1418" s="5"/>
      <c r="CC1418" s="5"/>
      <c r="CD1418" s="5"/>
      <c r="CE1418" s="5"/>
      <c r="CF1418" s="5"/>
      <c r="CG1418" s="5"/>
      <c r="CH1418" s="5"/>
      <c r="CI1418" s="5"/>
      <c r="CJ1418" s="5"/>
      <c r="CK1418" s="5"/>
      <c r="CL1418" s="5"/>
      <c r="CM1418" s="5"/>
      <c r="CN1418" s="5"/>
      <c r="CO1418" s="5"/>
      <c r="CP1418" s="5"/>
      <c r="CQ1418" s="5"/>
      <c r="CR1418" s="5"/>
      <c r="CS1418" s="5"/>
      <c r="CT1418" s="5"/>
      <c r="CU1418" s="5"/>
      <c r="CV1418" s="5"/>
      <c r="CW1418" s="5"/>
      <c r="CX1418" s="5"/>
      <c r="CY1418" s="5"/>
      <c r="CZ1418" s="5"/>
      <c r="DA1418" s="5"/>
      <c r="DB1418" s="5"/>
      <c r="DC1418" s="5"/>
      <c r="DD1418" s="5"/>
      <c r="DE1418" s="5"/>
      <c r="DF1418" s="5"/>
      <c r="DG1418" s="5"/>
      <c r="DH1418" s="5"/>
      <c r="DI1418" s="5"/>
      <c r="DJ1418" s="5"/>
      <c r="DK1418" s="5"/>
      <c r="DL1418" s="5"/>
      <c r="DM1418" s="5"/>
      <c r="DN1418" s="5"/>
      <c r="DO1418" s="5"/>
      <c r="DP1418" s="5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  <c r="GV1418" s="1"/>
      <c r="GW1418" s="1"/>
      <c r="GX1418" s="1"/>
      <c r="GY1418" s="1"/>
      <c r="GZ1418" s="1"/>
      <c r="HA1418" s="1"/>
      <c r="HB1418" s="1"/>
      <c r="HC1418" s="1"/>
      <c r="HD1418" s="1"/>
      <c r="HE1418" s="1"/>
      <c r="HF1418" s="1"/>
      <c r="HG1418" s="1"/>
      <c r="HH1418" s="1"/>
      <c r="HI1418" s="1"/>
      <c r="HJ1418" s="1"/>
      <c r="HK1418" s="1"/>
      <c r="HL1418" s="1"/>
      <c r="HM1418" s="1"/>
      <c r="HN1418" s="1"/>
      <c r="HO1418" s="1"/>
      <c r="HP1418" s="1"/>
      <c r="HQ1418" s="1"/>
      <c r="HR1418" s="1"/>
      <c r="HS1418" s="1"/>
      <c r="HT1418" s="1"/>
      <c r="HU1418" s="1"/>
      <c r="HV1418" s="1"/>
      <c r="HW1418" s="1"/>
      <c r="HX1418" s="1"/>
      <c r="HY1418" s="1"/>
      <c r="HZ1418" s="1"/>
      <c r="IA1418" s="1"/>
      <c r="IB1418" s="1"/>
      <c r="IC1418" s="1"/>
      <c r="ID1418" s="1"/>
      <c r="IE1418" s="1"/>
      <c r="IF1418" s="1"/>
      <c r="IG1418" s="1"/>
      <c r="IH1418" s="1"/>
      <c r="II1418" s="1"/>
      <c r="IJ1418" s="1"/>
      <c r="IK1418" s="1"/>
      <c r="IL1418" s="1"/>
      <c r="IM1418" s="1"/>
      <c r="IN1418" s="1"/>
      <c r="IO1418" s="1"/>
      <c r="IP1418" s="1"/>
      <c r="IQ1418" s="1"/>
      <c r="IR1418" s="1"/>
      <c r="IS1418" s="1"/>
      <c r="IT1418" s="1"/>
      <c r="IU1418" s="1"/>
      <c r="IV1418" s="1"/>
      <c r="IW1418" s="1"/>
      <c r="IX1418" s="1"/>
      <c r="IY1418" s="1"/>
      <c r="IZ1418" s="1"/>
      <c r="JA1418" s="1"/>
      <c r="JB1418" s="1"/>
      <c r="JC1418" s="1"/>
      <c r="JD1418" s="1"/>
    </row>
    <row r="1419" s="504" customFormat="true" ht="12.75" hidden="false" customHeight="true" outlineLevel="0" collapsed="false">
      <c r="A1419" s="5"/>
      <c r="B1419" s="5"/>
      <c r="C1419" s="5"/>
      <c r="D1419" s="8"/>
      <c r="E1419" s="8"/>
      <c r="F1419" s="8"/>
      <c r="G1419" s="5"/>
      <c r="H1419" s="5"/>
      <c r="I1419" s="5"/>
      <c r="J1419" s="8"/>
      <c r="K1419" s="8"/>
      <c r="L1419" s="5"/>
      <c r="M1419" s="8"/>
      <c r="N1419" s="8"/>
      <c r="O1419" s="8"/>
      <c r="P1419" s="8"/>
      <c r="Q1419" s="5"/>
      <c r="R1419" s="5"/>
      <c r="S1419" s="5"/>
      <c r="T1419" s="5"/>
      <c r="U1419" s="5"/>
      <c r="V1419" s="10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02"/>
      <c r="AU1419" s="502"/>
      <c r="AV1419" s="606"/>
      <c r="AW1419" s="502"/>
      <c r="AX1419" s="502"/>
      <c r="AY1419" s="502"/>
      <c r="AZ1419" s="502"/>
      <c r="BA1419" s="502"/>
      <c r="BB1419" s="502"/>
      <c r="BC1419" s="502"/>
      <c r="BD1419" s="502"/>
      <c r="BE1419" s="502"/>
      <c r="BF1419" s="502"/>
      <c r="BG1419" s="502"/>
      <c r="BH1419" s="502"/>
      <c r="BI1419" s="502"/>
      <c r="BJ1419" s="502"/>
      <c r="BK1419" s="502"/>
      <c r="BL1419" s="502"/>
      <c r="BM1419" s="502"/>
      <c r="BN1419" s="502"/>
      <c r="BO1419" s="502"/>
      <c r="BP1419" s="5"/>
      <c r="BQ1419" s="5"/>
      <c r="BR1419" s="5"/>
      <c r="BS1419" s="5"/>
      <c r="BT1419" s="5"/>
      <c r="BU1419" s="5"/>
      <c r="BV1419" s="5"/>
      <c r="BW1419" s="5"/>
      <c r="BX1419" s="5"/>
      <c r="BY1419" s="5"/>
      <c r="BZ1419" s="5"/>
      <c r="CA1419" s="5"/>
      <c r="CB1419" s="5"/>
      <c r="CC1419" s="5"/>
      <c r="CD1419" s="5"/>
      <c r="CE1419" s="5"/>
      <c r="CF1419" s="5"/>
      <c r="CG1419" s="5"/>
      <c r="CH1419" s="5"/>
      <c r="CI1419" s="5"/>
      <c r="CJ1419" s="5"/>
      <c r="CK1419" s="5"/>
      <c r="CL1419" s="5"/>
      <c r="CM1419" s="5"/>
      <c r="CN1419" s="5"/>
      <c r="CO1419" s="5"/>
      <c r="CP1419" s="5"/>
      <c r="CQ1419" s="5"/>
      <c r="CR1419" s="5"/>
      <c r="CS1419" s="5"/>
      <c r="CT1419" s="5"/>
      <c r="CU1419" s="5"/>
      <c r="CV1419" s="5"/>
      <c r="CW1419" s="5"/>
      <c r="CX1419" s="5"/>
      <c r="CY1419" s="5"/>
      <c r="CZ1419" s="5"/>
      <c r="DA1419" s="5"/>
      <c r="DB1419" s="5"/>
      <c r="DC1419" s="5"/>
      <c r="DD1419" s="5"/>
      <c r="DE1419" s="5"/>
      <c r="DF1419" s="5"/>
      <c r="DG1419" s="5"/>
      <c r="DH1419" s="5"/>
      <c r="DI1419" s="5"/>
      <c r="DJ1419" s="5"/>
      <c r="DK1419" s="5"/>
      <c r="DL1419" s="5"/>
      <c r="DM1419" s="5"/>
      <c r="DN1419" s="5"/>
      <c r="DO1419" s="5"/>
      <c r="DP1419" s="5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  <c r="GT1419" s="1"/>
      <c r="GU1419" s="1"/>
      <c r="GV1419" s="1"/>
      <c r="GW1419" s="1"/>
      <c r="GX1419" s="1"/>
      <c r="GY1419" s="1"/>
      <c r="GZ1419" s="1"/>
      <c r="HA1419" s="1"/>
      <c r="HB1419" s="1"/>
      <c r="HC1419" s="1"/>
      <c r="HD1419" s="1"/>
      <c r="HE1419" s="1"/>
      <c r="HF1419" s="1"/>
      <c r="HG1419" s="1"/>
      <c r="HH1419" s="1"/>
      <c r="HI1419" s="1"/>
      <c r="HJ1419" s="1"/>
      <c r="HK1419" s="1"/>
      <c r="HL1419" s="1"/>
      <c r="HM1419" s="1"/>
      <c r="HN1419" s="1"/>
      <c r="HO1419" s="1"/>
      <c r="HP1419" s="1"/>
      <c r="HQ1419" s="1"/>
      <c r="HR1419" s="1"/>
      <c r="HS1419" s="1"/>
      <c r="HT1419" s="1"/>
      <c r="HU1419" s="1"/>
      <c r="HV1419" s="1"/>
      <c r="HW1419" s="1"/>
      <c r="HX1419" s="1"/>
      <c r="HY1419" s="1"/>
      <c r="HZ1419" s="1"/>
      <c r="IA1419" s="1"/>
      <c r="IB1419" s="1"/>
      <c r="IC1419" s="1"/>
      <c r="ID1419" s="1"/>
      <c r="IE1419" s="1"/>
      <c r="IF1419" s="1"/>
      <c r="IG1419" s="1"/>
      <c r="IH1419" s="1"/>
      <c r="II1419" s="1"/>
      <c r="IJ1419" s="1"/>
      <c r="IK1419" s="1"/>
      <c r="IL1419" s="1"/>
      <c r="IM1419" s="1"/>
      <c r="IN1419" s="1"/>
      <c r="IO1419" s="1"/>
      <c r="IP1419" s="1"/>
      <c r="IQ1419" s="1"/>
      <c r="IR1419" s="1"/>
      <c r="IS1419" s="1"/>
      <c r="IT1419" s="1"/>
      <c r="IU1419" s="1"/>
      <c r="IV1419" s="1"/>
      <c r="IW1419" s="1"/>
      <c r="IX1419" s="1"/>
      <c r="IY1419" s="1"/>
      <c r="IZ1419" s="1"/>
      <c r="JA1419" s="1"/>
      <c r="JB1419" s="1"/>
      <c r="JC1419" s="1"/>
      <c r="JD1419" s="1"/>
    </row>
    <row r="1420" s="504" customFormat="true" ht="12.75" hidden="false" customHeight="true" outlineLevel="0" collapsed="false">
      <c r="A1420" s="5"/>
      <c r="B1420" s="5"/>
      <c r="C1420" s="5"/>
      <c r="D1420" s="8"/>
      <c r="E1420" s="8"/>
      <c r="F1420" s="8"/>
      <c r="G1420" s="5"/>
      <c r="H1420" s="5"/>
      <c r="I1420" s="5"/>
      <c r="J1420" s="8"/>
      <c r="K1420" s="8"/>
      <c r="L1420" s="5"/>
      <c r="M1420" s="8"/>
      <c r="N1420" s="8"/>
      <c r="O1420" s="8"/>
      <c r="P1420" s="8"/>
      <c r="Q1420" s="5"/>
      <c r="R1420" s="5"/>
      <c r="S1420" s="5"/>
      <c r="T1420" s="5"/>
      <c r="U1420" s="5"/>
      <c r="V1420" s="10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02"/>
      <c r="AU1420" s="502"/>
      <c r="AV1420" s="606"/>
      <c r="AW1420" s="502"/>
      <c r="AX1420" s="502"/>
      <c r="AY1420" s="502"/>
      <c r="AZ1420" s="502"/>
      <c r="BA1420" s="502"/>
      <c r="BB1420" s="502"/>
      <c r="BC1420" s="502"/>
      <c r="BD1420" s="502"/>
      <c r="BE1420" s="502"/>
      <c r="BF1420" s="502"/>
      <c r="BG1420" s="502"/>
      <c r="BH1420" s="502"/>
      <c r="BI1420" s="502"/>
      <c r="BJ1420" s="502"/>
      <c r="BK1420" s="502"/>
      <c r="BL1420" s="502"/>
      <c r="BM1420" s="502"/>
      <c r="BN1420" s="502"/>
      <c r="BO1420" s="502"/>
      <c r="BP1420" s="5"/>
      <c r="BQ1420" s="5"/>
      <c r="BR1420" s="5"/>
      <c r="BS1420" s="5"/>
      <c r="BT1420" s="5"/>
      <c r="BU1420" s="5"/>
      <c r="BV1420" s="5"/>
      <c r="BW1420" s="5"/>
      <c r="BX1420" s="5"/>
      <c r="BY1420" s="5"/>
      <c r="BZ1420" s="5"/>
      <c r="CA1420" s="5"/>
      <c r="CB1420" s="5"/>
      <c r="CC1420" s="5"/>
      <c r="CD1420" s="5"/>
      <c r="CE1420" s="5"/>
      <c r="CF1420" s="5"/>
      <c r="CG1420" s="5"/>
      <c r="CH1420" s="5"/>
      <c r="CI1420" s="5"/>
      <c r="CJ1420" s="5"/>
      <c r="CK1420" s="5"/>
      <c r="CL1420" s="5"/>
      <c r="CM1420" s="5"/>
      <c r="CN1420" s="5"/>
      <c r="CO1420" s="5"/>
      <c r="CP1420" s="5"/>
      <c r="CQ1420" s="5"/>
      <c r="CR1420" s="5"/>
      <c r="CS1420" s="5"/>
      <c r="CT1420" s="5"/>
      <c r="CU1420" s="5"/>
      <c r="CV1420" s="5"/>
      <c r="CW1420" s="5"/>
      <c r="CX1420" s="5"/>
      <c r="CY1420" s="5"/>
      <c r="CZ1420" s="5"/>
      <c r="DA1420" s="5"/>
      <c r="DB1420" s="5"/>
      <c r="DC1420" s="5"/>
      <c r="DD1420" s="5"/>
      <c r="DE1420" s="5"/>
      <c r="DF1420" s="5"/>
      <c r="DG1420" s="5"/>
      <c r="DH1420" s="5"/>
      <c r="DI1420" s="5"/>
      <c r="DJ1420" s="5"/>
      <c r="DK1420" s="5"/>
      <c r="DL1420" s="5"/>
      <c r="DM1420" s="5"/>
      <c r="DN1420" s="5"/>
      <c r="DO1420" s="5"/>
      <c r="DP1420" s="5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  <c r="GT1420" s="1"/>
      <c r="GU1420" s="1"/>
      <c r="GV1420" s="1"/>
      <c r="GW1420" s="1"/>
      <c r="GX1420" s="1"/>
      <c r="GY1420" s="1"/>
      <c r="GZ1420" s="1"/>
      <c r="HA1420" s="1"/>
      <c r="HB1420" s="1"/>
      <c r="HC1420" s="1"/>
      <c r="HD1420" s="1"/>
      <c r="HE1420" s="1"/>
      <c r="HF1420" s="1"/>
      <c r="HG1420" s="1"/>
      <c r="HH1420" s="1"/>
      <c r="HI1420" s="1"/>
      <c r="HJ1420" s="1"/>
      <c r="HK1420" s="1"/>
      <c r="HL1420" s="1"/>
      <c r="HM1420" s="1"/>
      <c r="HN1420" s="1"/>
      <c r="HO1420" s="1"/>
      <c r="HP1420" s="1"/>
      <c r="HQ1420" s="1"/>
      <c r="HR1420" s="1"/>
      <c r="HS1420" s="1"/>
      <c r="HT1420" s="1"/>
      <c r="HU1420" s="1"/>
      <c r="HV1420" s="1"/>
      <c r="HW1420" s="1"/>
      <c r="HX1420" s="1"/>
      <c r="HY1420" s="1"/>
      <c r="HZ1420" s="1"/>
      <c r="IA1420" s="1"/>
      <c r="IB1420" s="1"/>
      <c r="IC1420" s="1"/>
      <c r="ID1420" s="1"/>
      <c r="IE1420" s="1"/>
      <c r="IF1420" s="1"/>
      <c r="IG1420" s="1"/>
      <c r="IH1420" s="1"/>
      <c r="II1420" s="1"/>
      <c r="IJ1420" s="1"/>
      <c r="IK1420" s="1"/>
      <c r="IL1420" s="1"/>
      <c r="IM1420" s="1"/>
      <c r="IN1420" s="1"/>
      <c r="IO1420" s="1"/>
      <c r="IP1420" s="1"/>
      <c r="IQ1420" s="1"/>
      <c r="IR1420" s="1"/>
      <c r="IS1420" s="1"/>
      <c r="IT1420" s="1"/>
      <c r="IU1420" s="1"/>
      <c r="IV1420" s="1"/>
      <c r="IW1420" s="1"/>
      <c r="IX1420" s="1"/>
      <c r="IY1420" s="1"/>
      <c r="IZ1420" s="1"/>
      <c r="JA1420" s="1"/>
      <c r="JB1420" s="1"/>
      <c r="JC1420" s="1"/>
      <c r="JD1420" s="1"/>
    </row>
    <row r="1421" s="504" customFormat="true" ht="12.75" hidden="false" customHeight="true" outlineLevel="0" collapsed="false">
      <c r="A1421" s="5"/>
      <c r="B1421" s="5"/>
      <c r="C1421" s="5"/>
      <c r="D1421" s="8"/>
      <c r="E1421" s="8"/>
      <c r="F1421" s="8"/>
      <c r="G1421" s="5"/>
      <c r="H1421" s="5"/>
      <c r="I1421" s="5"/>
      <c r="J1421" s="8"/>
      <c r="K1421" s="8"/>
      <c r="L1421" s="5"/>
      <c r="M1421" s="8"/>
      <c r="N1421" s="8"/>
      <c r="O1421" s="8"/>
      <c r="P1421" s="8"/>
      <c r="Q1421" s="5"/>
      <c r="R1421" s="5"/>
      <c r="S1421" s="5"/>
      <c r="T1421" s="5"/>
      <c r="U1421" s="5"/>
      <c r="V1421" s="10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02"/>
      <c r="AU1421" s="502"/>
      <c r="AV1421" s="606"/>
      <c r="AW1421" s="502"/>
      <c r="AX1421" s="502"/>
      <c r="AY1421" s="502"/>
      <c r="AZ1421" s="502"/>
      <c r="BA1421" s="502"/>
      <c r="BB1421" s="502"/>
      <c r="BC1421" s="502"/>
      <c r="BD1421" s="502"/>
      <c r="BE1421" s="502"/>
      <c r="BF1421" s="502"/>
      <c r="BG1421" s="502"/>
      <c r="BH1421" s="502"/>
      <c r="BI1421" s="502"/>
      <c r="BJ1421" s="502"/>
      <c r="BK1421" s="502"/>
      <c r="BL1421" s="502"/>
      <c r="BM1421" s="502"/>
      <c r="BN1421" s="502"/>
      <c r="BO1421" s="502"/>
      <c r="BP1421" s="5"/>
      <c r="BQ1421" s="5"/>
      <c r="BR1421" s="5"/>
      <c r="BS1421" s="5"/>
      <c r="BT1421" s="5"/>
      <c r="BU1421" s="5"/>
      <c r="BV1421" s="5"/>
      <c r="BW1421" s="5"/>
      <c r="BX1421" s="5"/>
      <c r="BY1421" s="5"/>
      <c r="BZ1421" s="5"/>
      <c r="CA1421" s="5"/>
      <c r="CB1421" s="5"/>
      <c r="CC1421" s="5"/>
      <c r="CD1421" s="5"/>
      <c r="CE1421" s="5"/>
      <c r="CF1421" s="5"/>
      <c r="CG1421" s="5"/>
      <c r="CH1421" s="5"/>
      <c r="CI1421" s="5"/>
      <c r="CJ1421" s="5"/>
      <c r="CK1421" s="5"/>
      <c r="CL1421" s="5"/>
      <c r="CM1421" s="5"/>
      <c r="CN1421" s="5"/>
      <c r="CO1421" s="5"/>
      <c r="CP1421" s="5"/>
      <c r="CQ1421" s="5"/>
      <c r="CR1421" s="5"/>
      <c r="CS1421" s="5"/>
      <c r="CT1421" s="5"/>
      <c r="CU1421" s="5"/>
      <c r="CV1421" s="5"/>
      <c r="CW1421" s="5"/>
      <c r="CX1421" s="5"/>
      <c r="CY1421" s="5"/>
      <c r="CZ1421" s="5"/>
      <c r="DA1421" s="5"/>
      <c r="DB1421" s="5"/>
      <c r="DC1421" s="5"/>
      <c r="DD1421" s="5"/>
      <c r="DE1421" s="5"/>
      <c r="DF1421" s="5"/>
      <c r="DG1421" s="5"/>
      <c r="DH1421" s="5"/>
      <c r="DI1421" s="5"/>
      <c r="DJ1421" s="5"/>
      <c r="DK1421" s="5"/>
      <c r="DL1421" s="5"/>
      <c r="DM1421" s="5"/>
      <c r="DN1421" s="5"/>
      <c r="DO1421" s="5"/>
      <c r="DP1421" s="5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  <c r="GT1421" s="1"/>
      <c r="GU1421" s="1"/>
      <c r="GV1421" s="1"/>
      <c r="GW1421" s="1"/>
      <c r="GX1421" s="1"/>
      <c r="GY1421" s="1"/>
      <c r="GZ1421" s="1"/>
      <c r="HA1421" s="1"/>
      <c r="HB1421" s="1"/>
      <c r="HC1421" s="1"/>
      <c r="HD1421" s="1"/>
      <c r="HE1421" s="1"/>
      <c r="HF1421" s="1"/>
      <c r="HG1421" s="1"/>
      <c r="HH1421" s="1"/>
      <c r="HI1421" s="1"/>
      <c r="HJ1421" s="1"/>
      <c r="HK1421" s="1"/>
      <c r="HL1421" s="1"/>
      <c r="HM1421" s="1"/>
      <c r="HN1421" s="1"/>
      <c r="HO1421" s="1"/>
      <c r="HP1421" s="1"/>
      <c r="HQ1421" s="1"/>
      <c r="HR1421" s="1"/>
      <c r="HS1421" s="1"/>
      <c r="HT1421" s="1"/>
      <c r="HU1421" s="1"/>
      <c r="HV1421" s="1"/>
      <c r="HW1421" s="1"/>
      <c r="HX1421" s="1"/>
      <c r="HY1421" s="1"/>
      <c r="HZ1421" s="1"/>
      <c r="IA1421" s="1"/>
      <c r="IB1421" s="1"/>
      <c r="IC1421" s="1"/>
      <c r="ID1421" s="1"/>
      <c r="IE1421" s="1"/>
      <c r="IF1421" s="1"/>
      <c r="IG1421" s="1"/>
      <c r="IH1421" s="1"/>
      <c r="II1421" s="1"/>
      <c r="IJ1421" s="1"/>
      <c r="IK1421" s="1"/>
      <c r="IL1421" s="1"/>
      <c r="IM1421" s="1"/>
      <c r="IN1421" s="1"/>
      <c r="IO1421" s="1"/>
      <c r="IP1421" s="1"/>
      <c r="IQ1421" s="1"/>
      <c r="IR1421" s="1"/>
      <c r="IS1421" s="1"/>
      <c r="IT1421" s="1"/>
      <c r="IU1421" s="1"/>
      <c r="IV1421" s="1"/>
      <c r="IW1421" s="1"/>
      <c r="IX1421" s="1"/>
      <c r="IY1421" s="1"/>
      <c r="IZ1421" s="1"/>
      <c r="JA1421" s="1"/>
      <c r="JB1421" s="1"/>
      <c r="JC1421" s="1"/>
      <c r="JD1421" s="1"/>
    </row>
    <row r="1422" s="504" customFormat="true" ht="12.75" hidden="false" customHeight="true" outlineLevel="0" collapsed="false">
      <c r="A1422" s="5"/>
      <c r="B1422" s="5"/>
      <c r="C1422" s="5"/>
      <c r="D1422" s="8"/>
      <c r="E1422" s="8"/>
      <c r="F1422" s="8"/>
      <c r="G1422" s="5"/>
      <c r="H1422" s="5"/>
      <c r="I1422" s="5"/>
      <c r="J1422" s="8"/>
      <c r="K1422" s="8"/>
      <c r="L1422" s="5"/>
      <c r="M1422" s="8"/>
      <c r="N1422" s="8"/>
      <c r="O1422" s="8"/>
      <c r="P1422" s="8"/>
      <c r="Q1422" s="5"/>
      <c r="R1422" s="5"/>
      <c r="S1422" s="5"/>
      <c r="T1422" s="5"/>
      <c r="U1422" s="5"/>
      <c r="V1422" s="10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02"/>
      <c r="AU1422" s="502"/>
      <c r="AV1422" s="606"/>
      <c r="AW1422" s="502"/>
      <c r="AX1422" s="502"/>
      <c r="AY1422" s="502"/>
      <c r="AZ1422" s="502"/>
      <c r="BA1422" s="502"/>
      <c r="BB1422" s="502"/>
      <c r="BC1422" s="502"/>
      <c r="BD1422" s="502"/>
      <c r="BE1422" s="502"/>
      <c r="BF1422" s="502"/>
      <c r="BG1422" s="502"/>
      <c r="BH1422" s="502"/>
      <c r="BI1422" s="502"/>
      <c r="BJ1422" s="502"/>
      <c r="BK1422" s="502"/>
      <c r="BL1422" s="502"/>
      <c r="BM1422" s="502"/>
      <c r="BN1422" s="502"/>
      <c r="BO1422" s="502"/>
      <c r="BP1422" s="5"/>
      <c r="BQ1422" s="5"/>
      <c r="BR1422" s="5"/>
      <c r="BS1422" s="5"/>
      <c r="BT1422" s="5"/>
      <c r="BU1422" s="5"/>
      <c r="BV1422" s="5"/>
      <c r="BW1422" s="5"/>
      <c r="BX1422" s="5"/>
      <c r="BY1422" s="5"/>
      <c r="BZ1422" s="5"/>
      <c r="CA1422" s="5"/>
      <c r="CB1422" s="5"/>
      <c r="CC1422" s="5"/>
      <c r="CD1422" s="5"/>
      <c r="CE1422" s="5"/>
      <c r="CF1422" s="5"/>
      <c r="CG1422" s="5"/>
      <c r="CH1422" s="5"/>
      <c r="CI1422" s="5"/>
      <c r="CJ1422" s="5"/>
      <c r="CK1422" s="5"/>
      <c r="CL1422" s="5"/>
      <c r="CM1422" s="5"/>
      <c r="CN1422" s="5"/>
      <c r="CO1422" s="5"/>
      <c r="CP1422" s="5"/>
      <c r="CQ1422" s="5"/>
      <c r="CR1422" s="5"/>
      <c r="CS1422" s="5"/>
      <c r="CT1422" s="5"/>
      <c r="CU1422" s="5"/>
      <c r="CV1422" s="5"/>
      <c r="CW1422" s="5"/>
      <c r="CX1422" s="5"/>
      <c r="CY1422" s="5"/>
      <c r="CZ1422" s="5"/>
      <c r="DA1422" s="5"/>
      <c r="DB1422" s="5"/>
      <c r="DC1422" s="5"/>
      <c r="DD1422" s="5"/>
      <c r="DE1422" s="5"/>
      <c r="DF1422" s="5"/>
      <c r="DG1422" s="5"/>
      <c r="DH1422" s="5"/>
      <c r="DI1422" s="5"/>
      <c r="DJ1422" s="5"/>
      <c r="DK1422" s="5"/>
      <c r="DL1422" s="5"/>
      <c r="DM1422" s="5"/>
      <c r="DN1422" s="5"/>
      <c r="DO1422" s="5"/>
      <c r="DP1422" s="5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  <c r="GT1422" s="1"/>
      <c r="GU1422" s="1"/>
      <c r="GV1422" s="1"/>
      <c r="GW1422" s="1"/>
      <c r="GX1422" s="1"/>
      <c r="GY1422" s="1"/>
      <c r="GZ1422" s="1"/>
      <c r="HA1422" s="1"/>
      <c r="HB1422" s="1"/>
      <c r="HC1422" s="1"/>
      <c r="HD1422" s="1"/>
      <c r="HE1422" s="1"/>
      <c r="HF1422" s="1"/>
      <c r="HG1422" s="1"/>
      <c r="HH1422" s="1"/>
      <c r="HI1422" s="1"/>
      <c r="HJ1422" s="1"/>
      <c r="HK1422" s="1"/>
      <c r="HL1422" s="1"/>
      <c r="HM1422" s="1"/>
      <c r="HN1422" s="1"/>
      <c r="HO1422" s="1"/>
      <c r="HP1422" s="1"/>
      <c r="HQ1422" s="1"/>
      <c r="HR1422" s="1"/>
      <c r="HS1422" s="1"/>
      <c r="HT1422" s="1"/>
      <c r="HU1422" s="1"/>
      <c r="HV1422" s="1"/>
      <c r="HW1422" s="1"/>
      <c r="HX1422" s="1"/>
      <c r="HY1422" s="1"/>
      <c r="HZ1422" s="1"/>
      <c r="IA1422" s="1"/>
      <c r="IB1422" s="1"/>
      <c r="IC1422" s="1"/>
      <c r="ID1422" s="1"/>
      <c r="IE1422" s="1"/>
      <c r="IF1422" s="1"/>
      <c r="IG1422" s="1"/>
      <c r="IH1422" s="1"/>
      <c r="II1422" s="1"/>
      <c r="IJ1422" s="1"/>
      <c r="IK1422" s="1"/>
      <c r="IL1422" s="1"/>
      <c r="IM1422" s="1"/>
      <c r="IN1422" s="1"/>
      <c r="IO1422" s="1"/>
      <c r="IP1422" s="1"/>
      <c r="IQ1422" s="1"/>
      <c r="IR1422" s="1"/>
      <c r="IS1422" s="1"/>
      <c r="IT1422" s="1"/>
      <c r="IU1422" s="1"/>
      <c r="IV1422" s="1"/>
      <c r="IW1422" s="1"/>
      <c r="IX1422" s="1"/>
      <c r="IY1422" s="1"/>
      <c r="IZ1422" s="1"/>
      <c r="JA1422" s="1"/>
      <c r="JB1422" s="1"/>
      <c r="JC1422" s="1"/>
      <c r="JD1422" s="1"/>
    </row>
    <row r="1423" s="504" customFormat="true" ht="12.75" hidden="false" customHeight="true" outlineLevel="0" collapsed="false">
      <c r="A1423" s="5"/>
      <c r="B1423" s="5"/>
      <c r="C1423" s="5"/>
      <c r="D1423" s="8"/>
      <c r="E1423" s="8"/>
      <c r="F1423" s="8"/>
      <c r="G1423" s="5"/>
      <c r="H1423" s="5"/>
      <c r="I1423" s="5"/>
      <c r="J1423" s="8"/>
      <c r="K1423" s="8"/>
      <c r="L1423" s="5"/>
      <c r="M1423" s="8"/>
      <c r="N1423" s="8"/>
      <c r="O1423" s="8"/>
      <c r="P1423" s="8"/>
      <c r="Q1423" s="5"/>
      <c r="R1423" s="5"/>
      <c r="S1423" s="5"/>
      <c r="T1423" s="5"/>
      <c r="U1423" s="5"/>
      <c r="V1423" s="10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02"/>
      <c r="AU1423" s="502"/>
      <c r="AV1423" s="606"/>
      <c r="AW1423" s="502"/>
      <c r="AX1423" s="502"/>
      <c r="AY1423" s="502"/>
      <c r="AZ1423" s="502"/>
      <c r="BA1423" s="502"/>
      <c r="BB1423" s="502"/>
      <c r="BC1423" s="502"/>
      <c r="BD1423" s="502"/>
      <c r="BE1423" s="502"/>
      <c r="BF1423" s="502"/>
      <c r="BG1423" s="502"/>
      <c r="BH1423" s="502"/>
      <c r="BI1423" s="502"/>
      <c r="BJ1423" s="502"/>
      <c r="BK1423" s="502"/>
      <c r="BL1423" s="502"/>
      <c r="BM1423" s="502"/>
      <c r="BN1423" s="502"/>
      <c r="BO1423" s="502"/>
      <c r="BP1423" s="5"/>
      <c r="BQ1423" s="5"/>
      <c r="BR1423" s="5"/>
      <c r="BS1423" s="5"/>
      <c r="BT1423" s="5"/>
      <c r="BU1423" s="5"/>
      <c r="BV1423" s="5"/>
      <c r="BW1423" s="5"/>
      <c r="BX1423" s="5"/>
      <c r="BY1423" s="5"/>
      <c r="BZ1423" s="5"/>
      <c r="CA1423" s="5"/>
      <c r="CB1423" s="5"/>
      <c r="CC1423" s="5"/>
      <c r="CD1423" s="5"/>
      <c r="CE1423" s="5"/>
      <c r="CF1423" s="5"/>
      <c r="CG1423" s="5"/>
      <c r="CH1423" s="5"/>
      <c r="CI1423" s="5"/>
      <c r="CJ1423" s="5"/>
      <c r="CK1423" s="5"/>
      <c r="CL1423" s="5"/>
      <c r="CM1423" s="5"/>
      <c r="CN1423" s="5"/>
      <c r="CO1423" s="5"/>
      <c r="CP1423" s="5"/>
      <c r="CQ1423" s="5"/>
      <c r="CR1423" s="5"/>
      <c r="CS1423" s="5"/>
      <c r="CT1423" s="5"/>
      <c r="CU1423" s="5"/>
      <c r="CV1423" s="5"/>
      <c r="CW1423" s="5"/>
      <c r="CX1423" s="5"/>
      <c r="CY1423" s="5"/>
      <c r="CZ1423" s="5"/>
      <c r="DA1423" s="5"/>
      <c r="DB1423" s="5"/>
      <c r="DC1423" s="5"/>
      <c r="DD1423" s="5"/>
      <c r="DE1423" s="5"/>
      <c r="DF1423" s="5"/>
      <c r="DG1423" s="5"/>
      <c r="DH1423" s="5"/>
      <c r="DI1423" s="5"/>
      <c r="DJ1423" s="5"/>
      <c r="DK1423" s="5"/>
      <c r="DL1423" s="5"/>
      <c r="DM1423" s="5"/>
      <c r="DN1423" s="5"/>
      <c r="DO1423" s="5"/>
      <c r="DP1423" s="5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1"/>
      <c r="GT1423" s="1"/>
      <c r="GU1423" s="1"/>
      <c r="GV1423" s="1"/>
      <c r="GW1423" s="1"/>
      <c r="GX1423" s="1"/>
      <c r="GY1423" s="1"/>
      <c r="GZ1423" s="1"/>
      <c r="HA1423" s="1"/>
      <c r="HB1423" s="1"/>
      <c r="HC1423" s="1"/>
      <c r="HD1423" s="1"/>
      <c r="HE1423" s="1"/>
      <c r="HF1423" s="1"/>
      <c r="HG1423" s="1"/>
      <c r="HH1423" s="1"/>
      <c r="HI1423" s="1"/>
      <c r="HJ1423" s="1"/>
      <c r="HK1423" s="1"/>
      <c r="HL1423" s="1"/>
      <c r="HM1423" s="1"/>
      <c r="HN1423" s="1"/>
      <c r="HO1423" s="1"/>
      <c r="HP1423" s="1"/>
      <c r="HQ1423" s="1"/>
      <c r="HR1423" s="1"/>
      <c r="HS1423" s="1"/>
      <c r="HT1423" s="1"/>
      <c r="HU1423" s="1"/>
      <c r="HV1423" s="1"/>
      <c r="HW1423" s="1"/>
      <c r="HX1423" s="1"/>
      <c r="HY1423" s="1"/>
      <c r="HZ1423" s="1"/>
      <c r="IA1423" s="1"/>
      <c r="IB1423" s="1"/>
      <c r="IC1423" s="1"/>
      <c r="ID1423" s="1"/>
      <c r="IE1423" s="1"/>
      <c r="IF1423" s="1"/>
      <c r="IG1423" s="1"/>
      <c r="IH1423" s="1"/>
      <c r="II1423" s="1"/>
      <c r="IJ1423" s="1"/>
      <c r="IK1423" s="1"/>
      <c r="IL1423" s="1"/>
      <c r="IM1423" s="1"/>
      <c r="IN1423" s="1"/>
      <c r="IO1423" s="1"/>
      <c r="IP1423" s="1"/>
      <c r="IQ1423" s="1"/>
      <c r="IR1423" s="1"/>
      <c r="IS1423" s="1"/>
      <c r="IT1423" s="1"/>
      <c r="IU1423" s="1"/>
      <c r="IV1423" s="1"/>
      <c r="IW1423" s="1"/>
      <c r="IX1423" s="1"/>
      <c r="IY1423" s="1"/>
      <c r="IZ1423" s="1"/>
      <c r="JA1423" s="1"/>
      <c r="JB1423" s="1"/>
      <c r="JC1423" s="1"/>
      <c r="JD1423" s="1"/>
    </row>
    <row r="1424" s="504" customFormat="true" ht="12.75" hidden="false" customHeight="true" outlineLevel="0" collapsed="false">
      <c r="A1424" s="5"/>
      <c r="B1424" s="5"/>
      <c r="C1424" s="5"/>
      <c r="D1424" s="8"/>
      <c r="E1424" s="8"/>
      <c r="F1424" s="8"/>
      <c r="G1424" s="5"/>
      <c r="H1424" s="5"/>
      <c r="I1424" s="5"/>
      <c r="J1424" s="8"/>
      <c r="K1424" s="8"/>
      <c r="L1424" s="5"/>
      <c r="M1424" s="8"/>
      <c r="N1424" s="8"/>
      <c r="O1424" s="8"/>
      <c r="P1424" s="8"/>
      <c r="Q1424" s="5"/>
      <c r="R1424" s="5"/>
      <c r="S1424" s="5"/>
      <c r="T1424" s="5"/>
      <c r="U1424" s="5"/>
      <c r="V1424" s="10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02"/>
      <c r="AU1424" s="502"/>
      <c r="AV1424" s="606"/>
      <c r="AW1424" s="502"/>
      <c r="AX1424" s="502"/>
      <c r="AY1424" s="502"/>
      <c r="AZ1424" s="502"/>
      <c r="BA1424" s="502"/>
      <c r="BB1424" s="502"/>
      <c r="BC1424" s="502"/>
      <c r="BD1424" s="502"/>
      <c r="BE1424" s="502"/>
      <c r="BF1424" s="502"/>
      <c r="BG1424" s="502"/>
      <c r="BH1424" s="502"/>
      <c r="BI1424" s="502"/>
      <c r="BJ1424" s="502"/>
      <c r="BK1424" s="502"/>
      <c r="BL1424" s="502"/>
      <c r="BM1424" s="502"/>
      <c r="BN1424" s="502"/>
      <c r="BO1424" s="502"/>
      <c r="BP1424" s="5"/>
      <c r="BQ1424" s="5"/>
      <c r="BR1424" s="5"/>
      <c r="BS1424" s="5"/>
      <c r="BT1424" s="5"/>
      <c r="BU1424" s="5"/>
      <c r="BV1424" s="5"/>
      <c r="BW1424" s="5"/>
      <c r="BX1424" s="5"/>
      <c r="BY1424" s="5"/>
      <c r="BZ1424" s="5"/>
      <c r="CA1424" s="5"/>
      <c r="CB1424" s="5"/>
      <c r="CC1424" s="5"/>
      <c r="CD1424" s="5"/>
      <c r="CE1424" s="5"/>
      <c r="CF1424" s="5"/>
      <c r="CG1424" s="5"/>
      <c r="CH1424" s="5"/>
      <c r="CI1424" s="5"/>
      <c r="CJ1424" s="5"/>
      <c r="CK1424" s="5"/>
      <c r="CL1424" s="5"/>
      <c r="CM1424" s="5"/>
      <c r="CN1424" s="5"/>
      <c r="CO1424" s="5"/>
      <c r="CP1424" s="5"/>
      <c r="CQ1424" s="5"/>
      <c r="CR1424" s="5"/>
      <c r="CS1424" s="5"/>
      <c r="CT1424" s="5"/>
      <c r="CU1424" s="5"/>
      <c r="CV1424" s="5"/>
      <c r="CW1424" s="5"/>
      <c r="CX1424" s="5"/>
      <c r="CY1424" s="5"/>
      <c r="CZ1424" s="5"/>
      <c r="DA1424" s="5"/>
      <c r="DB1424" s="5"/>
      <c r="DC1424" s="5"/>
      <c r="DD1424" s="5"/>
      <c r="DE1424" s="5"/>
      <c r="DF1424" s="5"/>
      <c r="DG1424" s="5"/>
      <c r="DH1424" s="5"/>
      <c r="DI1424" s="5"/>
      <c r="DJ1424" s="5"/>
      <c r="DK1424" s="5"/>
      <c r="DL1424" s="5"/>
      <c r="DM1424" s="5"/>
      <c r="DN1424" s="5"/>
      <c r="DO1424" s="5"/>
      <c r="DP1424" s="5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  <c r="GT1424" s="1"/>
      <c r="GU1424" s="1"/>
      <c r="GV1424" s="1"/>
      <c r="GW1424" s="1"/>
      <c r="GX1424" s="1"/>
      <c r="GY1424" s="1"/>
      <c r="GZ1424" s="1"/>
      <c r="HA1424" s="1"/>
      <c r="HB1424" s="1"/>
      <c r="HC1424" s="1"/>
      <c r="HD1424" s="1"/>
      <c r="HE1424" s="1"/>
      <c r="HF1424" s="1"/>
      <c r="HG1424" s="1"/>
      <c r="HH1424" s="1"/>
      <c r="HI1424" s="1"/>
      <c r="HJ1424" s="1"/>
      <c r="HK1424" s="1"/>
      <c r="HL1424" s="1"/>
      <c r="HM1424" s="1"/>
      <c r="HN1424" s="1"/>
      <c r="HO1424" s="1"/>
      <c r="HP1424" s="1"/>
      <c r="HQ1424" s="1"/>
      <c r="HR1424" s="1"/>
      <c r="HS1424" s="1"/>
      <c r="HT1424" s="1"/>
      <c r="HU1424" s="1"/>
      <c r="HV1424" s="1"/>
      <c r="HW1424" s="1"/>
      <c r="HX1424" s="1"/>
      <c r="HY1424" s="1"/>
      <c r="HZ1424" s="1"/>
      <c r="IA1424" s="1"/>
      <c r="IB1424" s="1"/>
      <c r="IC1424" s="1"/>
      <c r="ID1424" s="1"/>
      <c r="IE1424" s="1"/>
      <c r="IF1424" s="1"/>
      <c r="IG1424" s="1"/>
      <c r="IH1424" s="1"/>
      <c r="II1424" s="1"/>
      <c r="IJ1424" s="1"/>
      <c r="IK1424" s="1"/>
      <c r="IL1424" s="1"/>
      <c r="IM1424" s="1"/>
      <c r="IN1424" s="1"/>
      <c r="IO1424" s="1"/>
      <c r="IP1424" s="1"/>
      <c r="IQ1424" s="1"/>
      <c r="IR1424" s="1"/>
      <c r="IS1424" s="1"/>
      <c r="IT1424" s="1"/>
      <c r="IU1424" s="1"/>
      <c r="IV1424" s="1"/>
      <c r="IW1424" s="1"/>
      <c r="IX1424" s="1"/>
      <c r="IY1424" s="1"/>
      <c r="IZ1424" s="1"/>
      <c r="JA1424" s="1"/>
      <c r="JB1424" s="1"/>
      <c r="JC1424" s="1"/>
      <c r="JD1424" s="1"/>
    </row>
    <row r="1425" s="504" customFormat="true" ht="12.75" hidden="false" customHeight="true" outlineLevel="0" collapsed="false">
      <c r="A1425" s="5"/>
      <c r="B1425" s="5"/>
      <c r="C1425" s="5"/>
      <c r="D1425" s="8"/>
      <c r="E1425" s="8"/>
      <c r="F1425" s="8"/>
      <c r="G1425" s="5"/>
      <c r="H1425" s="5"/>
      <c r="I1425" s="5"/>
      <c r="J1425" s="8"/>
      <c r="K1425" s="8"/>
      <c r="L1425" s="5"/>
      <c r="M1425" s="8"/>
      <c r="N1425" s="8"/>
      <c r="O1425" s="8"/>
      <c r="P1425" s="8"/>
      <c r="Q1425" s="5"/>
      <c r="R1425" s="5"/>
      <c r="S1425" s="5"/>
      <c r="T1425" s="5"/>
      <c r="U1425" s="5"/>
      <c r="V1425" s="10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02"/>
      <c r="AU1425" s="502"/>
      <c r="AV1425" s="606"/>
      <c r="AW1425" s="502"/>
      <c r="AX1425" s="502"/>
      <c r="AY1425" s="502"/>
      <c r="AZ1425" s="502"/>
      <c r="BA1425" s="502"/>
      <c r="BB1425" s="502"/>
      <c r="BC1425" s="502"/>
      <c r="BD1425" s="502"/>
      <c r="BE1425" s="502"/>
      <c r="BF1425" s="502"/>
      <c r="BG1425" s="502"/>
      <c r="BH1425" s="502"/>
      <c r="BI1425" s="502"/>
      <c r="BJ1425" s="502"/>
      <c r="BK1425" s="502"/>
      <c r="BL1425" s="502"/>
      <c r="BM1425" s="502"/>
      <c r="BN1425" s="502"/>
      <c r="BO1425" s="502"/>
      <c r="BP1425" s="5"/>
      <c r="BQ1425" s="5"/>
      <c r="BR1425" s="5"/>
      <c r="BS1425" s="5"/>
      <c r="BT1425" s="5"/>
      <c r="BU1425" s="5"/>
      <c r="BV1425" s="5"/>
      <c r="BW1425" s="5"/>
      <c r="BX1425" s="5"/>
      <c r="BY1425" s="5"/>
      <c r="BZ1425" s="5"/>
      <c r="CA1425" s="5"/>
      <c r="CB1425" s="5"/>
      <c r="CC1425" s="5"/>
      <c r="CD1425" s="5"/>
      <c r="CE1425" s="5"/>
      <c r="CF1425" s="5"/>
      <c r="CG1425" s="5"/>
      <c r="CH1425" s="5"/>
      <c r="CI1425" s="5"/>
      <c r="CJ1425" s="5"/>
      <c r="CK1425" s="5"/>
      <c r="CL1425" s="5"/>
      <c r="CM1425" s="5"/>
      <c r="CN1425" s="5"/>
      <c r="CO1425" s="5"/>
      <c r="CP1425" s="5"/>
      <c r="CQ1425" s="5"/>
      <c r="CR1425" s="5"/>
      <c r="CS1425" s="5"/>
      <c r="CT1425" s="5"/>
      <c r="CU1425" s="5"/>
      <c r="CV1425" s="5"/>
      <c r="CW1425" s="5"/>
      <c r="CX1425" s="5"/>
      <c r="CY1425" s="5"/>
      <c r="CZ1425" s="5"/>
      <c r="DA1425" s="5"/>
      <c r="DB1425" s="5"/>
      <c r="DC1425" s="5"/>
      <c r="DD1425" s="5"/>
      <c r="DE1425" s="5"/>
      <c r="DF1425" s="5"/>
      <c r="DG1425" s="5"/>
      <c r="DH1425" s="5"/>
      <c r="DI1425" s="5"/>
      <c r="DJ1425" s="5"/>
      <c r="DK1425" s="5"/>
      <c r="DL1425" s="5"/>
      <c r="DM1425" s="5"/>
      <c r="DN1425" s="5"/>
      <c r="DO1425" s="5"/>
      <c r="DP1425" s="5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  <c r="GT1425" s="1"/>
      <c r="GU1425" s="1"/>
      <c r="GV1425" s="1"/>
      <c r="GW1425" s="1"/>
      <c r="GX1425" s="1"/>
      <c r="GY1425" s="1"/>
      <c r="GZ1425" s="1"/>
      <c r="HA1425" s="1"/>
      <c r="HB1425" s="1"/>
      <c r="HC1425" s="1"/>
      <c r="HD1425" s="1"/>
      <c r="HE1425" s="1"/>
      <c r="HF1425" s="1"/>
      <c r="HG1425" s="1"/>
      <c r="HH1425" s="1"/>
      <c r="HI1425" s="1"/>
      <c r="HJ1425" s="1"/>
      <c r="HK1425" s="1"/>
      <c r="HL1425" s="1"/>
      <c r="HM1425" s="1"/>
      <c r="HN1425" s="1"/>
      <c r="HO1425" s="1"/>
      <c r="HP1425" s="1"/>
      <c r="HQ1425" s="1"/>
      <c r="HR1425" s="1"/>
      <c r="HS1425" s="1"/>
      <c r="HT1425" s="1"/>
      <c r="HU1425" s="1"/>
      <c r="HV1425" s="1"/>
      <c r="HW1425" s="1"/>
      <c r="HX1425" s="1"/>
      <c r="HY1425" s="1"/>
      <c r="HZ1425" s="1"/>
      <c r="IA1425" s="1"/>
      <c r="IB1425" s="1"/>
      <c r="IC1425" s="1"/>
      <c r="ID1425" s="1"/>
      <c r="IE1425" s="1"/>
      <c r="IF1425" s="1"/>
      <c r="IG1425" s="1"/>
      <c r="IH1425" s="1"/>
      <c r="II1425" s="1"/>
      <c r="IJ1425" s="1"/>
      <c r="IK1425" s="1"/>
      <c r="IL1425" s="1"/>
      <c r="IM1425" s="1"/>
      <c r="IN1425" s="1"/>
      <c r="IO1425" s="1"/>
      <c r="IP1425" s="1"/>
      <c r="IQ1425" s="1"/>
      <c r="IR1425" s="1"/>
      <c r="IS1425" s="1"/>
      <c r="IT1425" s="1"/>
      <c r="IU1425" s="1"/>
      <c r="IV1425" s="1"/>
      <c r="IW1425" s="1"/>
      <c r="IX1425" s="1"/>
      <c r="IY1425" s="1"/>
      <c r="IZ1425" s="1"/>
      <c r="JA1425" s="1"/>
      <c r="JB1425" s="1"/>
      <c r="JC1425" s="1"/>
      <c r="JD1425" s="1"/>
    </row>
    <row r="1426" s="504" customFormat="true" ht="12.75" hidden="false" customHeight="true" outlineLevel="0" collapsed="false">
      <c r="A1426" s="5"/>
      <c r="B1426" s="5"/>
      <c r="C1426" s="5"/>
      <c r="D1426" s="8"/>
      <c r="E1426" s="8"/>
      <c r="F1426" s="8"/>
      <c r="G1426" s="5"/>
      <c r="H1426" s="5"/>
      <c r="I1426" s="5"/>
      <c r="J1426" s="8"/>
      <c r="K1426" s="8"/>
      <c r="L1426" s="5"/>
      <c r="M1426" s="8"/>
      <c r="N1426" s="8"/>
      <c r="O1426" s="8"/>
      <c r="P1426" s="8"/>
      <c r="Q1426" s="5"/>
      <c r="R1426" s="5"/>
      <c r="S1426" s="5"/>
      <c r="T1426" s="5"/>
      <c r="U1426" s="5"/>
      <c r="V1426" s="10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02"/>
      <c r="AU1426" s="502"/>
      <c r="AV1426" s="606"/>
      <c r="AW1426" s="502"/>
      <c r="AX1426" s="502"/>
      <c r="AY1426" s="502"/>
      <c r="AZ1426" s="502"/>
      <c r="BA1426" s="502"/>
      <c r="BB1426" s="502"/>
      <c r="BC1426" s="502"/>
      <c r="BD1426" s="502"/>
      <c r="BE1426" s="502"/>
      <c r="BF1426" s="502"/>
      <c r="BG1426" s="502"/>
      <c r="BH1426" s="502"/>
      <c r="BI1426" s="502"/>
      <c r="BJ1426" s="502"/>
      <c r="BK1426" s="502"/>
      <c r="BL1426" s="502"/>
      <c r="BM1426" s="502"/>
      <c r="BN1426" s="502"/>
      <c r="BO1426" s="502"/>
      <c r="BP1426" s="5"/>
      <c r="BQ1426" s="5"/>
      <c r="BR1426" s="5"/>
      <c r="BS1426" s="5"/>
      <c r="BT1426" s="5"/>
      <c r="BU1426" s="5"/>
      <c r="BV1426" s="5"/>
      <c r="BW1426" s="5"/>
      <c r="BX1426" s="5"/>
      <c r="BY1426" s="5"/>
      <c r="BZ1426" s="5"/>
      <c r="CA1426" s="5"/>
      <c r="CB1426" s="5"/>
      <c r="CC1426" s="5"/>
      <c r="CD1426" s="5"/>
      <c r="CE1426" s="5"/>
      <c r="CF1426" s="5"/>
      <c r="CG1426" s="5"/>
      <c r="CH1426" s="5"/>
      <c r="CI1426" s="5"/>
      <c r="CJ1426" s="5"/>
      <c r="CK1426" s="5"/>
      <c r="CL1426" s="5"/>
      <c r="CM1426" s="5"/>
      <c r="CN1426" s="5"/>
      <c r="CO1426" s="5"/>
      <c r="CP1426" s="5"/>
      <c r="CQ1426" s="5"/>
      <c r="CR1426" s="5"/>
      <c r="CS1426" s="5"/>
      <c r="CT1426" s="5"/>
      <c r="CU1426" s="5"/>
      <c r="CV1426" s="5"/>
      <c r="CW1426" s="5"/>
      <c r="CX1426" s="5"/>
      <c r="CY1426" s="5"/>
      <c r="CZ1426" s="5"/>
      <c r="DA1426" s="5"/>
      <c r="DB1426" s="5"/>
      <c r="DC1426" s="5"/>
      <c r="DD1426" s="5"/>
      <c r="DE1426" s="5"/>
      <c r="DF1426" s="5"/>
      <c r="DG1426" s="5"/>
      <c r="DH1426" s="5"/>
      <c r="DI1426" s="5"/>
      <c r="DJ1426" s="5"/>
      <c r="DK1426" s="5"/>
      <c r="DL1426" s="5"/>
      <c r="DM1426" s="5"/>
      <c r="DN1426" s="5"/>
      <c r="DO1426" s="5"/>
      <c r="DP1426" s="5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  <c r="GT1426" s="1"/>
      <c r="GU1426" s="1"/>
      <c r="GV1426" s="1"/>
      <c r="GW1426" s="1"/>
      <c r="GX1426" s="1"/>
      <c r="GY1426" s="1"/>
      <c r="GZ1426" s="1"/>
      <c r="HA1426" s="1"/>
      <c r="HB1426" s="1"/>
      <c r="HC1426" s="1"/>
      <c r="HD1426" s="1"/>
      <c r="HE1426" s="1"/>
      <c r="HF1426" s="1"/>
      <c r="HG1426" s="1"/>
      <c r="HH1426" s="1"/>
      <c r="HI1426" s="1"/>
      <c r="HJ1426" s="1"/>
      <c r="HK1426" s="1"/>
      <c r="HL1426" s="1"/>
      <c r="HM1426" s="1"/>
      <c r="HN1426" s="1"/>
      <c r="HO1426" s="1"/>
      <c r="HP1426" s="1"/>
      <c r="HQ1426" s="1"/>
      <c r="HR1426" s="1"/>
      <c r="HS1426" s="1"/>
      <c r="HT1426" s="1"/>
      <c r="HU1426" s="1"/>
      <c r="HV1426" s="1"/>
      <c r="HW1426" s="1"/>
      <c r="HX1426" s="1"/>
      <c r="HY1426" s="1"/>
      <c r="HZ1426" s="1"/>
      <c r="IA1426" s="1"/>
      <c r="IB1426" s="1"/>
      <c r="IC1426" s="1"/>
      <c r="ID1426" s="1"/>
      <c r="IE1426" s="1"/>
      <c r="IF1426" s="1"/>
      <c r="IG1426" s="1"/>
      <c r="IH1426" s="1"/>
      <c r="II1426" s="1"/>
      <c r="IJ1426" s="1"/>
      <c r="IK1426" s="1"/>
      <c r="IL1426" s="1"/>
      <c r="IM1426" s="1"/>
      <c r="IN1426" s="1"/>
      <c r="IO1426" s="1"/>
      <c r="IP1426" s="1"/>
      <c r="IQ1426" s="1"/>
      <c r="IR1426" s="1"/>
      <c r="IS1426" s="1"/>
      <c r="IT1426" s="1"/>
      <c r="IU1426" s="1"/>
      <c r="IV1426" s="1"/>
      <c r="IW1426" s="1"/>
      <c r="IX1426" s="1"/>
      <c r="IY1426" s="1"/>
      <c r="IZ1426" s="1"/>
      <c r="JA1426" s="1"/>
      <c r="JB1426" s="1"/>
      <c r="JC1426" s="1"/>
      <c r="JD1426" s="1"/>
    </row>
    <row r="1427" s="504" customFormat="true" ht="12.75" hidden="false" customHeight="true" outlineLevel="0" collapsed="false">
      <c r="A1427" s="5"/>
      <c r="B1427" s="5"/>
      <c r="C1427" s="5"/>
      <c r="D1427" s="8"/>
      <c r="E1427" s="8"/>
      <c r="F1427" s="8"/>
      <c r="G1427" s="5"/>
      <c r="H1427" s="5"/>
      <c r="I1427" s="5"/>
      <c r="J1427" s="8"/>
      <c r="K1427" s="8"/>
      <c r="L1427" s="5"/>
      <c r="M1427" s="8"/>
      <c r="N1427" s="8"/>
      <c r="O1427" s="8"/>
      <c r="P1427" s="8"/>
      <c r="Q1427" s="5"/>
      <c r="R1427" s="5"/>
      <c r="S1427" s="5"/>
      <c r="T1427" s="5"/>
      <c r="U1427" s="5"/>
      <c r="V1427" s="10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02"/>
      <c r="AU1427" s="502"/>
      <c r="AV1427" s="606"/>
      <c r="AW1427" s="502"/>
      <c r="AX1427" s="502"/>
      <c r="AY1427" s="502"/>
      <c r="AZ1427" s="502"/>
      <c r="BA1427" s="502"/>
      <c r="BB1427" s="502"/>
      <c r="BC1427" s="502"/>
      <c r="BD1427" s="502"/>
      <c r="BE1427" s="502"/>
      <c r="BF1427" s="502"/>
      <c r="BG1427" s="502"/>
      <c r="BH1427" s="502"/>
      <c r="BI1427" s="502"/>
      <c r="BJ1427" s="502"/>
      <c r="BK1427" s="502"/>
      <c r="BL1427" s="502"/>
      <c r="BM1427" s="502"/>
      <c r="BN1427" s="502"/>
      <c r="BO1427" s="502"/>
      <c r="BP1427" s="5"/>
      <c r="BQ1427" s="5"/>
      <c r="BR1427" s="5"/>
      <c r="BS1427" s="5"/>
      <c r="BT1427" s="5"/>
      <c r="BU1427" s="5"/>
      <c r="BV1427" s="5"/>
      <c r="BW1427" s="5"/>
      <c r="BX1427" s="5"/>
      <c r="BY1427" s="5"/>
      <c r="BZ1427" s="5"/>
      <c r="CA1427" s="5"/>
      <c r="CB1427" s="5"/>
      <c r="CC1427" s="5"/>
      <c r="CD1427" s="5"/>
      <c r="CE1427" s="5"/>
      <c r="CF1427" s="5"/>
      <c r="CG1427" s="5"/>
      <c r="CH1427" s="5"/>
      <c r="CI1427" s="5"/>
      <c r="CJ1427" s="5"/>
      <c r="CK1427" s="5"/>
      <c r="CL1427" s="5"/>
      <c r="CM1427" s="5"/>
      <c r="CN1427" s="5"/>
      <c r="CO1427" s="5"/>
      <c r="CP1427" s="5"/>
      <c r="CQ1427" s="5"/>
      <c r="CR1427" s="5"/>
      <c r="CS1427" s="5"/>
      <c r="CT1427" s="5"/>
      <c r="CU1427" s="5"/>
      <c r="CV1427" s="5"/>
      <c r="CW1427" s="5"/>
      <c r="CX1427" s="5"/>
      <c r="CY1427" s="5"/>
      <c r="CZ1427" s="5"/>
      <c r="DA1427" s="5"/>
      <c r="DB1427" s="5"/>
      <c r="DC1427" s="5"/>
      <c r="DD1427" s="5"/>
      <c r="DE1427" s="5"/>
      <c r="DF1427" s="5"/>
      <c r="DG1427" s="5"/>
      <c r="DH1427" s="5"/>
      <c r="DI1427" s="5"/>
      <c r="DJ1427" s="5"/>
      <c r="DK1427" s="5"/>
      <c r="DL1427" s="5"/>
      <c r="DM1427" s="5"/>
      <c r="DN1427" s="5"/>
      <c r="DO1427" s="5"/>
      <c r="DP1427" s="5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1"/>
      <c r="GT1427" s="1"/>
      <c r="GU1427" s="1"/>
      <c r="GV1427" s="1"/>
      <c r="GW1427" s="1"/>
      <c r="GX1427" s="1"/>
      <c r="GY1427" s="1"/>
      <c r="GZ1427" s="1"/>
      <c r="HA1427" s="1"/>
      <c r="HB1427" s="1"/>
      <c r="HC1427" s="1"/>
      <c r="HD1427" s="1"/>
      <c r="HE1427" s="1"/>
      <c r="HF1427" s="1"/>
      <c r="HG1427" s="1"/>
      <c r="HH1427" s="1"/>
      <c r="HI1427" s="1"/>
      <c r="HJ1427" s="1"/>
      <c r="HK1427" s="1"/>
      <c r="HL1427" s="1"/>
      <c r="HM1427" s="1"/>
      <c r="HN1427" s="1"/>
      <c r="HO1427" s="1"/>
      <c r="HP1427" s="1"/>
      <c r="HQ1427" s="1"/>
      <c r="HR1427" s="1"/>
      <c r="HS1427" s="1"/>
      <c r="HT1427" s="1"/>
      <c r="HU1427" s="1"/>
      <c r="HV1427" s="1"/>
      <c r="HW1427" s="1"/>
      <c r="HX1427" s="1"/>
      <c r="HY1427" s="1"/>
      <c r="HZ1427" s="1"/>
      <c r="IA1427" s="1"/>
      <c r="IB1427" s="1"/>
      <c r="IC1427" s="1"/>
      <c r="ID1427" s="1"/>
      <c r="IE1427" s="1"/>
      <c r="IF1427" s="1"/>
      <c r="IG1427" s="1"/>
      <c r="IH1427" s="1"/>
      <c r="II1427" s="1"/>
      <c r="IJ1427" s="1"/>
      <c r="IK1427" s="1"/>
      <c r="IL1427" s="1"/>
      <c r="IM1427" s="1"/>
      <c r="IN1427" s="1"/>
      <c r="IO1427" s="1"/>
      <c r="IP1427" s="1"/>
      <c r="IQ1427" s="1"/>
      <c r="IR1427" s="1"/>
      <c r="IS1427" s="1"/>
      <c r="IT1427" s="1"/>
      <c r="IU1427" s="1"/>
      <c r="IV1427" s="1"/>
      <c r="IW1427" s="1"/>
      <c r="IX1427" s="1"/>
      <c r="IY1427" s="1"/>
      <c r="IZ1427" s="1"/>
      <c r="JA1427" s="1"/>
      <c r="JB1427" s="1"/>
      <c r="JC1427" s="1"/>
      <c r="JD1427" s="1"/>
    </row>
    <row r="1428" s="504" customFormat="true" ht="12.75" hidden="false" customHeight="true" outlineLevel="0" collapsed="false">
      <c r="A1428" s="5"/>
      <c r="B1428" s="5"/>
      <c r="C1428" s="5"/>
      <c r="D1428" s="8"/>
      <c r="E1428" s="8"/>
      <c r="F1428" s="8"/>
      <c r="G1428" s="5"/>
      <c r="H1428" s="5"/>
      <c r="I1428" s="5"/>
      <c r="J1428" s="8"/>
      <c r="K1428" s="8"/>
      <c r="L1428" s="5"/>
      <c r="M1428" s="8"/>
      <c r="N1428" s="8"/>
      <c r="O1428" s="8"/>
      <c r="P1428" s="8"/>
      <c r="Q1428" s="5"/>
      <c r="R1428" s="5"/>
      <c r="S1428" s="5"/>
      <c r="T1428" s="5"/>
      <c r="U1428" s="5"/>
      <c r="V1428" s="10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  <c r="AR1428" s="5"/>
      <c r="AS1428" s="5"/>
      <c r="AT1428" s="502"/>
      <c r="AU1428" s="502"/>
      <c r="AV1428" s="606"/>
      <c r="AW1428" s="502"/>
      <c r="AX1428" s="502"/>
      <c r="AY1428" s="502"/>
      <c r="AZ1428" s="502"/>
      <c r="BA1428" s="502"/>
      <c r="BB1428" s="502"/>
      <c r="BC1428" s="502"/>
      <c r="BD1428" s="502"/>
      <c r="BE1428" s="502"/>
      <c r="BF1428" s="502"/>
      <c r="BG1428" s="502"/>
      <c r="BH1428" s="502"/>
      <c r="BI1428" s="502"/>
      <c r="BJ1428" s="502"/>
      <c r="BK1428" s="502"/>
      <c r="BL1428" s="502"/>
      <c r="BM1428" s="502"/>
      <c r="BN1428" s="502"/>
      <c r="BO1428" s="502"/>
      <c r="BP1428" s="5"/>
      <c r="BQ1428" s="5"/>
      <c r="BR1428" s="5"/>
      <c r="BS1428" s="5"/>
      <c r="BT1428" s="5"/>
      <c r="BU1428" s="5"/>
      <c r="BV1428" s="5"/>
      <c r="BW1428" s="5"/>
      <c r="BX1428" s="5"/>
      <c r="BY1428" s="5"/>
      <c r="BZ1428" s="5"/>
      <c r="CA1428" s="5"/>
      <c r="CB1428" s="5"/>
      <c r="CC1428" s="5"/>
      <c r="CD1428" s="5"/>
      <c r="CE1428" s="5"/>
      <c r="CF1428" s="5"/>
      <c r="CG1428" s="5"/>
      <c r="CH1428" s="5"/>
      <c r="CI1428" s="5"/>
      <c r="CJ1428" s="5"/>
      <c r="CK1428" s="5"/>
      <c r="CL1428" s="5"/>
      <c r="CM1428" s="5"/>
      <c r="CN1428" s="5"/>
      <c r="CO1428" s="5"/>
      <c r="CP1428" s="5"/>
      <c r="CQ1428" s="5"/>
      <c r="CR1428" s="5"/>
      <c r="CS1428" s="5"/>
      <c r="CT1428" s="5"/>
      <c r="CU1428" s="5"/>
      <c r="CV1428" s="5"/>
      <c r="CW1428" s="5"/>
      <c r="CX1428" s="5"/>
      <c r="CY1428" s="5"/>
      <c r="CZ1428" s="5"/>
      <c r="DA1428" s="5"/>
      <c r="DB1428" s="5"/>
      <c r="DC1428" s="5"/>
      <c r="DD1428" s="5"/>
      <c r="DE1428" s="5"/>
      <c r="DF1428" s="5"/>
      <c r="DG1428" s="5"/>
      <c r="DH1428" s="5"/>
      <c r="DI1428" s="5"/>
      <c r="DJ1428" s="5"/>
      <c r="DK1428" s="5"/>
      <c r="DL1428" s="5"/>
      <c r="DM1428" s="5"/>
      <c r="DN1428" s="5"/>
      <c r="DO1428" s="5"/>
      <c r="DP1428" s="5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  <c r="GT1428" s="1"/>
      <c r="GU1428" s="1"/>
      <c r="GV1428" s="1"/>
      <c r="GW1428" s="1"/>
      <c r="GX1428" s="1"/>
      <c r="GY1428" s="1"/>
      <c r="GZ1428" s="1"/>
      <c r="HA1428" s="1"/>
      <c r="HB1428" s="1"/>
      <c r="HC1428" s="1"/>
      <c r="HD1428" s="1"/>
      <c r="HE1428" s="1"/>
      <c r="HF1428" s="1"/>
      <c r="HG1428" s="1"/>
      <c r="HH1428" s="1"/>
      <c r="HI1428" s="1"/>
      <c r="HJ1428" s="1"/>
      <c r="HK1428" s="1"/>
      <c r="HL1428" s="1"/>
      <c r="HM1428" s="1"/>
      <c r="HN1428" s="1"/>
      <c r="HO1428" s="1"/>
      <c r="HP1428" s="1"/>
      <c r="HQ1428" s="1"/>
      <c r="HR1428" s="1"/>
      <c r="HS1428" s="1"/>
      <c r="HT1428" s="1"/>
      <c r="HU1428" s="1"/>
      <c r="HV1428" s="1"/>
      <c r="HW1428" s="1"/>
      <c r="HX1428" s="1"/>
      <c r="HY1428" s="1"/>
      <c r="HZ1428" s="1"/>
      <c r="IA1428" s="1"/>
      <c r="IB1428" s="1"/>
      <c r="IC1428" s="1"/>
      <c r="ID1428" s="1"/>
      <c r="IE1428" s="1"/>
      <c r="IF1428" s="1"/>
      <c r="IG1428" s="1"/>
      <c r="IH1428" s="1"/>
      <c r="II1428" s="1"/>
      <c r="IJ1428" s="1"/>
      <c r="IK1428" s="1"/>
      <c r="IL1428" s="1"/>
      <c r="IM1428" s="1"/>
      <c r="IN1428" s="1"/>
      <c r="IO1428" s="1"/>
      <c r="IP1428" s="1"/>
      <c r="IQ1428" s="1"/>
      <c r="IR1428" s="1"/>
      <c r="IS1428" s="1"/>
      <c r="IT1428" s="1"/>
      <c r="IU1428" s="1"/>
      <c r="IV1428" s="1"/>
      <c r="IW1428" s="1"/>
      <c r="IX1428" s="1"/>
      <c r="IY1428" s="1"/>
      <c r="IZ1428" s="1"/>
      <c r="JA1428" s="1"/>
      <c r="JB1428" s="1"/>
      <c r="JC1428" s="1"/>
      <c r="JD1428" s="1"/>
    </row>
    <row r="1429" s="504" customFormat="true" ht="12.75" hidden="false" customHeight="true" outlineLevel="0" collapsed="false">
      <c r="A1429" s="5"/>
      <c r="B1429" s="5"/>
      <c r="C1429" s="5"/>
      <c r="D1429" s="8"/>
      <c r="E1429" s="8"/>
      <c r="F1429" s="8"/>
      <c r="G1429" s="5"/>
      <c r="H1429" s="5"/>
      <c r="I1429" s="5"/>
      <c r="J1429" s="8"/>
      <c r="K1429" s="8"/>
      <c r="L1429" s="5"/>
      <c r="M1429" s="8"/>
      <c r="N1429" s="8"/>
      <c r="O1429" s="8"/>
      <c r="P1429" s="8"/>
      <c r="Q1429" s="5"/>
      <c r="R1429" s="5"/>
      <c r="S1429" s="5"/>
      <c r="T1429" s="5"/>
      <c r="U1429" s="5"/>
      <c r="V1429" s="10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02"/>
      <c r="AU1429" s="502"/>
      <c r="AV1429" s="606"/>
      <c r="AW1429" s="502"/>
      <c r="AX1429" s="502"/>
      <c r="AY1429" s="502"/>
      <c r="AZ1429" s="502"/>
      <c r="BA1429" s="502"/>
      <c r="BB1429" s="502"/>
      <c r="BC1429" s="502"/>
      <c r="BD1429" s="502"/>
      <c r="BE1429" s="502"/>
      <c r="BF1429" s="502"/>
      <c r="BG1429" s="502"/>
      <c r="BH1429" s="502"/>
      <c r="BI1429" s="502"/>
      <c r="BJ1429" s="502"/>
      <c r="BK1429" s="502"/>
      <c r="BL1429" s="502"/>
      <c r="BM1429" s="502"/>
      <c r="BN1429" s="502"/>
      <c r="BO1429" s="502"/>
      <c r="BP1429" s="5"/>
      <c r="BQ1429" s="5"/>
      <c r="BR1429" s="5"/>
      <c r="BS1429" s="5"/>
      <c r="BT1429" s="5"/>
      <c r="BU1429" s="5"/>
      <c r="BV1429" s="5"/>
      <c r="BW1429" s="5"/>
      <c r="BX1429" s="5"/>
      <c r="BY1429" s="5"/>
      <c r="BZ1429" s="5"/>
      <c r="CA1429" s="5"/>
      <c r="CB1429" s="5"/>
      <c r="CC1429" s="5"/>
      <c r="CD1429" s="5"/>
      <c r="CE1429" s="5"/>
      <c r="CF1429" s="5"/>
      <c r="CG1429" s="5"/>
      <c r="CH1429" s="5"/>
      <c r="CI1429" s="5"/>
      <c r="CJ1429" s="5"/>
      <c r="CK1429" s="5"/>
      <c r="CL1429" s="5"/>
      <c r="CM1429" s="5"/>
      <c r="CN1429" s="5"/>
      <c r="CO1429" s="5"/>
      <c r="CP1429" s="5"/>
      <c r="CQ1429" s="5"/>
      <c r="CR1429" s="5"/>
      <c r="CS1429" s="5"/>
      <c r="CT1429" s="5"/>
      <c r="CU1429" s="5"/>
      <c r="CV1429" s="5"/>
      <c r="CW1429" s="5"/>
      <c r="CX1429" s="5"/>
      <c r="CY1429" s="5"/>
      <c r="CZ1429" s="5"/>
      <c r="DA1429" s="5"/>
      <c r="DB1429" s="5"/>
      <c r="DC1429" s="5"/>
      <c r="DD1429" s="5"/>
      <c r="DE1429" s="5"/>
      <c r="DF1429" s="5"/>
      <c r="DG1429" s="5"/>
      <c r="DH1429" s="5"/>
      <c r="DI1429" s="5"/>
      <c r="DJ1429" s="5"/>
      <c r="DK1429" s="5"/>
      <c r="DL1429" s="5"/>
      <c r="DM1429" s="5"/>
      <c r="DN1429" s="5"/>
      <c r="DO1429" s="5"/>
      <c r="DP1429" s="5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  <c r="GT1429" s="1"/>
      <c r="GU1429" s="1"/>
      <c r="GV1429" s="1"/>
      <c r="GW1429" s="1"/>
      <c r="GX1429" s="1"/>
      <c r="GY1429" s="1"/>
      <c r="GZ1429" s="1"/>
      <c r="HA1429" s="1"/>
      <c r="HB1429" s="1"/>
      <c r="HC1429" s="1"/>
      <c r="HD1429" s="1"/>
      <c r="HE1429" s="1"/>
      <c r="HF1429" s="1"/>
      <c r="HG1429" s="1"/>
      <c r="HH1429" s="1"/>
      <c r="HI1429" s="1"/>
      <c r="HJ1429" s="1"/>
      <c r="HK1429" s="1"/>
      <c r="HL1429" s="1"/>
      <c r="HM1429" s="1"/>
      <c r="HN1429" s="1"/>
      <c r="HO1429" s="1"/>
      <c r="HP1429" s="1"/>
      <c r="HQ1429" s="1"/>
      <c r="HR1429" s="1"/>
      <c r="HS1429" s="1"/>
      <c r="HT1429" s="1"/>
      <c r="HU1429" s="1"/>
      <c r="HV1429" s="1"/>
      <c r="HW1429" s="1"/>
      <c r="HX1429" s="1"/>
      <c r="HY1429" s="1"/>
      <c r="HZ1429" s="1"/>
      <c r="IA1429" s="1"/>
      <c r="IB1429" s="1"/>
      <c r="IC1429" s="1"/>
      <c r="ID1429" s="1"/>
      <c r="IE1429" s="1"/>
      <c r="IF1429" s="1"/>
      <c r="IG1429" s="1"/>
      <c r="IH1429" s="1"/>
      <c r="II1429" s="1"/>
      <c r="IJ1429" s="1"/>
      <c r="IK1429" s="1"/>
      <c r="IL1429" s="1"/>
      <c r="IM1429" s="1"/>
      <c r="IN1429" s="1"/>
      <c r="IO1429" s="1"/>
      <c r="IP1429" s="1"/>
      <c r="IQ1429" s="1"/>
      <c r="IR1429" s="1"/>
      <c r="IS1429" s="1"/>
      <c r="IT1429" s="1"/>
      <c r="IU1429" s="1"/>
      <c r="IV1429" s="1"/>
      <c r="IW1429" s="1"/>
      <c r="IX1429" s="1"/>
      <c r="IY1429" s="1"/>
      <c r="IZ1429" s="1"/>
      <c r="JA1429" s="1"/>
      <c r="JB1429" s="1"/>
      <c r="JC1429" s="1"/>
      <c r="JD1429" s="1"/>
    </row>
    <row r="1430" s="504" customFormat="true" ht="12.75" hidden="false" customHeight="true" outlineLevel="0" collapsed="false">
      <c r="A1430" s="5"/>
      <c r="B1430" s="5"/>
      <c r="C1430" s="5"/>
      <c r="D1430" s="8"/>
      <c r="E1430" s="8"/>
      <c r="F1430" s="8"/>
      <c r="G1430" s="5"/>
      <c r="H1430" s="5"/>
      <c r="I1430" s="5"/>
      <c r="J1430" s="8"/>
      <c r="K1430" s="8"/>
      <c r="L1430" s="5"/>
      <c r="M1430" s="8"/>
      <c r="N1430" s="8"/>
      <c r="O1430" s="8"/>
      <c r="P1430" s="8"/>
      <c r="Q1430" s="5"/>
      <c r="R1430" s="5"/>
      <c r="S1430" s="5"/>
      <c r="T1430" s="5"/>
      <c r="U1430" s="5"/>
      <c r="V1430" s="10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02"/>
      <c r="AU1430" s="502"/>
      <c r="AV1430" s="606"/>
      <c r="AW1430" s="502"/>
      <c r="AX1430" s="502"/>
      <c r="AY1430" s="502"/>
      <c r="AZ1430" s="502"/>
      <c r="BA1430" s="502"/>
      <c r="BB1430" s="502"/>
      <c r="BC1430" s="502"/>
      <c r="BD1430" s="502"/>
      <c r="BE1430" s="502"/>
      <c r="BF1430" s="502"/>
      <c r="BG1430" s="502"/>
      <c r="BH1430" s="502"/>
      <c r="BI1430" s="502"/>
      <c r="BJ1430" s="502"/>
      <c r="BK1430" s="502"/>
      <c r="BL1430" s="502"/>
      <c r="BM1430" s="502"/>
      <c r="BN1430" s="502"/>
      <c r="BO1430" s="502"/>
      <c r="BP1430" s="5"/>
      <c r="BQ1430" s="5"/>
      <c r="BR1430" s="5"/>
      <c r="BS1430" s="5"/>
      <c r="BT1430" s="5"/>
      <c r="BU1430" s="5"/>
      <c r="BV1430" s="5"/>
      <c r="BW1430" s="5"/>
      <c r="BX1430" s="5"/>
      <c r="BY1430" s="5"/>
      <c r="BZ1430" s="5"/>
      <c r="CA1430" s="5"/>
      <c r="CB1430" s="5"/>
      <c r="CC1430" s="5"/>
      <c r="CD1430" s="5"/>
      <c r="CE1430" s="5"/>
      <c r="CF1430" s="5"/>
      <c r="CG1430" s="5"/>
      <c r="CH1430" s="5"/>
      <c r="CI1430" s="5"/>
      <c r="CJ1430" s="5"/>
      <c r="CK1430" s="5"/>
      <c r="CL1430" s="5"/>
      <c r="CM1430" s="5"/>
      <c r="CN1430" s="5"/>
      <c r="CO1430" s="5"/>
      <c r="CP1430" s="5"/>
      <c r="CQ1430" s="5"/>
      <c r="CR1430" s="5"/>
      <c r="CS1430" s="5"/>
      <c r="CT1430" s="5"/>
      <c r="CU1430" s="5"/>
      <c r="CV1430" s="5"/>
      <c r="CW1430" s="5"/>
      <c r="CX1430" s="5"/>
      <c r="CY1430" s="5"/>
      <c r="CZ1430" s="5"/>
      <c r="DA1430" s="5"/>
      <c r="DB1430" s="5"/>
      <c r="DC1430" s="5"/>
      <c r="DD1430" s="5"/>
      <c r="DE1430" s="5"/>
      <c r="DF1430" s="5"/>
      <c r="DG1430" s="5"/>
      <c r="DH1430" s="5"/>
      <c r="DI1430" s="5"/>
      <c r="DJ1430" s="5"/>
      <c r="DK1430" s="5"/>
      <c r="DL1430" s="5"/>
      <c r="DM1430" s="5"/>
      <c r="DN1430" s="5"/>
      <c r="DO1430" s="5"/>
      <c r="DP1430" s="5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  <c r="GT1430" s="1"/>
      <c r="GU1430" s="1"/>
      <c r="GV1430" s="1"/>
      <c r="GW1430" s="1"/>
      <c r="GX1430" s="1"/>
      <c r="GY1430" s="1"/>
      <c r="GZ1430" s="1"/>
      <c r="HA1430" s="1"/>
      <c r="HB1430" s="1"/>
      <c r="HC1430" s="1"/>
      <c r="HD1430" s="1"/>
      <c r="HE1430" s="1"/>
      <c r="HF1430" s="1"/>
      <c r="HG1430" s="1"/>
      <c r="HH1430" s="1"/>
      <c r="HI1430" s="1"/>
      <c r="HJ1430" s="1"/>
      <c r="HK1430" s="1"/>
      <c r="HL1430" s="1"/>
      <c r="HM1430" s="1"/>
      <c r="HN1430" s="1"/>
      <c r="HO1430" s="1"/>
      <c r="HP1430" s="1"/>
      <c r="HQ1430" s="1"/>
      <c r="HR1430" s="1"/>
      <c r="HS1430" s="1"/>
      <c r="HT1430" s="1"/>
      <c r="HU1430" s="1"/>
      <c r="HV1430" s="1"/>
      <c r="HW1430" s="1"/>
      <c r="HX1430" s="1"/>
      <c r="HY1430" s="1"/>
      <c r="HZ1430" s="1"/>
      <c r="IA1430" s="1"/>
      <c r="IB1430" s="1"/>
      <c r="IC1430" s="1"/>
      <c r="ID1430" s="1"/>
      <c r="IE1430" s="1"/>
      <c r="IF1430" s="1"/>
      <c r="IG1430" s="1"/>
      <c r="IH1430" s="1"/>
      <c r="II1430" s="1"/>
      <c r="IJ1430" s="1"/>
      <c r="IK1430" s="1"/>
      <c r="IL1430" s="1"/>
      <c r="IM1430" s="1"/>
      <c r="IN1430" s="1"/>
      <c r="IO1430" s="1"/>
      <c r="IP1430" s="1"/>
      <c r="IQ1430" s="1"/>
      <c r="IR1430" s="1"/>
      <c r="IS1430" s="1"/>
      <c r="IT1430" s="1"/>
      <c r="IU1430" s="1"/>
      <c r="IV1430" s="1"/>
      <c r="IW1430" s="1"/>
      <c r="IX1430" s="1"/>
      <c r="IY1430" s="1"/>
      <c r="IZ1430" s="1"/>
      <c r="JA1430" s="1"/>
      <c r="JB1430" s="1"/>
      <c r="JC1430" s="1"/>
      <c r="JD1430" s="1"/>
    </row>
    <row r="1431" s="504" customFormat="true" ht="12.75" hidden="false" customHeight="true" outlineLevel="0" collapsed="false">
      <c r="A1431" s="5"/>
      <c r="B1431" s="5"/>
      <c r="C1431" s="5"/>
      <c r="D1431" s="8"/>
      <c r="E1431" s="8"/>
      <c r="F1431" s="8"/>
      <c r="G1431" s="5"/>
      <c r="H1431" s="5"/>
      <c r="I1431" s="5"/>
      <c r="J1431" s="8"/>
      <c r="K1431" s="8"/>
      <c r="L1431" s="5"/>
      <c r="M1431" s="8"/>
      <c r="N1431" s="8"/>
      <c r="O1431" s="8"/>
      <c r="P1431" s="8"/>
      <c r="Q1431" s="5"/>
      <c r="R1431" s="5"/>
      <c r="S1431" s="5"/>
      <c r="T1431" s="5"/>
      <c r="U1431" s="5"/>
      <c r="V1431" s="10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02"/>
      <c r="AU1431" s="502"/>
      <c r="AV1431" s="606"/>
      <c r="AW1431" s="502"/>
      <c r="AX1431" s="502"/>
      <c r="AY1431" s="502"/>
      <c r="AZ1431" s="502"/>
      <c r="BA1431" s="502"/>
      <c r="BB1431" s="502"/>
      <c r="BC1431" s="502"/>
      <c r="BD1431" s="502"/>
      <c r="BE1431" s="502"/>
      <c r="BF1431" s="502"/>
      <c r="BG1431" s="502"/>
      <c r="BH1431" s="502"/>
      <c r="BI1431" s="502"/>
      <c r="BJ1431" s="502"/>
      <c r="BK1431" s="502"/>
      <c r="BL1431" s="502"/>
      <c r="BM1431" s="502"/>
      <c r="BN1431" s="502"/>
      <c r="BO1431" s="502"/>
      <c r="BP1431" s="5"/>
      <c r="BQ1431" s="5"/>
      <c r="BR1431" s="5"/>
      <c r="BS1431" s="5"/>
      <c r="BT1431" s="5"/>
      <c r="BU1431" s="5"/>
      <c r="BV1431" s="5"/>
      <c r="BW1431" s="5"/>
      <c r="BX1431" s="5"/>
      <c r="BY1431" s="5"/>
      <c r="BZ1431" s="5"/>
      <c r="CA1431" s="5"/>
      <c r="CB1431" s="5"/>
      <c r="CC1431" s="5"/>
      <c r="CD1431" s="5"/>
      <c r="CE1431" s="5"/>
      <c r="CF1431" s="5"/>
      <c r="CG1431" s="5"/>
      <c r="CH1431" s="5"/>
      <c r="CI1431" s="5"/>
      <c r="CJ1431" s="5"/>
      <c r="CK1431" s="5"/>
      <c r="CL1431" s="5"/>
      <c r="CM1431" s="5"/>
      <c r="CN1431" s="5"/>
      <c r="CO1431" s="5"/>
      <c r="CP1431" s="5"/>
      <c r="CQ1431" s="5"/>
      <c r="CR1431" s="5"/>
      <c r="CS1431" s="5"/>
      <c r="CT1431" s="5"/>
      <c r="CU1431" s="5"/>
      <c r="CV1431" s="5"/>
      <c r="CW1431" s="5"/>
      <c r="CX1431" s="5"/>
      <c r="CY1431" s="5"/>
      <c r="CZ1431" s="5"/>
      <c r="DA1431" s="5"/>
      <c r="DB1431" s="5"/>
      <c r="DC1431" s="5"/>
      <c r="DD1431" s="5"/>
      <c r="DE1431" s="5"/>
      <c r="DF1431" s="5"/>
      <c r="DG1431" s="5"/>
      <c r="DH1431" s="5"/>
      <c r="DI1431" s="5"/>
      <c r="DJ1431" s="5"/>
      <c r="DK1431" s="5"/>
      <c r="DL1431" s="5"/>
      <c r="DM1431" s="5"/>
      <c r="DN1431" s="5"/>
      <c r="DO1431" s="5"/>
      <c r="DP1431" s="5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  <c r="GT1431" s="1"/>
      <c r="GU1431" s="1"/>
      <c r="GV1431" s="1"/>
      <c r="GW1431" s="1"/>
      <c r="GX1431" s="1"/>
      <c r="GY1431" s="1"/>
      <c r="GZ1431" s="1"/>
      <c r="HA1431" s="1"/>
      <c r="HB1431" s="1"/>
      <c r="HC1431" s="1"/>
      <c r="HD1431" s="1"/>
      <c r="HE1431" s="1"/>
      <c r="HF1431" s="1"/>
      <c r="HG1431" s="1"/>
      <c r="HH1431" s="1"/>
      <c r="HI1431" s="1"/>
      <c r="HJ1431" s="1"/>
      <c r="HK1431" s="1"/>
      <c r="HL1431" s="1"/>
      <c r="HM1431" s="1"/>
      <c r="HN1431" s="1"/>
      <c r="HO1431" s="1"/>
      <c r="HP1431" s="1"/>
      <c r="HQ1431" s="1"/>
      <c r="HR1431" s="1"/>
      <c r="HS1431" s="1"/>
      <c r="HT1431" s="1"/>
      <c r="HU1431" s="1"/>
      <c r="HV1431" s="1"/>
      <c r="HW1431" s="1"/>
      <c r="HX1431" s="1"/>
      <c r="HY1431" s="1"/>
      <c r="HZ1431" s="1"/>
      <c r="IA1431" s="1"/>
      <c r="IB1431" s="1"/>
      <c r="IC1431" s="1"/>
      <c r="ID1431" s="1"/>
      <c r="IE1431" s="1"/>
      <c r="IF1431" s="1"/>
      <c r="IG1431" s="1"/>
      <c r="IH1431" s="1"/>
      <c r="II1431" s="1"/>
      <c r="IJ1431" s="1"/>
      <c r="IK1431" s="1"/>
      <c r="IL1431" s="1"/>
      <c r="IM1431" s="1"/>
      <c r="IN1431" s="1"/>
      <c r="IO1431" s="1"/>
      <c r="IP1431" s="1"/>
      <c r="IQ1431" s="1"/>
      <c r="IR1431" s="1"/>
      <c r="IS1431" s="1"/>
      <c r="IT1431" s="1"/>
      <c r="IU1431" s="1"/>
      <c r="IV1431" s="1"/>
      <c r="IW1431" s="1"/>
      <c r="IX1431" s="1"/>
      <c r="IY1431" s="1"/>
      <c r="IZ1431" s="1"/>
      <c r="JA1431" s="1"/>
      <c r="JB1431" s="1"/>
      <c r="JC1431" s="1"/>
      <c r="JD1431" s="1"/>
    </row>
    <row r="1432" s="504" customFormat="true" ht="12.75" hidden="false" customHeight="true" outlineLevel="0" collapsed="false">
      <c r="A1432" s="5"/>
      <c r="B1432" s="5"/>
      <c r="C1432" s="5"/>
      <c r="D1432" s="8"/>
      <c r="E1432" s="8"/>
      <c r="F1432" s="8"/>
      <c r="G1432" s="5"/>
      <c r="H1432" s="5"/>
      <c r="I1432" s="5"/>
      <c r="J1432" s="8"/>
      <c r="K1432" s="8"/>
      <c r="L1432" s="5"/>
      <c r="M1432" s="8"/>
      <c r="N1432" s="8"/>
      <c r="O1432" s="8"/>
      <c r="P1432" s="8"/>
      <c r="Q1432" s="5"/>
      <c r="R1432" s="5"/>
      <c r="S1432" s="5"/>
      <c r="T1432" s="5"/>
      <c r="U1432" s="5"/>
      <c r="V1432" s="10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  <c r="AR1432" s="5"/>
      <c r="AS1432" s="5"/>
      <c r="AT1432" s="502"/>
      <c r="AU1432" s="502"/>
      <c r="AV1432" s="606"/>
      <c r="AW1432" s="502"/>
      <c r="AX1432" s="502"/>
      <c r="AY1432" s="502"/>
      <c r="AZ1432" s="502"/>
      <c r="BA1432" s="502"/>
      <c r="BB1432" s="502"/>
      <c r="BC1432" s="502"/>
      <c r="BD1432" s="502"/>
      <c r="BE1432" s="502"/>
      <c r="BF1432" s="502"/>
      <c r="BG1432" s="502"/>
      <c r="BH1432" s="502"/>
      <c r="BI1432" s="502"/>
      <c r="BJ1432" s="502"/>
      <c r="BK1432" s="502"/>
      <c r="BL1432" s="502"/>
      <c r="BM1432" s="502"/>
      <c r="BN1432" s="502"/>
      <c r="BO1432" s="502"/>
      <c r="BP1432" s="5"/>
      <c r="BQ1432" s="5"/>
      <c r="BR1432" s="5"/>
      <c r="BS1432" s="5"/>
      <c r="BT1432" s="5"/>
      <c r="BU1432" s="5"/>
      <c r="BV1432" s="5"/>
      <c r="BW1432" s="5"/>
      <c r="BX1432" s="5"/>
      <c r="BY1432" s="5"/>
      <c r="BZ1432" s="5"/>
      <c r="CA1432" s="5"/>
      <c r="CB1432" s="5"/>
      <c r="CC1432" s="5"/>
      <c r="CD1432" s="5"/>
      <c r="CE1432" s="5"/>
      <c r="CF1432" s="5"/>
      <c r="CG1432" s="5"/>
      <c r="CH1432" s="5"/>
      <c r="CI1432" s="5"/>
      <c r="CJ1432" s="5"/>
      <c r="CK1432" s="5"/>
      <c r="CL1432" s="5"/>
      <c r="CM1432" s="5"/>
      <c r="CN1432" s="5"/>
      <c r="CO1432" s="5"/>
      <c r="CP1432" s="5"/>
      <c r="CQ1432" s="5"/>
      <c r="CR1432" s="5"/>
      <c r="CS1432" s="5"/>
      <c r="CT1432" s="5"/>
      <c r="CU1432" s="5"/>
      <c r="CV1432" s="5"/>
      <c r="CW1432" s="5"/>
      <c r="CX1432" s="5"/>
      <c r="CY1432" s="5"/>
      <c r="CZ1432" s="5"/>
      <c r="DA1432" s="5"/>
      <c r="DB1432" s="5"/>
      <c r="DC1432" s="5"/>
      <c r="DD1432" s="5"/>
      <c r="DE1432" s="5"/>
      <c r="DF1432" s="5"/>
      <c r="DG1432" s="5"/>
      <c r="DH1432" s="5"/>
      <c r="DI1432" s="5"/>
      <c r="DJ1432" s="5"/>
      <c r="DK1432" s="5"/>
      <c r="DL1432" s="5"/>
      <c r="DM1432" s="5"/>
      <c r="DN1432" s="5"/>
      <c r="DO1432" s="5"/>
      <c r="DP1432" s="5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  <c r="GT1432" s="1"/>
      <c r="GU1432" s="1"/>
      <c r="GV1432" s="1"/>
      <c r="GW1432" s="1"/>
      <c r="GX1432" s="1"/>
      <c r="GY1432" s="1"/>
      <c r="GZ1432" s="1"/>
      <c r="HA1432" s="1"/>
      <c r="HB1432" s="1"/>
      <c r="HC1432" s="1"/>
      <c r="HD1432" s="1"/>
      <c r="HE1432" s="1"/>
      <c r="HF1432" s="1"/>
      <c r="HG1432" s="1"/>
      <c r="HH1432" s="1"/>
      <c r="HI1432" s="1"/>
      <c r="HJ1432" s="1"/>
      <c r="HK1432" s="1"/>
      <c r="HL1432" s="1"/>
      <c r="HM1432" s="1"/>
      <c r="HN1432" s="1"/>
      <c r="HO1432" s="1"/>
      <c r="HP1432" s="1"/>
      <c r="HQ1432" s="1"/>
      <c r="HR1432" s="1"/>
      <c r="HS1432" s="1"/>
      <c r="HT1432" s="1"/>
      <c r="HU1432" s="1"/>
      <c r="HV1432" s="1"/>
      <c r="HW1432" s="1"/>
      <c r="HX1432" s="1"/>
      <c r="HY1432" s="1"/>
      <c r="HZ1432" s="1"/>
      <c r="IA1432" s="1"/>
      <c r="IB1432" s="1"/>
      <c r="IC1432" s="1"/>
      <c r="ID1432" s="1"/>
      <c r="IE1432" s="1"/>
      <c r="IF1432" s="1"/>
      <c r="IG1432" s="1"/>
      <c r="IH1432" s="1"/>
      <c r="II1432" s="1"/>
      <c r="IJ1432" s="1"/>
      <c r="IK1432" s="1"/>
      <c r="IL1432" s="1"/>
      <c r="IM1432" s="1"/>
      <c r="IN1432" s="1"/>
      <c r="IO1432" s="1"/>
      <c r="IP1432" s="1"/>
      <c r="IQ1432" s="1"/>
      <c r="IR1432" s="1"/>
      <c r="IS1432" s="1"/>
      <c r="IT1432" s="1"/>
      <c r="IU1432" s="1"/>
      <c r="IV1432" s="1"/>
      <c r="IW1432" s="1"/>
      <c r="IX1432" s="1"/>
      <c r="IY1432" s="1"/>
      <c r="IZ1432" s="1"/>
      <c r="JA1432" s="1"/>
      <c r="JB1432" s="1"/>
      <c r="JC1432" s="1"/>
      <c r="JD1432" s="1"/>
    </row>
    <row r="1433" s="504" customFormat="true" ht="12.75" hidden="false" customHeight="true" outlineLevel="0" collapsed="false">
      <c r="A1433" s="5"/>
      <c r="B1433" s="5"/>
      <c r="C1433" s="5"/>
      <c r="D1433" s="8"/>
      <c r="E1433" s="8"/>
      <c r="F1433" s="8"/>
      <c r="G1433" s="5"/>
      <c r="H1433" s="5"/>
      <c r="I1433" s="5"/>
      <c r="J1433" s="8"/>
      <c r="K1433" s="8"/>
      <c r="L1433" s="5"/>
      <c r="M1433" s="8"/>
      <c r="N1433" s="8"/>
      <c r="O1433" s="8"/>
      <c r="P1433" s="8"/>
      <c r="Q1433" s="5"/>
      <c r="R1433" s="5"/>
      <c r="S1433" s="5"/>
      <c r="T1433" s="5"/>
      <c r="U1433" s="5"/>
      <c r="V1433" s="10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02"/>
      <c r="AU1433" s="502"/>
      <c r="AV1433" s="606"/>
      <c r="AW1433" s="502"/>
      <c r="AX1433" s="502"/>
      <c r="AY1433" s="502"/>
      <c r="AZ1433" s="502"/>
      <c r="BA1433" s="502"/>
      <c r="BB1433" s="502"/>
      <c r="BC1433" s="502"/>
      <c r="BD1433" s="502"/>
      <c r="BE1433" s="502"/>
      <c r="BF1433" s="502"/>
      <c r="BG1433" s="502"/>
      <c r="BH1433" s="502"/>
      <c r="BI1433" s="502"/>
      <c r="BJ1433" s="502"/>
      <c r="BK1433" s="502"/>
      <c r="BL1433" s="502"/>
      <c r="BM1433" s="502"/>
      <c r="BN1433" s="502"/>
      <c r="BO1433" s="502"/>
      <c r="BP1433" s="5"/>
      <c r="BQ1433" s="5"/>
      <c r="BR1433" s="5"/>
      <c r="BS1433" s="5"/>
      <c r="BT1433" s="5"/>
      <c r="BU1433" s="5"/>
      <c r="BV1433" s="5"/>
      <c r="BW1433" s="5"/>
      <c r="BX1433" s="5"/>
      <c r="BY1433" s="5"/>
      <c r="BZ1433" s="5"/>
      <c r="CA1433" s="5"/>
      <c r="CB1433" s="5"/>
      <c r="CC1433" s="5"/>
      <c r="CD1433" s="5"/>
      <c r="CE1433" s="5"/>
      <c r="CF1433" s="5"/>
      <c r="CG1433" s="5"/>
      <c r="CH1433" s="5"/>
      <c r="CI1433" s="5"/>
      <c r="CJ1433" s="5"/>
      <c r="CK1433" s="5"/>
      <c r="CL1433" s="5"/>
      <c r="CM1433" s="5"/>
      <c r="CN1433" s="5"/>
      <c r="CO1433" s="5"/>
      <c r="CP1433" s="5"/>
      <c r="CQ1433" s="5"/>
      <c r="CR1433" s="5"/>
      <c r="CS1433" s="5"/>
      <c r="CT1433" s="5"/>
      <c r="CU1433" s="5"/>
      <c r="CV1433" s="5"/>
      <c r="CW1433" s="5"/>
      <c r="CX1433" s="5"/>
      <c r="CY1433" s="5"/>
      <c r="CZ1433" s="5"/>
      <c r="DA1433" s="5"/>
      <c r="DB1433" s="5"/>
      <c r="DC1433" s="5"/>
      <c r="DD1433" s="5"/>
      <c r="DE1433" s="5"/>
      <c r="DF1433" s="5"/>
      <c r="DG1433" s="5"/>
      <c r="DH1433" s="5"/>
      <c r="DI1433" s="5"/>
      <c r="DJ1433" s="5"/>
      <c r="DK1433" s="5"/>
      <c r="DL1433" s="5"/>
      <c r="DM1433" s="5"/>
      <c r="DN1433" s="5"/>
      <c r="DO1433" s="5"/>
      <c r="DP1433" s="5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1"/>
      <c r="GT1433" s="1"/>
      <c r="GU1433" s="1"/>
      <c r="GV1433" s="1"/>
      <c r="GW1433" s="1"/>
      <c r="GX1433" s="1"/>
      <c r="GY1433" s="1"/>
      <c r="GZ1433" s="1"/>
      <c r="HA1433" s="1"/>
      <c r="HB1433" s="1"/>
      <c r="HC1433" s="1"/>
      <c r="HD1433" s="1"/>
      <c r="HE1433" s="1"/>
      <c r="HF1433" s="1"/>
      <c r="HG1433" s="1"/>
      <c r="HH1433" s="1"/>
      <c r="HI1433" s="1"/>
      <c r="HJ1433" s="1"/>
      <c r="HK1433" s="1"/>
      <c r="HL1433" s="1"/>
      <c r="HM1433" s="1"/>
      <c r="HN1433" s="1"/>
      <c r="HO1433" s="1"/>
      <c r="HP1433" s="1"/>
      <c r="HQ1433" s="1"/>
      <c r="HR1433" s="1"/>
      <c r="HS1433" s="1"/>
      <c r="HT1433" s="1"/>
      <c r="HU1433" s="1"/>
      <c r="HV1433" s="1"/>
      <c r="HW1433" s="1"/>
      <c r="HX1433" s="1"/>
      <c r="HY1433" s="1"/>
      <c r="HZ1433" s="1"/>
      <c r="IA1433" s="1"/>
      <c r="IB1433" s="1"/>
      <c r="IC1433" s="1"/>
      <c r="ID1433" s="1"/>
      <c r="IE1433" s="1"/>
      <c r="IF1433" s="1"/>
      <c r="IG1433" s="1"/>
      <c r="IH1433" s="1"/>
      <c r="II1433" s="1"/>
      <c r="IJ1433" s="1"/>
      <c r="IK1433" s="1"/>
      <c r="IL1433" s="1"/>
      <c r="IM1433" s="1"/>
      <c r="IN1433" s="1"/>
      <c r="IO1433" s="1"/>
      <c r="IP1433" s="1"/>
      <c r="IQ1433" s="1"/>
      <c r="IR1433" s="1"/>
      <c r="IS1433" s="1"/>
      <c r="IT1433" s="1"/>
      <c r="IU1433" s="1"/>
      <c r="IV1433" s="1"/>
      <c r="IW1433" s="1"/>
      <c r="IX1433" s="1"/>
      <c r="IY1433" s="1"/>
      <c r="IZ1433" s="1"/>
      <c r="JA1433" s="1"/>
      <c r="JB1433" s="1"/>
      <c r="JC1433" s="1"/>
      <c r="JD1433" s="1"/>
    </row>
    <row r="1434" s="504" customFormat="true" ht="12.75" hidden="false" customHeight="true" outlineLevel="0" collapsed="false">
      <c r="A1434" s="5"/>
      <c r="B1434" s="5"/>
      <c r="C1434" s="5"/>
      <c r="D1434" s="8"/>
      <c r="E1434" s="8"/>
      <c r="F1434" s="8"/>
      <c r="G1434" s="5"/>
      <c r="H1434" s="5"/>
      <c r="I1434" s="5"/>
      <c r="J1434" s="8"/>
      <c r="K1434" s="8"/>
      <c r="L1434" s="5"/>
      <c r="M1434" s="8"/>
      <c r="N1434" s="8"/>
      <c r="O1434" s="8"/>
      <c r="P1434" s="8"/>
      <c r="Q1434" s="5"/>
      <c r="R1434" s="5"/>
      <c r="S1434" s="5"/>
      <c r="T1434" s="5"/>
      <c r="U1434" s="5"/>
      <c r="V1434" s="10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02"/>
      <c r="AU1434" s="502"/>
      <c r="AV1434" s="606"/>
      <c r="AW1434" s="502"/>
      <c r="AX1434" s="502"/>
      <c r="AY1434" s="502"/>
      <c r="AZ1434" s="502"/>
      <c r="BA1434" s="502"/>
      <c r="BB1434" s="502"/>
      <c r="BC1434" s="502"/>
      <c r="BD1434" s="502"/>
      <c r="BE1434" s="502"/>
      <c r="BF1434" s="502"/>
      <c r="BG1434" s="502"/>
      <c r="BH1434" s="502"/>
      <c r="BI1434" s="502"/>
      <c r="BJ1434" s="502"/>
      <c r="BK1434" s="502"/>
      <c r="BL1434" s="502"/>
      <c r="BM1434" s="502"/>
      <c r="BN1434" s="502"/>
      <c r="BO1434" s="502"/>
      <c r="BP1434" s="5"/>
      <c r="BQ1434" s="5"/>
      <c r="BR1434" s="5"/>
      <c r="BS1434" s="5"/>
      <c r="BT1434" s="5"/>
      <c r="BU1434" s="5"/>
      <c r="BV1434" s="5"/>
      <c r="BW1434" s="5"/>
      <c r="BX1434" s="5"/>
      <c r="BY1434" s="5"/>
      <c r="BZ1434" s="5"/>
      <c r="CA1434" s="5"/>
      <c r="CB1434" s="5"/>
      <c r="CC1434" s="5"/>
      <c r="CD1434" s="5"/>
      <c r="CE1434" s="5"/>
      <c r="CF1434" s="5"/>
      <c r="CG1434" s="5"/>
      <c r="CH1434" s="5"/>
      <c r="CI1434" s="5"/>
      <c r="CJ1434" s="5"/>
      <c r="CK1434" s="5"/>
      <c r="CL1434" s="5"/>
      <c r="CM1434" s="5"/>
      <c r="CN1434" s="5"/>
      <c r="CO1434" s="5"/>
      <c r="CP1434" s="5"/>
      <c r="CQ1434" s="5"/>
      <c r="CR1434" s="5"/>
      <c r="CS1434" s="5"/>
      <c r="CT1434" s="5"/>
      <c r="CU1434" s="5"/>
      <c r="CV1434" s="5"/>
      <c r="CW1434" s="5"/>
      <c r="CX1434" s="5"/>
      <c r="CY1434" s="5"/>
      <c r="CZ1434" s="5"/>
      <c r="DA1434" s="5"/>
      <c r="DB1434" s="5"/>
      <c r="DC1434" s="5"/>
      <c r="DD1434" s="5"/>
      <c r="DE1434" s="5"/>
      <c r="DF1434" s="5"/>
      <c r="DG1434" s="5"/>
      <c r="DH1434" s="5"/>
      <c r="DI1434" s="5"/>
      <c r="DJ1434" s="5"/>
      <c r="DK1434" s="5"/>
      <c r="DL1434" s="5"/>
      <c r="DM1434" s="5"/>
      <c r="DN1434" s="5"/>
      <c r="DO1434" s="5"/>
      <c r="DP1434" s="5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  <c r="GT1434" s="1"/>
      <c r="GU1434" s="1"/>
      <c r="GV1434" s="1"/>
      <c r="GW1434" s="1"/>
      <c r="GX1434" s="1"/>
      <c r="GY1434" s="1"/>
      <c r="GZ1434" s="1"/>
      <c r="HA1434" s="1"/>
      <c r="HB1434" s="1"/>
      <c r="HC1434" s="1"/>
      <c r="HD1434" s="1"/>
      <c r="HE1434" s="1"/>
      <c r="HF1434" s="1"/>
      <c r="HG1434" s="1"/>
      <c r="HH1434" s="1"/>
      <c r="HI1434" s="1"/>
      <c r="HJ1434" s="1"/>
      <c r="HK1434" s="1"/>
      <c r="HL1434" s="1"/>
      <c r="HM1434" s="1"/>
      <c r="HN1434" s="1"/>
      <c r="HO1434" s="1"/>
      <c r="HP1434" s="1"/>
      <c r="HQ1434" s="1"/>
      <c r="HR1434" s="1"/>
      <c r="HS1434" s="1"/>
      <c r="HT1434" s="1"/>
      <c r="HU1434" s="1"/>
      <c r="HV1434" s="1"/>
      <c r="HW1434" s="1"/>
      <c r="HX1434" s="1"/>
      <c r="HY1434" s="1"/>
      <c r="HZ1434" s="1"/>
      <c r="IA1434" s="1"/>
      <c r="IB1434" s="1"/>
      <c r="IC1434" s="1"/>
      <c r="ID1434" s="1"/>
      <c r="IE1434" s="1"/>
      <c r="IF1434" s="1"/>
      <c r="IG1434" s="1"/>
      <c r="IH1434" s="1"/>
      <c r="II1434" s="1"/>
      <c r="IJ1434" s="1"/>
      <c r="IK1434" s="1"/>
      <c r="IL1434" s="1"/>
      <c r="IM1434" s="1"/>
      <c r="IN1434" s="1"/>
      <c r="IO1434" s="1"/>
      <c r="IP1434" s="1"/>
      <c r="IQ1434" s="1"/>
      <c r="IR1434" s="1"/>
      <c r="IS1434" s="1"/>
      <c r="IT1434" s="1"/>
      <c r="IU1434" s="1"/>
      <c r="IV1434" s="1"/>
      <c r="IW1434" s="1"/>
      <c r="IX1434" s="1"/>
      <c r="IY1434" s="1"/>
      <c r="IZ1434" s="1"/>
      <c r="JA1434" s="1"/>
      <c r="JB1434" s="1"/>
      <c r="JC1434" s="1"/>
      <c r="JD1434" s="1"/>
    </row>
    <row r="1435" s="504" customFormat="true" ht="12.75" hidden="false" customHeight="true" outlineLevel="0" collapsed="false">
      <c r="A1435" s="5"/>
      <c r="B1435" s="5"/>
      <c r="C1435" s="5"/>
      <c r="D1435" s="8"/>
      <c r="E1435" s="8"/>
      <c r="F1435" s="8"/>
      <c r="G1435" s="5"/>
      <c r="H1435" s="5"/>
      <c r="I1435" s="5"/>
      <c r="J1435" s="8"/>
      <c r="K1435" s="8"/>
      <c r="L1435" s="5"/>
      <c r="M1435" s="8"/>
      <c r="N1435" s="8"/>
      <c r="O1435" s="8"/>
      <c r="P1435" s="8"/>
      <c r="Q1435" s="5"/>
      <c r="R1435" s="5"/>
      <c r="S1435" s="5"/>
      <c r="T1435" s="5"/>
      <c r="U1435" s="5"/>
      <c r="V1435" s="10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02"/>
      <c r="AU1435" s="502"/>
      <c r="AV1435" s="606"/>
      <c r="AW1435" s="502"/>
      <c r="AX1435" s="502"/>
      <c r="AY1435" s="502"/>
      <c r="AZ1435" s="502"/>
      <c r="BA1435" s="502"/>
      <c r="BB1435" s="502"/>
      <c r="BC1435" s="502"/>
      <c r="BD1435" s="502"/>
      <c r="BE1435" s="502"/>
      <c r="BF1435" s="502"/>
      <c r="BG1435" s="502"/>
      <c r="BH1435" s="502"/>
      <c r="BI1435" s="502"/>
      <c r="BJ1435" s="502"/>
      <c r="BK1435" s="502"/>
      <c r="BL1435" s="502"/>
      <c r="BM1435" s="502"/>
      <c r="BN1435" s="502"/>
      <c r="BO1435" s="502"/>
      <c r="BP1435" s="5"/>
      <c r="BQ1435" s="5"/>
      <c r="BR1435" s="5"/>
      <c r="BS1435" s="5"/>
      <c r="BT1435" s="5"/>
      <c r="BU1435" s="5"/>
      <c r="BV1435" s="5"/>
      <c r="BW1435" s="5"/>
      <c r="BX1435" s="5"/>
      <c r="BY1435" s="5"/>
      <c r="BZ1435" s="5"/>
      <c r="CA1435" s="5"/>
      <c r="CB1435" s="5"/>
      <c r="CC1435" s="5"/>
      <c r="CD1435" s="5"/>
      <c r="CE1435" s="5"/>
      <c r="CF1435" s="5"/>
      <c r="CG1435" s="5"/>
      <c r="CH1435" s="5"/>
      <c r="CI1435" s="5"/>
      <c r="CJ1435" s="5"/>
      <c r="CK1435" s="5"/>
      <c r="CL1435" s="5"/>
      <c r="CM1435" s="5"/>
      <c r="CN1435" s="5"/>
      <c r="CO1435" s="5"/>
      <c r="CP1435" s="5"/>
      <c r="CQ1435" s="5"/>
      <c r="CR1435" s="5"/>
      <c r="CS1435" s="5"/>
      <c r="CT1435" s="5"/>
      <c r="CU1435" s="5"/>
      <c r="CV1435" s="5"/>
      <c r="CW1435" s="5"/>
      <c r="CX1435" s="5"/>
      <c r="CY1435" s="5"/>
      <c r="CZ1435" s="5"/>
      <c r="DA1435" s="5"/>
      <c r="DB1435" s="5"/>
      <c r="DC1435" s="5"/>
      <c r="DD1435" s="5"/>
      <c r="DE1435" s="5"/>
      <c r="DF1435" s="5"/>
      <c r="DG1435" s="5"/>
      <c r="DH1435" s="5"/>
      <c r="DI1435" s="5"/>
      <c r="DJ1435" s="5"/>
      <c r="DK1435" s="5"/>
      <c r="DL1435" s="5"/>
      <c r="DM1435" s="5"/>
      <c r="DN1435" s="5"/>
      <c r="DO1435" s="5"/>
      <c r="DP1435" s="5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  <c r="GT1435" s="1"/>
      <c r="GU1435" s="1"/>
      <c r="GV1435" s="1"/>
      <c r="GW1435" s="1"/>
      <c r="GX1435" s="1"/>
      <c r="GY1435" s="1"/>
      <c r="GZ1435" s="1"/>
      <c r="HA1435" s="1"/>
      <c r="HB1435" s="1"/>
      <c r="HC1435" s="1"/>
      <c r="HD1435" s="1"/>
      <c r="HE1435" s="1"/>
      <c r="HF1435" s="1"/>
      <c r="HG1435" s="1"/>
      <c r="HH1435" s="1"/>
      <c r="HI1435" s="1"/>
      <c r="HJ1435" s="1"/>
      <c r="HK1435" s="1"/>
      <c r="HL1435" s="1"/>
      <c r="HM1435" s="1"/>
      <c r="HN1435" s="1"/>
      <c r="HO1435" s="1"/>
      <c r="HP1435" s="1"/>
      <c r="HQ1435" s="1"/>
      <c r="HR1435" s="1"/>
      <c r="HS1435" s="1"/>
      <c r="HT1435" s="1"/>
      <c r="HU1435" s="1"/>
      <c r="HV1435" s="1"/>
      <c r="HW1435" s="1"/>
      <c r="HX1435" s="1"/>
      <c r="HY1435" s="1"/>
      <c r="HZ1435" s="1"/>
      <c r="IA1435" s="1"/>
      <c r="IB1435" s="1"/>
      <c r="IC1435" s="1"/>
      <c r="ID1435" s="1"/>
      <c r="IE1435" s="1"/>
      <c r="IF1435" s="1"/>
      <c r="IG1435" s="1"/>
      <c r="IH1435" s="1"/>
      <c r="II1435" s="1"/>
      <c r="IJ1435" s="1"/>
      <c r="IK1435" s="1"/>
      <c r="IL1435" s="1"/>
      <c r="IM1435" s="1"/>
      <c r="IN1435" s="1"/>
      <c r="IO1435" s="1"/>
      <c r="IP1435" s="1"/>
      <c r="IQ1435" s="1"/>
      <c r="IR1435" s="1"/>
      <c r="IS1435" s="1"/>
      <c r="IT1435" s="1"/>
      <c r="IU1435" s="1"/>
      <c r="IV1435" s="1"/>
      <c r="IW1435" s="1"/>
      <c r="IX1435" s="1"/>
      <c r="IY1435" s="1"/>
      <c r="IZ1435" s="1"/>
      <c r="JA1435" s="1"/>
      <c r="JB1435" s="1"/>
      <c r="JC1435" s="1"/>
      <c r="JD1435" s="1"/>
    </row>
    <row r="1436" s="504" customFormat="true" ht="12.75" hidden="false" customHeight="true" outlineLevel="0" collapsed="false">
      <c r="A1436" s="5"/>
      <c r="B1436" s="5"/>
      <c r="C1436" s="5"/>
      <c r="D1436" s="8"/>
      <c r="E1436" s="8"/>
      <c r="F1436" s="8"/>
      <c r="G1436" s="5"/>
      <c r="H1436" s="5"/>
      <c r="I1436" s="5"/>
      <c r="J1436" s="8"/>
      <c r="K1436" s="8"/>
      <c r="L1436" s="5"/>
      <c r="M1436" s="8"/>
      <c r="N1436" s="8"/>
      <c r="O1436" s="8"/>
      <c r="P1436" s="8"/>
      <c r="Q1436" s="5"/>
      <c r="R1436" s="5"/>
      <c r="S1436" s="5"/>
      <c r="T1436" s="5"/>
      <c r="U1436" s="5"/>
      <c r="V1436" s="10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02"/>
      <c r="AU1436" s="502"/>
      <c r="AV1436" s="606"/>
      <c r="AW1436" s="502"/>
      <c r="AX1436" s="502"/>
      <c r="AY1436" s="502"/>
      <c r="AZ1436" s="502"/>
      <c r="BA1436" s="502"/>
      <c r="BB1436" s="502"/>
      <c r="BC1436" s="502"/>
      <c r="BD1436" s="502"/>
      <c r="BE1436" s="502"/>
      <c r="BF1436" s="502"/>
      <c r="BG1436" s="502"/>
      <c r="BH1436" s="502"/>
      <c r="BI1436" s="502"/>
      <c r="BJ1436" s="502"/>
      <c r="BK1436" s="502"/>
      <c r="BL1436" s="502"/>
      <c r="BM1436" s="502"/>
      <c r="BN1436" s="502"/>
      <c r="BO1436" s="502"/>
      <c r="BP1436" s="5"/>
      <c r="BQ1436" s="5"/>
      <c r="BR1436" s="5"/>
      <c r="BS1436" s="5"/>
      <c r="BT1436" s="5"/>
      <c r="BU1436" s="5"/>
      <c r="BV1436" s="5"/>
      <c r="BW1436" s="5"/>
      <c r="BX1436" s="5"/>
      <c r="BY1436" s="5"/>
      <c r="BZ1436" s="5"/>
      <c r="CA1436" s="5"/>
      <c r="CB1436" s="5"/>
      <c r="CC1436" s="5"/>
      <c r="CD1436" s="5"/>
      <c r="CE1436" s="5"/>
      <c r="CF1436" s="5"/>
      <c r="CG1436" s="5"/>
      <c r="CH1436" s="5"/>
      <c r="CI1436" s="5"/>
      <c r="CJ1436" s="5"/>
      <c r="CK1436" s="5"/>
      <c r="CL1436" s="5"/>
      <c r="CM1436" s="5"/>
      <c r="CN1436" s="5"/>
      <c r="CO1436" s="5"/>
      <c r="CP1436" s="5"/>
      <c r="CQ1436" s="5"/>
      <c r="CR1436" s="5"/>
      <c r="CS1436" s="5"/>
      <c r="CT1436" s="5"/>
      <c r="CU1436" s="5"/>
      <c r="CV1436" s="5"/>
      <c r="CW1436" s="5"/>
      <c r="CX1436" s="5"/>
      <c r="CY1436" s="5"/>
      <c r="CZ1436" s="5"/>
      <c r="DA1436" s="5"/>
      <c r="DB1436" s="5"/>
      <c r="DC1436" s="5"/>
      <c r="DD1436" s="5"/>
      <c r="DE1436" s="5"/>
      <c r="DF1436" s="5"/>
      <c r="DG1436" s="5"/>
      <c r="DH1436" s="5"/>
      <c r="DI1436" s="5"/>
      <c r="DJ1436" s="5"/>
      <c r="DK1436" s="5"/>
      <c r="DL1436" s="5"/>
      <c r="DM1436" s="5"/>
      <c r="DN1436" s="5"/>
      <c r="DO1436" s="5"/>
      <c r="DP1436" s="5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  <c r="GT1436" s="1"/>
      <c r="GU1436" s="1"/>
      <c r="GV1436" s="1"/>
      <c r="GW1436" s="1"/>
      <c r="GX1436" s="1"/>
      <c r="GY1436" s="1"/>
      <c r="GZ1436" s="1"/>
      <c r="HA1436" s="1"/>
      <c r="HB1436" s="1"/>
      <c r="HC1436" s="1"/>
      <c r="HD1436" s="1"/>
      <c r="HE1436" s="1"/>
      <c r="HF1436" s="1"/>
      <c r="HG1436" s="1"/>
      <c r="HH1436" s="1"/>
      <c r="HI1436" s="1"/>
      <c r="HJ1436" s="1"/>
      <c r="HK1436" s="1"/>
      <c r="HL1436" s="1"/>
      <c r="HM1436" s="1"/>
      <c r="HN1436" s="1"/>
      <c r="HO1436" s="1"/>
      <c r="HP1436" s="1"/>
      <c r="HQ1436" s="1"/>
      <c r="HR1436" s="1"/>
      <c r="HS1436" s="1"/>
      <c r="HT1436" s="1"/>
      <c r="HU1436" s="1"/>
      <c r="HV1436" s="1"/>
      <c r="HW1436" s="1"/>
      <c r="HX1436" s="1"/>
      <c r="HY1436" s="1"/>
      <c r="HZ1436" s="1"/>
      <c r="IA1436" s="1"/>
      <c r="IB1436" s="1"/>
      <c r="IC1436" s="1"/>
      <c r="ID1436" s="1"/>
      <c r="IE1436" s="1"/>
      <c r="IF1436" s="1"/>
      <c r="IG1436" s="1"/>
      <c r="IH1436" s="1"/>
      <c r="II1436" s="1"/>
      <c r="IJ1436" s="1"/>
      <c r="IK1436" s="1"/>
      <c r="IL1436" s="1"/>
      <c r="IM1436" s="1"/>
      <c r="IN1436" s="1"/>
      <c r="IO1436" s="1"/>
      <c r="IP1436" s="1"/>
      <c r="IQ1436" s="1"/>
      <c r="IR1436" s="1"/>
      <c r="IS1436" s="1"/>
      <c r="IT1436" s="1"/>
      <c r="IU1436" s="1"/>
      <c r="IV1436" s="1"/>
      <c r="IW1436" s="1"/>
      <c r="IX1436" s="1"/>
      <c r="IY1436" s="1"/>
      <c r="IZ1436" s="1"/>
      <c r="JA1436" s="1"/>
      <c r="JB1436" s="1"/>
      <c r="JC1436" s="1"/>
      <c r="JD1436" s="1"/>
    </row>
    <row r="1437" s="504" customFormat="true" ht="12.75" hidden="false" customHeight="true" outlineLevel="0" collapsed="false">
      <c r="A1437" s="5"/>
      <c r="B1437" s="5"/>
      <c r="C1437" s="5"/>
      <c r="D1437" s="8"/>
      <c r="E1437" s="8"/>
      <c r="F1437" s="8"/>
      <c r="G1437" s="5"/>
      <c r="H1437" s="5"/>
      <c r="I1437" s="5"/>
      <c r="J1437" s="8"/>
      <c r="K1437" s="8"/>
      <c r="L1437" s="5"/>
      <c r="M1437" s="8"/>
      <c r="N1437" s="8"/>
      <c r="O1437" s="8"/>
      <c r="P1437" s="8"/>
      <c r="Q1437" s="5"/>
      <c r="R1437" s="5"/>
      <c r="S1437" s="5"/>
      <c r="T1437" s="5"/>
      <c r="U1437" s="5"/>
      <c r="V1437" s="10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02"/>
      <c r="AU1437" s="502"/>
      <c r="AV1437" s="606"/>
      <c r="AW1437" s="502"/>
      <c r="AX1437" s="502"/>
      <c r="AY1437" s="502"/>
      <c r="AZ1437" s="502"/>
      <c r="BA1437" s="502"/>
      <c r="BB1437" s="502"/>
      <c r="BC1437" s="502"/>
      <c r="BD1437" s="502"/>
      <c r="BE1437" s="502"/>
      <c r="BF1437" s="502"/>
      <c r="BG1437" s="502"/>
      <c r="BH1437" s="502"/>
      <c r="BI1437" s="502"/>
      <c r="BJ1437" s="502"/>
      <c r="BK1437" s="502"/>
      <c r="BL1437" s="502"/>
      <c r="BM1437" s="502"/>
      <c r="BN1437" s="502"/>
      <c r="BO1437" s="502"/>
      <c r="BP1437" s="5"/>
      <c r="BQ1437" s="5"/>
      <c r="BR1437" s="5"/>
      <c r="BS1437" s="5"/>
      <c r="BT1437" s="5"/>
      <c r="BU1437" s="5"/>
      <c r="BV1437" s="5"/>
      <c r="BW1437" s="5"/>
      <c r="BX1437" s="5"/>
      <c r="BY1437" s="5"/>
      <c r="BZ1437" s="5"/>
      <c r="CA1437" s="5"/>
      <c r="CB1437" s="5"/>
      <c r="CC1437" s="5"/>
      <c r="CD1437" s="5"/>
      <c r="CE1437" s="5"/>
      <c r="CF1437" s="5"/>
      <c r="CG1437" s="5"/>
      <c r="CH1437" s="5"/>
      <c r="CI1437" s="5"/>
      <c r="CJ1437" s="5"/>
      <c r="CK1437" s="5"/>
      <c r="CL1437" s="5"/>
      <c r="CM1437" s="5"/>
      <c r="CN1437" s="5"/>
      <c r="CO1437" s="5"/>
      <c r="CP1437" s="5"/>
      <c r="CQ1437" s="5"/>
      <c r="CR1437" s="5"/>
      <c r="CS1437" s="5"/>
      <c r="CT1437" s="5"/>
      <c r="CU1437" s="5"/>
      <c r="CV1437" s="5"/>
      <c r="CW1437" s="5"/>
      <c r="CX1437" s="5"/>
      <c r="CY1437" s="5"/>
      <c r="CZ1437" s="5"/>
      <c r="DA1437" s="5"/>
      <c r="DB1437" s="5"/>
      <c r="DC1437" s="5"/>
      <c r="DD1437" s="5"/>
      <c r="DE1437" s="5"/>
      <c r="DF1437" s="5"/>
      <c r="DG1437" s="5"/>
      <c r="DH1437" s="5"/>
      <c r="DI1437" s="5"/>
      <c r="DJ1437" s="5"/>
      <c r="DK1437" s="5"/>
      <c r="DL1437" s="5"/>
      <c r="DM1437" s="5"/>
      <c r="DN1437" s="5"/>
      <c r="DO1437" s="5"/>
      <c r="DP1437" s="5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  <c r="GV1437" s="1"/>
      <c r="GW1437" s="1"/>
      <c r="GX1437" s="1"/>
      <c r="GY1437" s="1"/>
      <c r="GZ1437" s="1"/>
      <c r="HA1437" s="1"/>
      <c r="HB1437" s="1"/>
      <c r="HC1437" s="1"/>
      <c r="HD1437" s="1"/>
      <c r="HE1437" s="1"/>
      <c r="HF1437" s="1"/>
      <c r="HG1437" s="1"/>
      <c r="HH1437" s="1"/>
      <c r="HI1437" s="1"/>
      <c r="HJ1437" s="1"/>
      <c r="HK1437" s="1"/>
      <c r="HL1437" s="1"/>
      <c r="HM1437" s="1"/>
      <c r="HN1437" s="1"/>
      <c r="HO1437" s="1"/>
      <c r="HP1437" s="1"/>
      <c r="HQ1437" s="1"/>
      <c r="HR1437" s="1"/>
      <c r="HS1437" s="1"/>
      <c r="HT1437" s="1"/>
      <c r="HU1437" s="1"/>
      <c r="HV1437" s="1"/>
      <c r="HW1437" s="1"/>
      <c r="HX1437" s="1"/>
      <c r="HY1437" s="1"/>
      <c r="HZ1437" s="1"/>
      <c r="IA1437" s="1"/>
      <c r="IB1437" s="1"/>
      <c r="IC1437" s="1"/>
      <c r="ID1437" s="1"/>
      <c r="IE1437" s="1"/>
      <c r="IF1437" s="1"/>
      <c r="IG1437" s="1"/>
      <c r="IH1437" s="1"/>
      <c r="II1437" s="1"/>
      <c r="IJ1437" s="1"/>
      <c r="IK1437" s="1"/>
      <c r="IL1437" s="1"/>
      <c r="IM1437" s="1"/>
      <c r="IN1437" s="1"/>
      <c r="IO1437" s="1"/>
      <c r="IP1437" s="1"/>
      <c r="IQ1437" s="1"/>
      <c r="IR1437" s="1"/>
      <c r="IS1437" s="1"/>
      <c r="IT1437" s="1"/>
      <c r="IU1437" s="1"/>
      <c r="IV1437" s="1"/>
      <c r="IW1437" s="1"/>
      <c r="IX1437" s="1"/>
      <c r="IY1437" s="1"/>
      <c r="IZ1437" s="1"/>
      <c r="JA1437" s="1"/>
      <c r="JB1437" s="1"/>
      <c r="JC1437" s="1"/>
      <c r="JD1437" s="1"/>
    </row>
    <row r="1438" s="504" customFormat="true" ht="12.75" hidden="false" customHeight="true" outlineLevel="0" collapsed="false">
      <c r="A1438" s="5"/>
      <c r="B1438" s="5"/>
      <c r="C1438" s="5"/>
      <c r="D1438" s="8"/>
      <c r="E1438" s="8"/>
      <c r="F1438" s="8"/>
      <c r="G1438" s="5"/>
      <c r="H1438" s="5"/>
      <c r="I1438" s="5"/>
      <c r="J1438" s="8"/>
      <c r="K1438" s="8"/>
      <c r="L1438" s="5"/>
      <c r="M1438" s="8"/>
      <c r="N1438" s="8"/>
      <c r="O1438" s="8"/>
      <c r="P1438" s="8"/>
      <c r="Q1438" s="5"/>
      <c r="R1438" s="5"/>
      <c r="S1438" s="5"/>
      <c r="T1438" s="5"/>
      <c r="U1438" s="5"/>
      <c r="V1438" s="10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02"/>
      <c r="AU1438" s="502"/>
      <c r="AV1438" s="606"/>
      <c r="AW1438" s="502"/>
      <c r="AX1438" s="502"/>
      <c r="AY1438" s="502"/>
      <c r="AZ1438" s="502"/>
      <c r="BA1438" s="502"/>
      <c r="BB1438" s="502"/>
      <c r="BC1438" s="502"/>
      <c r="BD1438" s="502"/>
      <c r="BE1438" s="502"/>
      <c r="BF1438" s="502"/>
      <c r="BG1438" s="502"/>
      <c r="BH1438" s="502"/>
      <c r="BI1438" s="502"/>
      <c r="BJ1438" s="502"/>
      <c r="BK1438" s="502"/>
      <c r="BL1438" s="502"/>
      <c r="BM1438" s="502"/>
      <c r="BN1438" s="502"/>
      <c r="BO1438" s="502"/>
      <c r="BP1438" s="5"/>
      <c r="BQ1438" s="5"/>
      <c r="BR1438" s="5"/>
      <c r="BS1438" s="5"/>
      <c r="BT1438" s="5"/>
      <c r="BU1438" s="5"/>
      <c r="BV1438" s="5"/>
      <c r="BW1438" s="5"/>
      <c r="BX1438" s="5"/>
      <c r="BY1438" s="5"/>
      <c r="BZ1438" s="5"/>
      <c r="CA1438" s="5"/>
      <c r="CB1438" s="5"/>
      <c r="CC1438" s="5"/>
      <c r="CD1438" s="5"/>
      <c r="CE1438" s="5"/>
      <c r="CF1438" s="5"/>
      <c r="CG1438" s="5"/>
      <c r="CH1438" s="5"/>
      <c r="CI1438" s="5"/>
      <c r="CJ1438" s="5"/>
      <c r="CK1438" s="5"/>
      <c r="CL1438" s="5"/>
      <c r="CM1438" s="5"/>
      <c r="CN1438" s="5"/>
      <c r="CO1438" s="5"/>
      <c r="CP1438" s="5"/>
      <c r="CQ1438" s="5"/>
      <c r="CR1438" s="5"/>
      <c r="CS1438" s="5"/>
      <c r="CT1438" s="5"/>
      <c r="CU1438" s="5"/>
      <c r="CV1438" s="5"/>
      <c r="CW1438" s="5"/>
      <c r="CX1438" s="5"/>
      <c r="CY1438" s="5"/>
      <c r="CZ1438" s="5"/>
      <c r="DA1438" s="5"/>
      <c r="DB1438" s="5"/>
      <c r="DC1438" s="5"/>
      <c r="DD1438" s="5"/>
      <c r="DE1438" s="5"/>
      <c r="DF1438" s="5"/>
      <c r="DG1438" s="5"/>
      <c r="DH1438" s="5"/>
      <c r="DI1438" s="5"/>
      <c r="DJ1438" s="5"/>
      <c r="DK1438" s="5"/>
      <c r="DL1438" s="5"/>
      <c r="DM1438" s="5"/>
      <c r="DN1438" s="5"/>
      <c r="DO1438" s="5"/>
      <c r="DP1438" s="5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  <c r="GV1438" s="1"/>
      <c r="GW1438" s="1"/>
      <c r="GX1438" s="1"/>
      <c r="GY1438" s="1"/>
      <c r="GZ1438" s="1"/>
      <c r="HA1438" s="1"/>
      <c r="HB1438" s="1"/>
      <c r="HC1438" s="1"/>
      <c r="HD1438" s="1"/>
      <c r="HE1438" s="1"/>
      <c r="HF1438" s="1"/>
      <c r="HG1438" s="1"/>
      <c r="HH1438" s="1"/>
      <c r="HI1438" s="1"/>
      <c r="HJ1438" s="1"/>
      <c r="HK1438" s="1"/>
      <c r="HL1438" s="1"/>
      <c r="HM1438" s="1"/>
      <c r="HN1438" s="1"/>
      <c r="HO1438" s="1"/>
      <c r="HP1438" s="1"/>
      <c r="HQ1438" s="1"/>
      <c r="HR1438" s="1"/>
      <c r="HS1438" s="1"/>
      <c r="HT1438" s="1"/>
      <c r="HU1438" s="1"/>
      <c r="HV1438" s="1"/>
      <c r="HW1438" s="1"/>
      <c r="HX1438" s="1"/>
      <c r="HY1438" s="1"/>
      <c r="HZ1438" s="1"/>
      <c r="IA1438" s="1"/>
      <c r="IB1438" s="1"/>
      <c r="IC1438" s="1"/>
      <c r="ID1438" s="1"/>
      <c r="IE1438" s="1"/>
      <c r="IF1438" s="1"/>
      <c r="IG1438" s="1"/>
      <c r="IH1438" s="1"/>
      <c r="II1438" s="1"/>
      <c r="IJ1438" s="1"/>
      <c r="IK1438" s="1"/>
      <c r="IL1438" s="1"/>
      <c r="IM1438" s="1"/>
      <c r="IN1438" s="1"/>
      <c r="IO1438" s="1"/>
      <c r="IP1438" s="1"/>
      <c r="IQ1438" s="1"/>
      <c r="IR1438" s="1"/>
      <c r="IS1438" s="1"/>
      <c r="IT1438" s="1"/>
      <c r="IU1438" s="1"/>
      <c r="IV1438" s="1"/>
      <c r="IW1438" s="1"/>
      <c r="IX1438" s="1"/>
      <c r="IY1438" s="1"/>
      <c r="IZ1438" s="1"/>
      <c r="JA1438" s="1"/>
      <c r="JB1438" s="1"/>
      <c r="JC1438" s="1"/>
      <c r="JD1438" s="1"/>
    </row>
    <row r="1439" s="504" customFormat="true" ht="12.75" hidden="false" customHeight="true" outlineLevel="0" collapsed="false">
      <c r="A1439" s="5"/>
      <c r="B1439" s="5"/>
      <c r="C1439" s="5"/>
      <c r="D1439" s="8"/>
      <c r="E1439" s="8"/>
      <c r="F1439" s="8"/>
      <c r="G1439" s="5"/>
      <c r="H1439" s="5"/>
      <c r="I1439" s="5"/>
      <c r="J1439" s="8"/>
      <c r="K1439" s="8"/>
      <c r="L1439" s="5"/>
      <c r="M1439" s="8"/>
      <c r="N1439" s="8"/>
      <c r="O1439" s="8"/>
      <c r="P1439" s="8"/>
      <c r="Q1439" s="5"/>
      <c r="R1439" s="5"/>
      <c r="S1439" s="5"/>
      <c r="T1439" s="5"/>
      <c r="U1439" s="5"/>
      <c r="V1439" s="10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02"/>
      <c r="AU1439" s="502"/>
      <c r="AV1439" s="606"/>
      <c r="AW1439" s="502"/>
      <c r="AX1439" s="502"/>
      <c r="AY1439" s="502"/>
      <c r="AZ1439" s="502"/>
      <c r="BA1439" s="502"/>
      <c r="BB1439" s="502"/>
      <c r="BC1439" s="502"/>
      <c r="BD1439" s="502"/>
      <c r="BE1439" s="502"/>
      <c r="BF1439" s="502"/>
      <c r="BG1439" s="502"/>
      <c r="BH1439" s="502"/>
      <c r="BI1439" s="502"/>
      <c r="BJ1439" s="502"/>
      <c r="BK1439" s="502"/>
      <c r="BL1439" s="502"/>
      <c r="BM1439" s="502"/>
      <c r="BN1439" s="502"/>
      <c r="BO1439" s="502"/>
      <c r="BP1439" s="5"/>
      <c r="BQ1439" s="5"/>
      <c r="BR1439" s="5"/>
      <c r="BS1439" s="5"/>
      <c r="BT1439" s="5"/>
      <c r="BU1439" s="5"/>
      <c r="BV1439" s="5"/>
      <c r="BW1439" s="5"/>
      <c r="BX1439" s="5"/>
      <c r="BY1439" s="5"/>
      <c r="BZ1439" s="5"/>
      <c r="CA1439" s="5"/>
      <c r="CB1439" s="5"/>
      <c r="CC1439" s="5"/>
      <c r="CD1439" s="5"/>
      <c r="CE1439" s="5"/>
      <c r="CF1439" s="5"/>
      <c r="CG1439" s="5"/>
      <c r="CH1439" s="5"/>
      <c r="CI1439" s="5"/>
      <c r="CJ1439" s="5"/>
      <c r="CK1439" s="5"/>
      <c r="CL1439" s="5"/>
      <c r="CM1439" s="5"/>
      <c r="CN1439" s="5"/>
      <c r="CO1439" s="5"/>
      <c r="CP1439" s="5"/>
      <c r="CQ1439" s="5"/>
      <c r="CR1439" s="5"/>
      <c r="CS1439" s="5"/>
      <c r="CT1439" s="5"/>
      <c r="CU1439" s="5"/>
      <c r="CV1439" s="5"/>
      <c r="CW1439" s="5"/>
      <c r="CX1439" s="5"/>
      <c r="CY1439" s="5"/>
      <c r="CZ1439" s="5"/>
      <c r="DA1439" s="5"/>
      <c r="DB1439" s="5"/>
      <c r="DC1439" s="5"/>
      <c r="DD1439" s="5"/>
      <c r="DE1439" s="5"/>
      <c r="DF1439" s="5"/>
      <c r="DG1439" s="5"/>
      <c r="DH1439" s="5"/>
      <c r="DI1439" s="5"/>
      <c r="DJ1439" s="5"/>
      <c r="DK1439" s="5"/>
      <c r="DL1439" s="5"/>
      <c r="DM1439" s="5"/>
      <c r="DN1439" s="5"/>
      <c r="DO1439" s="5"/>
      <c r="DP1439" s="5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  <c r="GV1439" s="1"/>
      <c r="GW1439" s="1"/>
      <c r="GX1439" s="1"/>
      <c r="GY1439" s="1"/>
      <c r="GZ1439" s="1"/>
      <c r="HA1439" s="1"/>
      <c r="HB1439" s="1"/>
      <c r="HC1439" s="1"/>
      <c r="HD1439" s="1"/>
      <c r="HE1439" s="1"/>
      <c r="HF1439" s="1"/>
      <c r="HG1439" s="1"/>
      <c r="HH1439" s="1"/>
      <c r="HI1439" s="1"/>
      <c r="HJ1439" s="1"/>
      <c r="HK1439" s="1"/>
      <c r="HL1439" s="1"/>
      <c r="HM1439" s="1"/>
      <c r="HN1439" s="1"/>
      <c r="HO1439" s="1"/>
      <c r="HP1439" s="1"/>
      <c r="HQ1439" s="1"/>
      <c r="HR1439" s="1"/>
      <c r="HS1439" s="1"/>
      <c r="HT1439" s="1"/>
      <c r="HU1439" s="1"/>
      <c r="HV1439" s="1"/>
      <c r="HW1439" s="1"/>
      <c r="HX1439" s="1"/>
      <c r="HY1439" s="1"/>
      <c r="HZ1439" s="1"/>
      <c r="IA1439" s="1"/>
      <c r="IB1439" s="1"/>
      <c r="IC1439" s="1"/>
      <c r="ID1439" s="1"/>
      <c r="IE1439" s="1"/>
      <c r="IF1439" s="1"/>
      <c r="IG1439" s="1"/>
      <c r="IH1439" s="1"/>
      <c r="II1439" s="1"/>
      <c r="IJ1439" s="1"/>
      <c r="IK1439" s="1"/>
      <c r="IL1439" s="1"/>
      <c r="IM1439" s="1"/>
      <c r="IN1439" s="1"/>
      <c r="IO1439" s="1"/>
      <c r="IP1439" s="1"/>
      <c r="IQ1439" s="1"/>
      <c r="IR1439" s="1"/>
      <c r="IS1439" s="1"/>
      <c r="IT1439" s="1"/>
      <c r="IU1439" s="1"/>
      <c r="IV1439" s="1"/>
      <c r="IW1439" s="1"/>
      <c r="IX1439" s="1"/>
      <c r="IY1439" s="1"/>
      <c r="IZ1439" s="1"/>
      <c r="JA1439" s="1"/>
      <c r="JB1439" s="1"/>
      <c r="JC1439" s="1"/>
      <c r="JD1439" s="1"/>
    </row>
    <row r="1440" s="504" customFormat="true" ht="12.75" hidden="false" customHeight="true" outlineLevel="0" collapsed="false">
      <c r="A1440" s="5"/>
      <c r="B1440" s="5"/>
      <c r="C1440" s="5"/>
      <c r="D1440" s="8"/>
      <c r="E1440" s="8"/>
      <c r="F1440" s="8"/>
      <c r="G1440" s="5"/>
      <c r="H1440" s="5"/>
      <c r="I1440" s="5"/>
      <c r="J1440" s="8"/>
      <c r="K1440" s="8"/>
      <c r="L1440" s="5"/>
      <c r="M1440" s="8"/>
      <c r="N1440" s="8"/>
      <c r="O1440" s="8"/>
      <c r="P1440" s="8"/>
      <c r="Q1440" s="5"/>
      <c r="R1440" s="5"/>
      <c r="S1440" s="5"/>
      <c r="T1440" s="5"/>
      <c r="U1440" s="5"/>
      <c r="V1440" s="10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02"/>
      <c r="AU1440" s="502"/>
      <c r="AV1440" s="606"/>
      <c r="AW1440" s="502"/>
      <c r="AX1440" s="502"/>
      <c r="AY1440" s="502"/>
      <c r="AZ1440" s="502"/>
      <c r="BA1440" s="502"/>
      <c r="BB1440" s="502"/>
      <c r="BC1440" s="502"/>
      <c r="BD1440" s="502"/>
      <c r="BE1440" s="502"/>
      <c r="BF1440" s="502"/>
      <c r="BG1440" s="502"/>
      <c r="BH1440" s="502"/>
      <c r="BI1440" s="502"/>
      <c r="BJ1440" s="502"/>
      <c r="BK1440" s="502"/>
      <c r="BL1440" s="502"/>
      <c r="BM1440" s="502"/>
      <c r="BN1440" s="502"/>
      <c r="BO1440" s="502"/>
      <c r="BP1440" s="5"/>
      <c r="BQ1440" s="5"/>
      <c r="BR1440" s="5"/>
      <c r="BS1440" s="5"/>
      <c r="BT1440" s="5"/>
      <c r="BU1440" s="5"/>
      <c r="BV1440" s="5"/>
      <c r="BW1440" s="5"/>
      <c r="BX1440" s="5"/>
      <c r="BY1440" s="5"/>
      <c r="BZ1440" s="5"/>
      <c r="CA1440" s="5"/>
      <c r="CB1440" s="5"/>
      <c r="CC1440" s="5"/>
      <c r="CD1440" s="5"/>
      <c r="CE1440" s="5"/>
      <c r="CF1440" s="5"/>
      <c r="CG1440" s="5"/>
      <c r="CH1440" s="5"/>
      <c r="CI1440" s="5"/>
      <c r="CJ1440" s="5"/>
      <c r="CK1440" s="5"/>
      <c r="CL1440" s="5"/>
      <c r="CM1440" s="5"/>
      <c r="CN1440" s="5"/>
      <c r="CO1440" s="5"/>
      <c r="CP1440" s="5"/>
      <c r="CQ1440" s="5"/>
      <c r="CR1440" s="5"/>
      <c r="CS1440" s="5"/>
      <c r="CT1440" s="5"/>
      <c r="CU1440" s="5"/>
      <c r="CV1440" s="5"/>
      <c r="CW1440" s="5"/>
      <c r="CX1440" s="5"/>
      <c r="CY1440" s="5"/>
      <c r="CZ1440" s="5"/>
      <c r="DA1440" s="5"/>
      <c r="DB1440" s="5"/>
      <c r="DC1440" s="5"/>
      <c r="DD1440" s="5"/>
      <c r="DE1440" s="5"/>
      <c r="DF1440" s="5"/>
      <c r="DG1440" s="5"/>
      <c r="DH1440" s="5"/>
      <c r="DI1440" s="5"/>
      <c r="DJ1440" s="5"/>
      <c r="DK1440" s="5"/>
      <c r="DL1440" s="5"/>
      <c r="DM1440" s="5"/>
      <c r="DN1440" s="5"/>
      <c r="DO1440" s="5"/>
      <c r="DP1440" s="5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  <c r="GV1440" s="1"/>
      <c r="GW1440" s="1"/>
      <c r="GX1440" s="1"/>
      <c r="GY1440" s="1"/>
      <c r="GZ1440" s="1"/>
      <c r="HA1440" s="1"/>
      <c r="HB1440" s="1"/>
      <c r="HC1440" s="1"/>
      <c r="HD1440" s="1"/>
      <c r="HE1440" s="1"/>
      <c r="HF1440" s="1"/>
      <c r="HG1440" s="1"/>
      <c r="HH1440" s="1"/>
      <c r="HI1440" s="1"/>
      <c r="HJ1440" s="1"/>
      <c r="HK1440" s="1"/>
      <c r="HL1440" s="1"/>
      <c r="HM1440" s="1"/>
      <c r="HN1440" s="1"/>
      <c r="HO1440" s="1"/>
      <c r="HP1440" s="1"/>
      <c r="HQ1440" s="1"/>
      <c r="HR1440" s="1"/>
      <c r="HS1440" s="1"/>
      <c r="HT1440" s="1"/>
      <c r="HU1440" s="1"/>
      <c r="HV1440" s="1"/>
      <c r="HW1440" s="1"/>
      <c r="HX1440" s="1"/>
      <c r="HY1440" s="1"/>
      <c r="HZ1440" s="1"/>
      <c r="IA1440" s="1"/>
      <c r="IB1440" s="1"/>
      <c r="IC1440" s="1"/>
      <c r="ID1440" s="1"/>
      <c r="IE1440" s="1"/>
      <c r="IF1440" s="1"/>
      <c r="IG1440" s="1"/>
      <c r="IH1440" s="1"/>
      <c r="II1440" s="1"/>
      <c r="IJ1440" s="1"/>
      <c r="IK1440" s="1"/>
      <c r="IL1440" s="1"/>
      <c r="IM1440" s="1"/>
      <c r="IN1440" s="1"/>
      <c r="IO1440" s="1"/>
      <c r="IP1440" s="1"/>
      <c r="IQ1440" s="1"/>
      <c r="IR1440" s="1"/>
      <c r="IS1440" s="1"/>
      <c r="IT1440" s="1"/>
      <c r="IU1440" s="1"/>
      <c r="IV1440" s="1"/>
      <c r="IW1440" s="1"/>
      <c r="IX1440" s="1"/>
      <c r="IY1440" s="1"/>
      <c r="IZ1440" s="1"/>
      <c r="JA1440" s="1"/>
      <c r="JB1440" s="1"/>
      <c r="JC1440" s="1"/>
      <c r="JD1440" s="1"/>
    </row>
    <row r="1441" s="504" customFormat="true" ht="12.75" hidden="false" customHeight="true" outlineLevel="0" collapsed="false">
      <c r="A1441" s="5"/>
      <c r="B1441" s="5"/>
      <c r="C1441" s="5"/>
      <c r="D1441" s="8"/>
      <c r="E1441" s="8"/>
      <c r="F1441" s="8"/>
      <c r="G1441" s="5"/>
      <c r="H1441" s="5"/>
      <c r="I1441" s="5"/>
      <c r="J1441" s="8"/>
      <c r="K1441" s="8"/>
      <c r="L1441" s="5"/>
      <c r="M1441" s="8"/>
      <c r="N1441" s="8"/>
      <c r="O1441" s="8"/>
      <c r="P1441" s="8"/>
      <c r="Q1441" s="5"/>
      <c r="R1441" s="5"/>
      <c r="S1441" s="5"/>
      <c r="T1441" s="5"/>
      <c r="U1441" s="5"/>
      <c r="V1441" s="10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02"/>
      <c r="AU1441" s="502"/>
      <c r="AV1441" s="606"/>
      <c r="AW1441" s="502"/>
      <c r="AX1441" s="502"/>
      <c r="AY1441" s="502"/>
      <c r="AZ1441" s="502"/>
      <c r="BA1441" s="502"/>
      <c r="BB1441" s="502"/>
      <c r="BC1441" s="502"/>
      <c r="BD1441" s="502"/>
      <c r="BE1441" s="502"/>
      <c r="BF1441" s="502"/>
      <c r="BG1441" s="502"/>
      <c r="BH1441" s="502"/>
      <c r="BI1441" s="502"/>
      <c r="BJ1441" s="502"/>
      <c r="BK1441" s="502"/>
      <c r="BL1441" s="502"/>
      <c r="BM1441" s="502"/>
      <c r="BN1441" s="502"/>
      <c r="BO1441" s="502"/>
      <c r="BP1441" s="5"/>
      <c r="BQ1441" s="5"/>
      <c r="BR1441" s="5"/>
      <c r="BS1441" s="5"/>
      <c r="BT1441" s="5"/>
      <c r="BU1441" s="5"/>
      <c r="BV1441" s="5"/>
      <c r="BW1441" s="5"/>
      <c r="BX1441" s="5"/>
      <c r="BY1441" s="5"/>
      <c r="BZ1441" s="5"/>
      <c r="CA1441" s="5"/>
      <c r="CB1441" s="5"/>
      <c r="CC1441" s="5"/>
      <c r="CD1441" s="5"/>
      <c r="CE1441" s="5"/>
      <c r="CF1441" s="5"/>
      <c r="CG1441" s="5"/>
      <c r="CH1441" s="5"/>
      <c r="CI1441" s="5"/>
      <c r="CJ1441" s="5"/>
      <c r="CK1441" s="5"/>
      <c r="CL1441" s="5"/>
      <c r="CM1441" s="5"/>
      <c r="CN1441" s="5"/>
      <c r="CO1441" s="5"/>
      <c r="CP1441" s="5"/>
      <c r="CQ1441" s="5"/>
      <c r="CR1441" s="5"/>
      <c r="CS1441" s="5"/>
      <c r="CT1441" s="5"/>
      <c r="CU1441" s="5"/>
      <c r="CV1441" s="5"/>
      <c r="CW1441" s="5"/>
      <c r="CX1441" s="5"/>
      <c r="CY1441" s="5"/>
      <c r="CZ1441" s="5"/>
      <c r="DA1441" s="5"/>
      <c r="DB1441" s="5"/>
      <c r="DC1441" s="5"/>
      <c r="DD1441" s="5"/>
      <c r="DE1441" s="5"/>
      <c r="DF1441" s="5"/>
      <c r="DG1441" s="5"/>
      <c r="DH1441" s="5"/>
      <c r="DI1441" s="5"/>
      <c r="DJ1441" s="5"/>
      <c r="DK1441" s="5"/>
      <c r="DL1441" s="5"/>
      <c r="DM1441" s="5"/>
      <c r="DN1441" s="5"/>
      <c r="DO1441" s="5"/>
      <c r="DP1441" s="5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  <c r="GV1441" s="1"/>
      <c r="GW1441" s="1"/>
      <c r="GX1441" s="1"/>
      <c r="GY1441" s="1"/>
      <c r="GZ1441" s="1"/>
      <c r="HA1441" s="1"/>
      <c r="HB1441" s="1"/>
      <c r="HC1441" s="1"/>
      <c r="HD1441" s="1"/>
      <c r="HE1441" s="1"/>
      <c r="HF1441" s="1"/>
      <c r="HG1441" s="1"/>
      <c r="HH1441" s="1"/>
      <c r="HI1441" s="1"/>
      <c r="HJ1441" s="1"/>
      <c r="HK1441" s="1"/>
      <c r="HL1441" s="1"/>
      <c r="HM1441" s="1"/>
      <c r="HN1441" s="1"/>
      <c r="HO1441" s="1"/>
      <c r="HP1441" s="1"/>
      <c r="HQ1441" s="1"/>
      <c r="HR1441" s="1"/>
      <c r="HS1441" s="1"/>
      <c r="HT1441" s="1"/>
      <c r="HU1441" s="1"/>
      <c r="HV1441" s="1"/>
      <c r="HW1441" s="1"/>
      <c r="HX1441" s="1"/>
      <c r="HY1441" s="1"/>
      <c r="HZ1441" s="1"/>
      <c r="IA1441" s="1"/>
      <c r="IB1441" s="1"/>
      <c r="IC1441" s="1"/>
      <c r="ID1441" s="1"/>
      <c r="IE1441" s="1"/>
      <c r="IF1441" s="1"/>
      <c r="IG1441" s="1"/>
      <c r="IH1441" s="1"/>
      <c r="II1441" s="1"/>
      <c r="IJ1441" s="1"/>
      <c r="IK1441" s="1"/>
      <c r="IL1441" s="1"/>
      <c r="IM1441" s="1"/>
      <c r="IN1441" s="1"/>
      <c r="IO1441" s="1"/>
      <c r="IP1441" s="1"/>
      <c r="IQ1441" s="1"/>
      <c r="IR1441" s="1"/>
      <c r="IS1441" s="1"/>
      <c r="IT1441" s="1"/>
      <c r="IU1441" s="1"/>
      <c r="IV1441" s="1"/>
      <c r="IW1441" s="1"/>
      <c r="IX1441" s="1"/>
      <c r="IY1441" s="1"/>
      <c r="IZ1441" s="1"/>
      <c r="JA1441" s="1"/>
      <c r="JB1441" s="1"/>
      <c r="JC1441" s="1"/>
      <c r="JD1441" s="1"/>
    </row>
    <row r="1442" s="504" customFormat="true" ht="12.75" hidden="false" customHeight="true" outlineLevel="0" collapsed="false">
      <c r="A1442" s="5"/>
      <c r="B1442" s="5"/>
      <c r="C1442" s="5"/>
      <c r="D1442" s="8"/>
      <c r="E1442" s="8"/>
      <c r="F1442" s="8"/>
      <c r="G1442" s="5"/>
      <c r="H1442" s="5"/>
      <c r="I1442" s="5"/>
      <c r="J1442" s="8"/>
      <c r="K1442" s="8"/>
      <c r="L1442" s="5"/>
      <c r="M1442" s="8"/>
      <c r="N1442" s="8"/>
      <c r="O1442" s="8"/>
      <c r="P1442" s="8"/>
      <c r="Q1442" s="5"/>
      <c r="R1442" s="5"/>
      <c r="S1442" s="5"/>
      <c r="T1442" s="5"/>
      <c r="U1442" s="5"/>
      <c r="V1442" s="10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02"/>
      <c r="AU1442" s="502"/>
      <c r="AV1442" s="606"/>
      <c r="AW1442" s="502"/>
      <c r="AX1442" s="502"/>
      <c r="AY1442" s="502"/>
      <c r="AZ1442" s="502"/>
      <c r="BA1442" s="502"/>
      <c r="BB1442" s="502"/>
      <c r="BC1442" s="502"/>
      <c r="BD1442" s="502"/>
      <c r="BE1442" s="502"/>
      <c r="BF1442" s="502"/>
      <c r="BG1442" s="502"/>
      <c r="BH1442" s="502"/>
      <c r="BI1442" s="502"/>
      <c r="BJ1442" s="502"/>
      <c r="BK1442" s="502"/>
      <c r="BL1442" s="502"/>
      <c r="BM1442" s="502"/>
      <c r="BN1442" s="502"/>
      <c r="BO1442" s="502"/>
      <c r="BP1442" s="5"/>
      <c r="BQ1442" s="5"/>
      <c r="BR1442" s="5"/>
      <c r="BS1442" s="5"/>
      <c r="BT1442" s="5"/>
      <c r="BU1442" s="5"/>
      <c r="BV1442" s="5"/>
      <c r="BW1442" s="5"/>
      <c r="BX1442" s="5"/>
      <c r="BY1442" s="5"/>
      <c r="BZ1442" s="5"/>
      <c r="CA1442" s="5"/>
      <c r="CB1442" s="5"/>
      <c r="CC1442" s="5"/>
      <c r="CD1442" s="5"/>
      <c r="CE1442" s="5"/>
      <c r="CF1442" s="5"/>
      <c r="CG1442" s="5"/>
      <c r="CH1442" s="5"/>
      <c r="CI1442" s="5"/>
      <c r="CJ1442" s="5"/>
      <c r="CK1442" s="5"/>
      <c r="CL1442" s="5"/>
      <c r="CM1442" s="5"/>
      <c r="CN1442" s="5"/>
      <c r="CO1442" s="5"/>
      <c r="CP1442" s="5"/>
      <c r="CQ1442" s="5"/>
      <c r="CR1442" s="5"/>
      <c r="CS1442" s="5"/>
      <c r="CT1442" s="5"/>
      <c r="CU1442" s="5"/>
      <c r="CV1442" s="5"/>
      <c r="CW1442" s="5"/>
      <c r="CX1442" s="5"/>
      <c r="CY1442" s="5"/>
      <c r="CZ1442" s="5"/>
      <c r="DA1442" s="5"/>
      <c r="DB1442" s="5"/>
      <c r="DC1442" s="5"/>
      <c r="DD1442" s="5"/>
      <c r="DE1442" s="5"/>
      <c r="DF1442" s="5"/>
      <c r="DG1442" s="5"/>
      <c r="DH1442" s="5"/>
      <c r="DI1442" s="5"/>
      <c r="DJ1442" s="5"/>
      <c r="DK1442" s="5"/>
      <c r="DL1442" s="5"/>
      <c r="DM1442" s="5"/>
      <c r="DN1442" s="5"/>
      <c r="DO1442" s="5"/>
      <c r="DP1442" s="5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  <c r="GV1442" s="1"/>
      <c r="GW1442" s="1"/>
      <c r="GX1442" s="1"/>
      <c r="GY1442" s="1"/>
      <c r="GZ1442" s="1"/>
      <c r="HA1442" s="1"/>
      <c r="HB1442" s="1"/>
      <c r="HC1442" s="1"/>
      <c r="HD1442" s="1"/>
      <c r="HE1442" s="1"/>
      <c r="HF1442" s="1"/>
      <c r="HG1442" s="1"/>
      <c r="HH1442" s="1"/>
      <c r="HI1442" s="1"/>
      <c r="HJ1442" s="1"/>
      <c r="HK1442" s="1"/>
      <c r="HL1442" s="1"/>
      <c r="HM1442" s="1"/>
      <c r="HN1442" s="1"/>
      <c r="HO1442" s="1"/>
      <c r="HP1442" s="1"/>
      <c r="HQ1442" s="1"/>
      <c r="HR1442" s="1"/>
      <c r="HS1442" s="1"/>
      <c r="HT1442" s="1"/>
      <c r="HU1442" s="1"/>
      <c r="HV1442" s="1"/>
      <c r="HW1442" s="1"/>
      <c r="HX1442" s="1"/>
      <c r="HY1442" s="1"/>
      <c r="HZ1442" s="1"/>
      <c r="IA1442" s="1"/>
      <c r="IB1442" s="1"/>
      <c r="IC1442" s="1"/>
      <c r="ID1442" s="1"/>
      <c r="IE1442" s="1"/>
      <c r="IF1442" s="1"/>
      <c r="IG1442" s="1"/>
      <c r="IH1442" s="1"/>
      <c r="II1442" s="1"/>
      <c r="IJ1442" s="1"/>
      <c r="IK1442" s="1"/>
      <c r="IL1442" s="1"/>
      <c r="IM1442" s="1"/>
      <c r="IN1442" s="1"/>
      <c r="IO1442" s="1"/>
      <c r="IP1442" s="1"/>
      <c r="IQ1442" s="1"/>
      <c r="IR1442" s="1"/>
      <c r="IS1442" s="1"/>
      <c r="IT1442" s="1"/>
      <c r="IU1442" s="1"/>
      <c r="IV1442" s="1"/>
      <c r="IW1442" s="1"/>
      <c r="IX1442" s="1"/>
      <c r="IY1442" s="1"/>
      <c r="IZ1442" s="1"/>
      <c r="JA1442" s="1"/>
      <c r="JB1442" s="1"/>
      <c r="JC1442" s="1"/>
      <c r="JD1442" s="1"/>
    </row>
    <row r="1443" s="504" customFormat="true" ht="12.75" hidden="false" customHeight="true" outlineLevel="0" collapsed="false">
      <c r="A1443" s="5"/>
      <c r="B1443" s="5"/>
      <c r="C1443" s="5"/>
      <c r="D1443" s="8"/>
      <c r="E1443" s="8"/>
      <c r="F1443" s="8"/>
      <c r="G1443" s="5"/>
      <c r="H1443" s="5"/>
      <c r="I1443" s="5"/>
      <c r="J1443" s="8"/>
      <c r="K1443" s="8"/>
      <c r="L1443" s="5"/>
      <c r="M1443" s="8"/>
      <c r="N1443" s="8"/>
      <c r="O1443" s="8"/>
      <c r="P1443" s="8"/>
      <c r="Q1443" s="5"/>
      <c r="R1443" s="5"/>
      <c r="S1443" s="5"/>
      <c r="T1443" s="5"/>
      <c r="U1443" s="5"/>
      <c r="V1443" s="10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02"/>
      <c r="AU1443" s="502"/>
      <c r="AV1443" s="606"/>
      <c r="AW1443" s="502"/>
      <c r="AX1443" s="502"/>
      <c r="AY1443" s="502"/>
      <c r="AZ1443" s="502"/>
      <c r="BA1443" s="502"/>
      <c r="BB1443" s="502"/>
      <c r="BC1443" s="502"/>
      <c r="BD1443" s="502"/>
      <c r="BE1443" s="502"/>
      <c r="BF1443" s="502"/>
      <c r="BG1443" s="502"/>
      <c r="BH1443" s="502"/>
      <c r="BI1443" s="502"/>
      <c r="BJ1443" s="502"/>
      <c r="BK1443" s="502"/>
      <c r="BL1443" s="502"/>
      <c r="BM1443" s="502"/>
      <c r="BN1443" s="502"/>
      <c r="BO1443" s="502"/>
      <c r="BP1443" s="5"/>
      <c r="BQ1443" s="5"/>
      <c r="BR1443" s="5"/>
      <c r="BS1443" s="5"/>
      <c r="BT1443" s="5"/>
      <c r="BU1443" s="5"/>
      <c r="BV1443" s="5"/>
      <c r="BW1443" s="5"/>
      <c r="BX1443" s="5"/>
      <c r="BY1443" s="5"/>
      <c r="BZ1443" s="5"/>
      <c r="CA1443" s="5"/>
      <c r="CB1443" s="5"/>
      <c r="CC1443" s="5"/>
      <c r="CD1443" s="5"/>
      <c r="CE1443" s="5"/>
      <c r="CF1443" s="5"/>
      <c r="CG1443" s="5"/>
      <c r="CH1443" s="5"/>
      <c r="CI1443" s="5"/>
      <c r="CJ1443" s="5"/>
      <c r="CK1443" s="5"/>
      <c r="CL1443" s="5"/>
      <c r="CM1443" s="5"/>
      <c r="CN1443" s="5"/>
      <c r="CO1443" s="5"/>
      <c r="CP1443" s="5"/>
      <c r="CQ1443" s="5"/>
      <c r="CR1443" s="5"/>
      <c r="CS1443" s="5"/>
      <c r="CT1443" s="5"/>
      <c r="CU1443" s="5"/>
      <c r="CV1443" s="5"/>
      <c r="CW1443" s="5"/>
      <c r="CX1443" s="5"/>
      <c r="CY1443" s="5"/>
      <c r="CZ1443" s="5"/>
      <c r="DA1443" s="5"/>
      <c r="DB1443" s="5"/>
      <c r="DC1443" s="5"/>
      <c r="DD1443" s="5"/>
      <c r="DE1443" s="5"/>
      <c r="DF1443" s="5"/>
      <c r="DG1443" s="5"/>
      <c r="DH1443" s="5"/>
      <c r="DI1443" s="5"/>
      <c r="DJ1443" s="5"/>
      <c r="DK1443" s="5"/>
      <c r="DL1443" s="5"/>
      <c r="DM1443" s="5"/>
      <c r="DN1443" s="5"/>
      <c r="DO1443" s="5"/>
      <c r="DP1443" s="5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  <c r="GT1443" s="1"/>
      <c r="GU1443" s="1"/>
      <c r="GV1443" s="1"/>
      <c r="GW1443" s="1"/>
      <c r="GX1443" s="1"/>
      <c r="GY1443" s="1"/>
      <c r="GZ1443" s="1"/>
      <c r="HA1443" s="1"/>
      <c r="HB1443" s="1"/>
      <c r="HC1443" s="1"/>
      <c r="HD1443" s="1"/>
      <c r="HE1443" s="1"/>
      <c r="HF1443" s="1"/>
      <c r="HG1443" s="1"/>
      <c r="HH1443" s="1"/>
      <c r="HI1443" s="1"/>
      <c r="HJ1443" s="1"/>
      <c r="HK1443" s="1"/>
      <c r="HL1443" s="1"/>
      <c r="HM1443" s="1"/>
      <c r="HN1443" s="1"/>
      <c r="HO1443" s="1"/>
      <c r="HP1443" s="1"/>
      <c r="HQ1443" s="1"/>
      <c r="HR1443" s="1"/>
      <c r="HS1443" s="1"/>
      <c r="HT1443" s="1"/>
      <c r="HU1443" s="1"/>
      <c r="HV1443" s="1"/>
      <c r="HW1443" s="1"/>
      <c r="HX1443" s="1"/>
      <c r="HY1443" s="1"/>
      <c r="HZ1443" s="1"/>
      <c r="IA1443" s="1"/>
      <c r="IB1443" s="1"/>
      <c r="IC1443" s="1"/>
      <c r="ID1443" s="1"/>
      <c r="IE1443" s="1"/>
      <c r="IF1443" s="1"/>
      <c r="IG1443" s="1"/>
      <c r="IH1443" s="1"/>
      <c r="II1443" s="1"/>
      <c r="IJ1443" s="1"/>
      <c r="IK1443" s="1"/>
      <c r="IL1443" s="1"/>
      <c r="IM1443" s="1"/>
      <c r="IN1443" s="1"/>
      <c r="IO1443" s="1"/>
      <c r="IP1443" s="1"/>
      <c r="IQ1443" s="1"/>
      <c r="IR1443" s="1"/>
      <c r="IS1443" s="1"/>
      <c r="IT1443" s="1"/>
      <c r="IU1443" s="1"/>
      <c r="IV1443" s="1"/>
      <c r="IW1443" s="1"/>
      <c r="IX1443" s="1"/>
      <c r="IY1443" s="1"/>
      <c r="IZ1443" s="1"/>
      <c r="JA1443" s="1"/>
      <c r="JB1443" s="1"/>
      <c r="JC1443" s="1"/>
      <c r="JD1443" s="1"/>
    </row>
    <row r="1444" s="504" customFormat="true" ht="12.75" hidden="false" customHeight="true" outlineLevel="0" collapsed="false">
      <c r="A1444" s="5"/>
      <c r="B1444" s="5"/>
      <c r="C1444" s="5"/>
      <c r="D1444" s="8"/>
      <c r="E1444" s="8"/>
      <c r="F1444" s="8"/>
      <c r="G1444" s="5"/>
      <c r="H1444" s="5"/>
      <c r="I1444" s="5"/>
      <c r="J1444" s="8"/>
      <c r="K1444" s="8"/>
      <c r="L1444" s="5"/>
      <c r="M1444" s="8"/>
      <c r="N1444" s="8"/>
      <c r="O1444" s="8"/>
      <c r="P1444" s="8"/>
      <c r="Q1444" s="5"/>
      <c r="R1444" s="5"/>
      <c r="S1444" s="5"/>
      <c r="T1444" s="5"/>
      <c r="U1444" s="5"/>
      <c r="V1444" s="10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02"/>
      <c r="AU1444" s="502"/>
      <c r="AV1444" s="606"/>
      <c r="AW1444" s="502"/>
      <c r="AX1444" s="502"/>
      <c r="AY1444" s="502"/>
      <c r="AZ1444" s="502"/>
      <c r="BA1444" s="502"/>
      <c r="BB1444" s="502"/>
      <c r="BC1444" s="502"/>
      <c r="BD1444" s="502"/>
      <c r="BE1444" s="502"/>
      <c r="BF1444" s="502"/>
      <c r="BG1444" s="502"/>
      <c r="BH1444" s="502"/>
      <c r="BI1444" s="502"/>
      <c r="BJ1444" s="502"/>
      <c r="BK1444" s="502"/>
      <c r="BL1444" s="502"/>
      <c r="BM1444" s="502"/>
      <c r="BN1444" s="502"/>
      <c r="BO1444" s="502"/>
      <c r="BP1444" s="5"/>
      <c r="BQ1444" s="5"/>
      <c r="BR1444" s="5"/>
      <c r="BS1444" s="5"/>
      <c r="BT1444" s="5"/>
      <c r="BU1444" s="5"/>
      <c r="BV1444" s="5"/>
      <c r="BW1444" s="5"/>
      <c r="BX1444" s="5"/>
      <c r="BY1444" s="5"/>
      <c r="BZ1444" s="5"/>
      <c r="CA1444" s="5"/>
      <c r="CB1444" s="5"/>
      <c r="CC1444" s="5"/>
      <c r="CD1444" s="5"/>
      <c r="CE1444" s="5"/>
      <c r="CF1444" s="5"/>
      <c r="CG1444" s="5"/>
      <c r="CH1444" s="5"/>
      <c r="CI1444" s="5"/>
      <c r="CJ1444" s="5"/>
      <c r="CK1444" s="5"/>
      <c r="CL1444" s="5"/>
      <c r="CM1444" s="5"/>
      <c r="CN1444" s="5"/>
      <c r="CO1444" s="5"/>
      <c r="CP1444" s="5"/>
      <c r="CQ1444" s="5"/>
      <c r="CR1444" s="5"/>
      <c r="CS1444" s="5"/>
      <c r="CT1444" s="5"/>
      <c r="CU1444" s="5"/>
      <c r="CV1444" s="5"/>
      <c r="CW1444" s="5"/>
      <c r="CX1444" s="5"/>
      <c r="CY1444" s="5"/>
      <c r="CZ1444" s="5"/>
      <c r="DA1444" s="5"/>
      <c r="DB1444" s="5"/>
      <c r="DC1444" s="5"/>
      <c r="DD1444" s="5"/>
      <c r="DE1444" s="5"/>
      <c r="DF1444" s="5"/>
      <c r="DG1444" s="5"/>
      <c r="DH1444" s="5"/>
      <c r="DI1444" s="5"/>
      <c r="DJ1444" s="5"/>
      <c r="DK1444" s="5"/>
      <c r="DL1444" s="5"/>
      <c r="DM1444" s="5"/>
      <c r="DN1444" s="5"/>
      <c r="DO1444" s="5"/>
      <c r="DP1444" s="5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  <c r="GV1444" s="1"/>
      <c r="GW1444" s="1"/>
      <c r="GX1444" s="1"/>
      <c r="GY1444" s="1"/>
      <c r="GZ1444" s="1"/>
      <c r="HA1444" s="1"/>
      <c r="HB1444" s="1"/>
      <c r="HC1444" s="1"/>
      <c r="HD1444" s="1"/>
      <c r="HE1444" s="1"/>
      <c r="HF1444" s="1"/>
      <c r="HG1444" s="1"/>
      <c r="HH1444" s="1"/>
      <c r="HI1444" s="1"/>
      <c r="HJ1444" s="1"/>
      <c r="HK1444" s="1"/>
      <c r="HL1444" s="1"/>
      <c r="HM1444" s="1"/>
      <c r="HN1444" s="1"/>
      <c r="HO1444" s="1"/>
      <c r="HP1444" s="1"/>
      <c r="HQ1444" s="1"/>
      <c r="HR1444" s="1"/>
      <c r="HS1444" s="1"/>
      <c r="HT1444" s="1"/>
      <c r="HU1444" s="1"/>
      <c r="HV1444" s="1"/>
      <c r="HW1444" s="1"/>
      <c r="HX1444" s="1"/>
      <c r="HY1444" s="1"/>
      <c r="HZ1444" s="1"/>
      <c r="IA1444" s="1"/>
      <c r="IB1444" s="1"/>
      <c r="IC1444" s="1"/>
      <c r="ID1444" s="1"/>
      <c r="IE1444" s="1"/>
      <c r="IF1444" s="1"/>
      <c r="IG1444" s="1"/>
      <c r="IH1444" s="1"/>
      <c r="II1444" s="1"/>
      <c r="IJ1444" s="1"/>
      <c r="IK1444" s="1"/>
      <c r="IL1444" s="1"/>
      <c r="IM1444" s="1"/>
      <c r="IN1444" s="1"/>
      <c r="IO1444" s="1"/>
      <c r="IP1444" s="1"/>
      <c r="IQ1444" s="1"/>
      <c r="IR1444" s="1"/>
      <c r="IS1444" s="1"/>
      <c r="IT1444" s="1"/>
      <c r="IU1444" s="1"/>
      <c r="IV1444" s="1"/>
      <c r="IW1444" s="1"/>
      <c r="IX1444" s="1"/>
      <c r="IY1444" s="1"/>
      <c r="IZ1444" s="1"/>
      <c r="JA1444" s="1"/>
      <c r="JB1444" s="1"/>
      <c r="JC1444" s="1"/>
      <c r="JD1444" s="1"/>
    </row>
    <row r="1445" s="504" customFormat="true" ht="12.75" hidden="false" customHeight="true" outlineLevel="0" collapsed="false">
      <c r="A1445" s="5"/>
      <c r="B1445" s="5"/>
      <c r="C1445" s="5"/>
      <c r="D1445" s="8"/>
      <c r="E1445" s="8"/>
      <c r="F1445" s="8"/>
      <c r="G1445" s="5"/>
      <c r="H1445" s="5"/>
      <c r="I1445" s="5"/>
      <c r="J1445" s="8"/>
      <c r="K1445" s="8"/>
      <c r="L1445" s="5"/>
      <c r="M1445" s="8"/>
      <c r="N1445" s="8"/>
      <c r="O1445" s="8"/>
      <c r="P1445" s="8"/>
      <c r="Q1445" s="5"/>
      <c r="R1445" s="5"/>
      <c r="S1445" s="5"/>
      <c r="T1445" s="5"/>
      <c r="U1445" s="5"/>
      <c r="V1445" s="10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02"/>
      <c r="AU1445" s="502"/>
      <c r="AV1445" s="606"/>
      <c r="AW1445" s="502"/>
      <c r="AX1445" s="502"/>
      <c r="AY1445" s="502"/>
      <c r="AZ1445" s="502"/>
      <c r="BA1445" s="502"/>
      <c r="BB1445" s="502"/>
      <c r="BC1445" s="502"/>
      <c r="BD1445" s="502"/>
      <c r="BE1445" s="502"/>
      <c r="BF1445" s="502"/>
      <c r="BG1445" s="502"/>
      <c r="BH1445" s="502"/>
      <c r="BI1445" s="502"/>
      <c r="BJ1445" s="502"/>
      <c r="BK1445" s="502"/>
      <c r="BL1445" s="502"/>
      <c r="BM1445" s="502"/>
      <c r="BN1445" s="502"/>
      <c r="BO1445" s="502"/>
      <c r="BP1445" s="5"/>
      <c r="BQ1445" s="5"/>
      <c r="BR1445" s="5"/>
      <c r="BS1445" s="5"/>
      <c r="BT1445" s="5"/>
      <c r="BU1445" s="5"/>
      <c r="BV1445" s="5"/>
      <c r="BW1445" s="5"/>
      <c r="BX1445" s="5"/>
      <c r="BY1445" s="5"/>
      <c r="BZ1445" s="5"/>
      <c r="CA1445" s="5"/>
      <c r="CB1445" s="5"/>
      <c r="CC1445" s="5"/>
      <c r="CD1445" s="5"/>
      <c r="CE1445" s="5"/>
      <c r="CF1445" s="5"/>
      <c r="CG1445" s="5"/>
      <c r="CH1445" s="5"/>
      <c r="CI1445" s="5"/>
      <c r="CJ1445" s="5"/>
      <c r="CK1445" s="5"/>
      <c r="CL1445" s="5"/>
      <c r="CM1445" s="5"/>
      <c r="CN1445" s="5"/>
      <c r="CO1445" s="5"/>
      <c r="CP1445" s="5"/>
      <c r="CQ1445" s="5"/>
      <c r="CR1445" s="5"/>
      <c r="CS1445" s="5"/>
      <c r="CT1445" s="5"/>
      <c r="CU1445" s="5"/>
      <c r="CV1445" s="5"/>
      <c r="CW1445" s="5"/>
      <c r="CX1445" s="5"/>
      <c r="CY1445" s="5"/>
      <c r="CZ1445" s="5"/>
      <c r="DA1445" s="5"/>
      <c r="DB1445" s="5"/>
      <c r="DC1445" s="5"/>
      <c r="DD1445" s="5"/>
      <c r="DE1445" s="5"/>
      <c r="DF1445" s="5"/>
      <c r="DG1445" s="5"/>
      <c r="DH1445" s="5"/>
      <c r="DI1445" s="5"/>
      <c r="DJ1445" s="5"/>
      <c r="DK1445" s="5"/>
      <c r="DL1445" s="5"/>
      <c r="DM1445" s="5"/>
      <c r="DN1445" s="5"/>
      <c r="DO1445" s="5"/>
      <c r="DP1445" s="5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  <c r="GV1445" s="1"/>
      <c r="GW1445" s="1"/>
      <c r="GX1445" s="1"/>
      <c r="GY1445" s="1"/>
      <c r="GZ1445" s="1"/>
      <c r="HA1445" s="1"/>
      <c r="HB1445" s="1"/>
      <c r="HC1445" s="1"/>
      <c r="HD1445" s="1"/>
      <c r="HE1445" s="1"/>
      <c r="HF1445" s="1"/>
      <c r="HG1445" s="1"/>
      <c r="HH1445" s="1"/>
      <c r="HI1445" s="1"/>
      <c r="HJ1445" s="1"/>
      <c r="HK1445" s="1"/>
      <c r="HL1445" s="1"/>
      <c r="HM1445" s="1"/>
      <c r="HN1445" s="1"/>
      <c r="HO1445" s="1"/>
      <c r="HP1445" s="1"/>
      <c r="HQ1445" s="1"/>
      <c r="HR1445" s="1"/>
      <c r="HS1445" s="1"/>
      <c r="HT1445" s="1"/>
      <c r="HU1445" s="1"/>
      <c r="HV1445" s="1"/>
      <c r="HW1445" s="1"/>
      <c r="HX1445" s="1"/>
      <c r="HY1445" s="1"/>
      <c r="HZ1445" s="1"/>
      <c r="IA1445" s="1"/>
      <c r="IB1445" s="1"/>
      <c r="IC1445" s="1"/>
      <c r="ID1445" s="1"/>
      <c r="IE1445" s="1"/>
      <c r="IF1445" s="1"/>
      <c r="IG1445" s="1"/>
      <c r="IH1445" s="1"/>
      <c r="II1445" s="1"/>
      <c r="IJ1445" s="1"/>
      <c r="IK1445" s="1"/>
      <c r="IL1445" s="1"/>
      <c r="IM1445" s="1"/>
      <c r="IN1445" s="1"/>
      <c r="IO1445" s="1"/>
      <c r="IP1445" s="1"/>
      <c r="IQ1445" s="1"/>
      <c r="IR1445" s="1"/>
      <c r="IS1445" s="1"/>
      <c r="IT1445" s="1"/>
      <c r="IU1445" s="1"/>
      <c r="IV1445" s="1"/>
      <c r="IW1445" s="1"/>
      <c r="IX1445" s="1"/>
      <c r="IY1445" s="1"/>
      <c r="IZ1445" s="1"/>
      <c r="JA1445" s="1"/>
      <c r="JB1445" s="1"/>
      <c r="JC1445" s="1"/>
      <c r="JD1445" s="1"/>
    </row>
    <row r="1446" s="504" customFormat="true" ht="12.75" hidden="false" customHeight="true" outlineLevel="0" collapsed="false">
      <c r="A1446" s="5"/>
      <c r="B1446" s="5"/>
      <c r="C1446" s="5"/>
      <c r="D1446" s="8"/>
      <c r="E1446" s="8"/>
      <c r="F1446" s="8"/>
      <c r="G1446" s="5"/>
      <c r="H1446" s="5"/>
      <c r="I1446" s="5"/>
      <c r="J1446" s="8"/>
      <c r="K1446" s="8"/>
      <c r="L1446" s="5"/>
      <c r="M1446" s="8"/>
      <c r="N1446" s="8"/>
      <c r="O1446" s="8"/>
      <c r="P1446" s="8"/>
      <c r="Q1446" s="5"/>
      <c r="R1446" s="5"/>
      <c r="S1446" s="5"/>
      <c r="T1446" s="5"/>
      <c r="U1446" s="5"/>
      <c r="V1446" s="10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02"/>
      <c r="AU1446" s="502"/>
      <c r="AV1446" s="606"/>
      <c r="AW1446" s="502"/>
      <c r="AX1446" s="502"/>
      <c r="AY1446" s="502"/>
      <c r="AZ1446" s="502"/>
      <c r="BA1446" s="502"/>
      <c r="BB1446" s="502"/>
      <c r="BC1446" s="502"/>
      <c r="BD1446" s="502"/>
      <c r="BE1446" s="502"/>
      <c r="BF1446" s="502"/>
      <c r="BG1446" s="502"/>
      <c r="BH1446" s="502"/>
      <c r="BI1446" s="502"/>
      <c r="BJ1446" s="502"/>
      <c r="BK1446" s="502"/>
      <c r="BL1446" s="502"/>
      <c r="BM1446" s="502"/>
      <c r="BN1446" s="502"/>
      <c r="BO1446" s="502"/>
      <c r="BP1446" s="5"/>
      <c r="BQ1446" s="5"/>
      <c r="BR1446" s="5"/>
      <c r="BS1446" s="5"/>
      <c r="BT1446" s="5"/>
      <c r="BU1446" s="5"/>
      <c r="BV1446" s="5"/>
      <c r="BW1446" s="5"/>
      <c r="BX1446" s="5"/>
      <c r="BY1446" s="5"/>
      <c r="BZ1446" s="5"/>
      <c r="CA1446" s="5"/>
      <c r="CB1446" s="5"/>
      <c r="CC1446" s="5"/>
      <c r="CD1446" s="5"/>
      <c r="CE1446" s="5"/>
      <c r="CF1446" s="5"/>
      <c r="CG1446" s="5"/>
      <c r="CH1446" s="5"/>
      <c r="CI1446" s="5"/>
      <c r="CJ1446" s="5"/>
      <c r="CK1446" s="5"/>
      <c r="CL1446" s="5"/>
      <c r="CM1446" s="5"/>
      <c r="CN1446" s="5"/>
      <c r="CO1446" s="5"/>
      <c r="CP1446" s="5"/>
      <c r="CQ1446" s="5"/>
      <c r="CR1446" s="5"/>
      <c r="CS1446" s="5"/>
      <c r="CT1446" s="5"/>
      <c r="CU1446" s="5"/>
      <c r="CV1446" s="5"/>
      <c r="CW1446" s="5"/>
      <c r="CX1446" s="5"/>
      <c r="CY1446" s="5"/>
      <c r="CZ1446" s="5"/>
      <c r="DA1446" s="5"/>
      <c r="DB1446" s="5"/>
      <c r="DC1446" s="5"/>
      <c r="DD1446" s="5"/>
      <c r="DE1446" s="5"/>
      <c r="DF1446" s="5"/>
      <c r="DG1446" s="5"/>
      <c r="DH1446" s="5"/>
      <c r="DI1446" s="5"/>
      <c r="DJ1446" s="5"/>
      <c r="DK1446" s="5"/>
      <c r="DL1446" s="5"/>
      <c r="DM1446" s="5"/>
      <c r="DN1446" s="5"/>
      <c r="DO1446" s="5"/>
      <c r="DP1446" s="5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  <c r="GV1446" s="1"/>
      <c r="GW1446" s="1"/>
      <c r="GX1446" s="1"/>
      <c r="GY1446" s="1"/>
      <c r="GZ1446" s="1"/>
      <c r="HA1446" s="1"/>
      <c r="HB1446" s="1"/>
      <c r="HC1446" s="1"/>
      <c r="HD1446" s="1"/>
      <c r="HE1446" s="1"/>
      <c r="HF1446" s="1"/>
      <c r="HG1446" s="1"/>
      <c r="HH1446" s="1"/>
      <c r="HI1446" s="1"/>
      <c r="HJ1446" s="1"/>
      <c r="HK1446" s="1"/>
      <c r="HL1446" s="1"/>
      <c r="HM1446" s="1"/>
      <c r="HN1446" s="1"/>
      <c r="HO1446" s="1"/>
      <c r="HP1446" s="1"/>
      <c r="HQ1446" s="1"/>
      <c r="HR1446" s="1"/>
      <c r="HS1446" s="1"/>
      <c r="HT1446" s="1"/>
      <c r="HU1446" s="1"/>
      <c r="HV1446" s="1"/>
      <c r="HW1446" s="1"/>
      <c r="HX1446" s="1"/>
      <c r="HY1446" s="1"/>
      <c r="HZ1446" s="1"/>
      <c r="IA1446" s="1"/>
      <c r="IB1446" s="1"/>
      <c r="IC1446" s="1"/>
      <c r="ID1446" s="1"/>
      <c r="IE1446" s="1"/>
      <c r="IF1446" s="1"/>
      <c r="IG1446" s="1"/>
      <c r="IH1446" s="1"/>
      <c r="II1446" s="1"/>
      <c r="IJ1446" s="1"/>
      <c r="IK1446" s="1"/>
      <c r="IL1446" s="1"/>
      <c r="IM1446" s="1"/>
      <c r="IN1446" s="1"/>
      <c r="IO1446" s="1"/>
      <c r="IP1446" s="1"/>
      <c r="IQ1446" s="1"/>
      <c r="IR1446" s="1"/>
      <c r="IS1446" s="1"/>
      <c r="IT1446" s="1"/>
      <c r="IU1446" s="1"/>
      <c r="IV1446" s="1"/>
      <c r="IW1446" s="1"/>
      <c r="IX1446" s="1"/>
      <c r="IY1446" s="1"/>
      <c r="IZ1446" s="1"/>
      <c r="JA1446" s="1"/>
      <c r="JB1446" s="1"/>
      <c r="JC1446" s="1"/>
      <c r="JD1446" s="1"/>
    </row>
    <row r="1447" s="504" customFormat="true" ht="12.75" hidden="false" customHeight="true" outlineLevel="0" collapsed="false">
      <c r="A1447" s="5"/>
      <c r="B1447" s="5"/>
      <c r="C1447" s="5"/>
      <c r="D1447" s="8"/>
      <c r="E1447" s="8"/>
      <c r="F1447" s="8"/>
      <c r="G1447" s="5"/>
      <c r="H1447" s="5"/>
      <c r="I1447" s="5"/>
      <c r="J1447" s="8"/>
      <c r="K1447" s="8"/>
      <c r="L1447" s="5"/>
      <c r="M1447" s="8"/>
      <c r="N1447" s="8"/>
      <c r="O1447" s="8"/>
      <c r="P1447" s="8"/>
      <c r="Q1447" s="5"/>
      <c r="R1447" s="5"/>
      <c r="S1447" s="5"/>
      <c r="T1447" s="5"/>
      <c r="U1447" s="5"/>
      <c r="V1447" s="10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02"/>
      <c r="AU1447" s="502"/>
      <c r="AV1447" s="606"/>
      <c r="AW1447" s="502"/>
      <c r="AX1447" s="502"/>
      <c r="AY1447" s="502"/>
      <c r="AZ1447" s="502"/>
      <c r="BA1447" s="502"/>
      <c r="BB1447" s="502"/>
      <c r="BC1447" s="502"/>
      <c r="BD1447" s="502"/>
      <c r="BE1447" s="502"/>
      <c r="BF1447" s="502"/>
      <c r="BG1447" s="502"/>
      <c r="BH1447" s="502"/>
      <c r="BI1447" s="502"/>
      <c r="BJ1447" s="502"/>
      <c r="BK1447" s="502"/>
      <c r="BL1447" s="502"/>
      <c r="BM1447" s="502"/>
      <c r="BN1447" s="502"/>
      <c r="BO1447" s="502"/>
      <c r="BP1447" s="5"/>
      <c r="BQ1447" s="5"/>
      <c r="BR1447" s="5"/>
      <c r="BS1447" s="5"/>
      <c r="BT1447" s="5"/>
      <c r="BU1447" s="5"/>
      <c r="BV1447" s="5"/>
      <c r="BW1447" s="5"/>
      <c r="BX1447" s="5"/>
      <c r="BY1447" s="5"/>
      <c r="BZ1447" s="5"/>
      <c r="CA1447" s="5"/>
      <c r="CB1447" s="5"/>
      <c r="CC1447" s="5"/>
      <c r="CD1447" s="5"/>
      <c r="CE1447" s="5"/>
      <c r="CF1447" s="5"/>
      <c r="CG1447" s="5"/>
      <c r="CH1447" s="5"/>
      <c r="CI1447" s="5"/>
      <c r="CJ1447" s="5"/>
      <c r="CK1447" s="5"/>
      <c r="CL1447" s="5"/>
      <c r="CM1447" s="5"/>
      <c r="CN1447" s="5"/>
      <c r="CO1447" s="5"/>
      <c r="CP1447" s="5"/>
      <c r="CQ1447" s="5"/>
      <c r="CR1447" s="5"/>
      <c r="CS1447" s="5"/>
      <c r="CT1447" s="5"/>
      <c r="CU1447" s="5"/>
      <c r="CV1447" s="5"/>
      <c r="CW1447" s="5"/>
      <c r="CX1447" s="5"/>
      <c r="CY1447" s="5"/>
      <c r="CZ1447" s="5"/>
      <c r="DA1447" s="5"/>
      <c r="DB1447" s="5"/>
      <c r="DC1447" s="5"/>
      <c r="DD1447" s="5"/>
      <c r="DE1447" s="5"/>
      <c r="DF1447" s="5"/>
      <c r="DG1447" s="5"/>
      <c r="DH1447" s="5"/>
      <c r="DI1447" s="5"/>
      <c r="DJ1447" s="5"/>
      <c r="DK1447" s="5"/>
      <c r="DL1447" s="5"/>
      <c r="DM1447" s="5"/>
      <c r="DN1447" s="5"/>
      <c r="DO1447" s="5"/>
      <c r="DP1447" s="5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  <c r="GV1447" s="1"/>
      <c r="GW1447" s="1"/>
      <c r="GX1447" s="1"/>
      <c r="GY1447" s="1"/>
      <c r="GZ1447" s="1"/>
      <c r="HA1447" s="1"/>
      <c r="HB1447" s="1"/>
      <c r="HC1447" s="1"/>
      <c r="HD1447" s="1"/>
      <c r="HE1447" s="1"/>
      <c r="HF1447" s="1"/>
      <c r="HG1447" s="1"/>
      <c r="HH1447" s="1"/>
      <c r="HI1447" s="1"/>
      <c r="HJ1447" s="1"/>
      <c r="HK1447" s="1"/>
      <c r="HL1447" s="1"/>
      <c r="HM1447" s="1"/>
      <c r="HN1447" s="1"/>
      <c r="HO1447" s="1"/>
      <c r="HP1447" s="1"/>
      <c r="HQ1447" s="1"/>
      <c r="HR1447" s="1"/>
      <c r="HS1447" s="1"/>
      <c r="HT1447" s="1"/>
      <c r="HU1447" s="1"/>
      <c r="HV1447" s="1"/>
      <c r="HW1447" s="1"/>
      <c r="HX1447" s="1"/>
      <c r="HY1447" s="1"/>
      <c r="HZ1447" s="1"/>
      <c r="IA1447" s="1"/>
      <c r="IB1447" s="1"/>
      <c r="IC1447" s="1"/>
      <c r="ID1447" s="1"/>
      <c r="IE1447" s="1"/>
      <c r="IF1447" s="1"/>
      <c r="IG1447" s="1"/>
      <c r="IH1447" s="1"/>
      <c r="II1447" s="1"/>
      <c r="IJ1447" s="1"/>
      <c r="IK1447" s="1"/>
      <c r="IL1447" s="1"/>
      <c r="IM1447" s="1"/>
      <c r="IN1447" s="1"/>
      <c r="IO1447" s="1"/>
      <c r="IP1447" s="1"/>
      <c r="IQ1447" s="1"/>
      <c r="IR1447" s="1"/>
      <c r="IS1447" s="1"/>
      <c r="IT1447" s="1"/>
      <c r="IU1447" s="1"/>
      <c r="IV1447" s="1"/>
      <c r="IW1447" s="1"/>
      <c r="IX1447" s="1"/>
      <c r="IY1447" s="1"/>
      <c r="IZ1447" s="1"/>
      <c r="JA1447" s="1"/>
      <c r="JB1447" s="1"/>
      <c r="JC1447" s="1"/>
      <c r="JD1447" s="1"/>
    </row>
    <row r="1448" s="504" customFormat="true" ht="12.75" hidden="false" customHeight="true" outlineLevel="0" collapsed="false">
      <c r="A1448" s="5"/>
      <c r="B1448" s="5"/>
      <c r="C1448" s="5"/>
      <c r="D1448" s="8"/>
      <c r="E1448" s="8"/>
      <c r="F1448" s="8"/>
      <c r="G1448" s="5"/>
      <c r="H1448" s="5"/>
      <c r="I1448" s="5"/>
      <c r="J1448" s="8"/>
      <c r="K1448" s="8"/>
      <c r="L1448" s="5"/>
      <c r="M1448" s="8"/>
      <c r="N1448" s="8"/>
      <c r="O1448" s="8"/>
      <c r="P1448" s="8"/>
      <c r="Q1448" s="5"/>
      <c r="R1448" s="5"/>
      <c r="S1448" s="5"/>
      <c r="T1448" s="5"/>
      <c r="U1448" s="5"/>
      <c r="V1448" s="10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02"/>
      <c r="AU1448" s="502"/>
      <c r="AV1448" s="606"/>
      <c r="AW1448" s="502"/>
      <c r="AX1448" s="502"/>
      <c r="AY1448" s="502"/>
      <c r="AZ1448" s="502"/>
      <c r="BA1448" s="502"/>
      <c r="BB1448" s="502"/>
      <c r="BC1448" s="502"/>
      <c r="BD1448" s="502"/>
      <c r="BE1448" s="502"/>
      <c r="BF1448" s="502"/>
      <c r="BG1448" s="502"/>
      <c r="BH1448" s="502"/>
      <c r="BI1448" s="502"/>
      <c r="BJ1448" s="502"/>
      <c r="BK1448" s="502"/>
      <c r="BL1448" s="502"/>
      <c r="BM1448" s="502"/>
      <c r="BN1448" s="502"/>
      <c r="BO1448" s="502"/>
      <c r="BP1448" s="5"/>
      <c r="BQ1448" s="5"/>
      <c r="BR1448" s="5"/>
      <c r="BS1448" s="5"/>
      <c r="BT1448" s="5"/>
      <c r="BU1448" s="5"/>
      <c r="BV1448" s="5"/>
      <c r="BW1448" s="5"/>
      <c r="BX1448" s="5"/>
      <c r="BY1448" s="5"/>
      <c r="BZ1448" s="5"/>
      <c r="CA1448" s="5"/>
      <c r="CB1448" s="5"/>
      <c r="CC1448" s="5"/>
      <c r="CD1448" s="5"/>
      <c r="CE1448" s="5"/>
      <c r="CF1448" s="5"/>
      <c r="CG1448" s="5"/>
      <c r="CH1448" s="5"/>
      <c r="CI1448" s="5"/>
      <c r="CJ1448" s="5"/>
      <c r="CK1448" s="5"/>
      <c r="CL1448" s="5"/>
      <c r="CM1448" s="5"/>
      <c r="CN1448" s="5"/>
      <c r="CO1448" s="5"/>
      <c r="CP1448" s="5"/>
      <c r="CQ1448" s="5"/>
      <c r="CR1448" s="5"/>
      <c r="CS1448" s="5"/>
      <c r="CT1448" s="5"/>
      <c r="CU1448" s="5"/>
      <c r="CV1448" s="5"/>
      <c r="CW1448" s="5"/>
      <c r="CX1448" s="5"/>
      <c r="CY1448" s="5"/>
      <c r="CZ1448" s="5"/>
      <c r="DA1448" s="5"/>
      <c r="DB1448" s="5"/>
      <c r="DC1448" s="5"/>
      <c r="DD1448" s="5"/>
      <c r="DE1448" s="5"/>
      <c r="DF1448" s="5"/>
      <c r="DG1448" s="5"/>
      <c r="DH1448" s="5"/>
      <c r="DI1448" s="5"/>
      <c r="DJ1448" s="5"/>
      <c r="DK1448" s="5"/>
      <c r="DL1448" s="5"/>
      <c r="DM1448" s="5"/>
      <c r="DN1448" s="5"/>
      <c r="DO1448" s="5"/>
      <c r="DP1448" s="5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  <c r="GV1448" s="1"/>
      <c r="GW1448" s="1"/>
      <c r="GX1448" s="1"/>
      <c r="GY1448" s="1"/>
      <c r="GZ1448" s="1"/>
      <c r="HA1448" s="1"/>
      <c r="HB1448" s="1"/>
      <c r="HC1448" s="1"/>
      <c r="HD1448" s="1"/>
      <c r="HE1448" s="1"/>
      <c r="HF1448" s="1"/>
      <c r="HG1448" s="1"/>
      <c r="HH1448" s="1"/>
      <c r="HI1448" s="1"/>
      <c r="HJ1448" s="1"/>
      <c r="HK1448" s="1"/>
      <c r="HL1448" s="1"/>
      <c r="HM1448" s="1"/>
      <c r="HN1448" s="1"/>
      <c r="HO1448" s="1"/>
      <c r="HP1448" s="1"/>
      <c r="HQ1448" s="1"/>
      <c r="HR1448" s="1"/>
      <c r="HS1448" s="1"/>
      <c r="HT1448" s="1"/>
      <c r="HU1448" s="1"/>
      <c r="HV1448" s="1"/>
      <c r="HW1448" s="1"/>
      <c r="HX1448" s="1"/>
      <c r="HY1448" s="1"/>
      <c r="HZ1448" s="1"/>
      <c r="IA1448" s="1"/>
      <c r="IB1448" s="1"/>
      <c r="IC1448" s="1"/>
      <c r="ID1448" s="1"/>
      <c r="IE1448" s="1"/>
      <c r="IF1448" s="1"/>
      <c r="IG1448" s="1"/>
      <c r="IH1448" s="1"/>
      <c r="II1448" s="1"/>
      <c r="IJ1448" s="1"/>
      <c r="IK1448" s="1"/>
      <c r="IL1448" s="1"/>
      <c r="IM1448" s="1"/>
      <c r="IN1448" s="1"/>
      <c r="IO1448" s="1"/>
      <c r="IP1448" s="1"/>
      <c r="IQ1448" s="1"/>
      <c r="IR1448" s="1"/>
      <c r="IS1448" s="1"/>
      <c r="IT1448" s="1"/>
      <c r="IU1448" s="1"/>
      <c r="IV1448" s="1"/>
      <c r="IW1448" s="1"/>
      <c r="IX1448" s="1"/>
      <c r="IY1448" s="1"/>
      <c r="IZ1448" s="1"/>
      <c r="JA1448" s="1"/>
      <c r="JB1448" s="1"/>
      <c r="JC1448" s="1"/>
      <c r="JD1448" s="1"/>
    </row>
    <row r="1449" s="504" customFormat="true" ht="12.75" hidden="false" customHeight="true" outlineLevel="0" collapsed="false">
      <c r="A1449" s="5"/>
      <c r="B1449" s="5"/>
      <c r="C1449" s="5"/>
      <c r="D1449" s="8"/>
      <c r="E1449" s="8"/>
      <c r="F1449" s="8"/>
      <c r="G1449" s="5"/>
      <c r="H1449" s="5"/>
      <c r="I1449" s="5"/>
      <c r="J1449" s="8"/>
      <c r="K1449" s="8"/>
      <c r="L1449" s="5"/>
      <c r="M1449" s="8"/>
      <c r="N1449" s="8"/>
      <c r="O1449" s="8"/>
      <c r="P1449" s="8"/>
      <c r="Q1449" s="5"/>
      <c r="R1449" s="5"/>
      <c r="S1449" s="5"/>
      <c r="T1449" s="5"/>
      <c r="U1449" s="5"/>
      <c r="V1449" s="10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02"/>
      <c r="AU1449" s="502"/>
      <c r="AV1449" s="606"/>
      <c r="AW1449" s="502"/>
      <c r="AX1449" s="502"/>
      <c r="AY1449" s="502"/>
      <c r="AZ1449" s="502"/>
      <c r="BA1449" s="502"/>
      <c r="BB1449" s="502"/>
      <c r="BC1449" s="502"/>
      <c r="BD1449" s="502"/>
      <c r="BE1449" s="502"/>
      <c r="BF1449" s="502"/>
      <c r="BG1449" s="502"/>
      <c r="BH1449" s="502"/>
      <c r="BI1449" s="502"/>
      <c r="BJ1449" s="502"/>
      <c r="BK1449" s="502"/>
      <c r="BL1449" s="502"/>
      <c r="BM1449" s="502"/>
      <c r="BN1449" s="502"/>
      <c r="BO1449" s="502"/>
      <c r="BP1449" s="5"/>
      <c r="BQ1449" s="5"/>
      <c r="BR1449" s="5"/>
      <c r="BS1449" s="5"/>
      <c r="BT1449" s="5"/>
      <c r="BU1449" s="5"/>
      <c r="BV1449" s="5"/>
      <c r="BW1449" s="5"/>
      <c r="BX1449" s="5"/>
      <c r="BY1449" s="5"/>
      <c r="BZ1449" s="5"/>
      <c r="CA1449" s="5"/>
      <c r="CB1449" s="5"/>
      <c r="CC1449" s="5"/>
      <c r="CD1449" s="5"/>
      <c r="CE1449" s="5"/>
      <c r="CF1449" s="5"/>
      <c r="CG1449" s="5"/>
      <c r="CH1449" s="5"/>
      <c r="CI1449" s="5"/>
      <c r="CJ1449" s="5"/>
      <c r="CK1449" s="5"/>
      <c r="CL1449" s="5"/>
      <c r="CM1449" s="5"/>
      <c r="CN1449" s="5"/>
      <c r="CO1449" s="5"/>
      <c r="CP1449" s="5"/>
      <c r="CQ1449" s="5"/>
      <c r="CR1449" s="5"/>
      <c r="CS1449" s="5"/>
      <c r="CT1449" s="5"/>
      <c r="CU1449" s="5"/>
      <c r="CV1449" s="5"/>
      <c r="CW1449" s="5"/>
      <c r="CX1449" s="5"/>
      <c r="CY1449" s="5"/>
      <c r="CZ1449" s="5"/>
      <c r="DA1449" s="5"/>
      <c r="DB1449" s="5"/>
      <c r="DC1449" s="5"/>
      <c r="DD1449" s="5"/>
      <c r="DE1449" s="5"/>
      <c r="DF1449" s="5"/>
      <c r="DG1449" s="5"/>
      <c r="DH1449" s="5"/>
      <c r="DI1449" s="5"/>
      <c r="DJ1449" s="5"/>
      <c r="DK1449" s="5"/>
      <c r="DL1449" s="5"/>
      <c r="DM1449" s="5"/>
      <c r="DN1449" s="5"/>
      <c r="DO1449" s="5"/>
      <c r="DP1449" s="5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  <c r="GV1449" s="1"/>
      <c r="GW1449" s="1"/>
      <c r="GX1449" s="1"/>
      <c r="GY1449" s="1"/>
      <c r="GZ1449" s="1"/>
      <c r="HA1449" s="1"/>
      <c r="HB1449" s="1"/>
      <c r="HC1449" s="1"/>
      <c r="HD1449" s="1"/>
      <c r="HE1449" s="1"/>
      <c r="HF1449" s="1"/>
      <c r="HG1449" s="1"/>
      <c r="HH1449" s="1"/>
      <c r="HI1449" s="1"/>
      <c r="HJ1449" s="1"/>
      <c r="HK1449" s="1"/>
      <c r="HL1449" s="1"/>
      <c r="HM1449" s="1"/>
      <c r="HN1449" s="1"/>
      <c r="HO1449" s="1"/>
      <c r="HP1449" s="1"/>
      <c r="HQ1449" s="1"/>
      <c r="HR1449" s="1"/>
      <c r="HS1449" s="1"/>
      <c r="HT1449" s="1"/>
      <c r="HU1449" s="1"/>
      <c r="HV1449" s="1"/>
      <c r="HW1449" s="1"/>
      <c r="HX1449" s="1"/>
      <c r="HY1449" s="1"/>
      <c r="HZ1449" s="1"/>
      <c r="IA1449" s="1"/>
      <c r="IB1449" s="1"/>
      <c r="IC1449" s="1"/>
      <c r="ID1449" s="1"/>
      <c r="IE1449" s="1"/>
      <c r="IF1449" s="1"/>
      <c r="IG1449" s="1"/>
      <c r="IH1449" s="1"/>
      <c r="II1449" s="1"/>
      <c r="IJ1449" s="1"/>
      <c r="IK1449" s="1"/>
      <c r="IL1449" s="1"/>
      <c r="IM1449" s="1"/>
      <c r="IN1449" s="1"/>
      <c r="IO1449" s="1"/>
      <c r="IP1449" s="1"/>
      <c r="IQ1449" s="1"/>
      <c r="IR1449" s="1"/>
      <c r="IS1449" s="1"/>
      <c r="IT1449" s="1"/>
      <c r="IU1449" s="1"/>
      <c r="IV1449" s="1"/>
      <c r="IW1449" s="1"/>
      <c r="IX1449" s="1"/>
      <c r="IY1449" s="1"/>
      <c r="IZ1449" s="1"/>
      <c r="JA1449" s="1"/>
      <c r="JB1449" s="1"/>
      <c r="JC1449" s="1"/>
      <c r="JD1449" s="1"/>
    </row>
    <row r="1450" s="504" customFormat="true" ht="12.75" hidden="false" customHeight="true" outlineLevel="0" collapsed="false">
      <c r="A1450" s="5"/>
      <c r="B1450" s="5"/>
      <c r="C1450" s="5"/>
      <c r="D1450" s="8"/>
      <c r="E1450" s="8"/>
      <c r="F1450" s="8"/>
      <c r="G1450" s="5"/>
      <c r="H1450" s="5"/>
      <c r="I1450" s="5"/>
      <c r="J1450" s="8"/>
      <c r="K1450" s="8"/>
      <c r="L1450" s="5"/>
      <c r="M1450" s="8"/>
      <c r="N1450" s="8"/>
      <c r="O1450" s="8"/>
      <c r="P1450" s="8"/>
      <c r="Q1450" s="5"/>
      <c r="R1450" s="5"/>
      <c r="S1450" s="5"/>
      <c r="T1450" s="5"/>
      <c r="U1450" s="5"/>
      <c r="V1450" s="10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02"/>
      <c r="AU1450" s="502"/>
      <c r="AV1450" s="606"/>
      <c r="AW1450" s="502"/>
      <c r="AX1450" s="502"/>
      <c r="AY1450" s="502"/>
      <c r="AZ1450" s="502"/>
      <c r="BA1450" s="502"/>
      <c r="BB1450" s="502"/>
      <c r="BC1450" s="502"/>
      <c r="BD1450" s="502"/>
      <c r="BE1450" s="502"/>
      <c r="BF1450" s="502"/>
      <c r="BG1450" s="502"/>
      <c r="BH1450" s="502"/>
      <c r="BI1450" s="502"/>
      <c r="BJ1450" s="502"/>
      <c r="BK1450" s="502"/>
      <c r="BL1450" s="502"/>
      <c r="BM1450" s="502"/>
      <c r="BN1450" s="502"/>
      <c r="BO1450" s="502"/>
      <c r="BP1450" s="5"/>
      <c r="BQ1450" s="5"/>
      <c r="BR1450" s="5"/>
      <c r="BS1450" s="5"/>
      <c r="BT1450" s="5"/>
      <c r="BU1450" s="5"/>
      <c r="BV1450" s="5"/>
      <c r="BW1450" s="5"/>
      <c r="BX1450" s="5"/>
      <c r="BY1450" s="5"/>
      <c r="BZ1450" s="5"/>
      <c r="CA1450" s="5"/>
      <c r="CB1450" s="5"/>
      <c r="CC1450" s="5"/>
      <c r="CD1450" s="5"/>
      <c r="CE1450" s="5"/>
      <c r="CF1450" s="5"/>
      <c r="CG1450" s="5"/>
      <c r="CH1450" s="5"/>
      <c r="CI1450" s="5"/>
      <c r="CJ1450" s="5"/>
      <c r="CK1450" s="5"/>
      <c r="CL1450" s="5"/>
      <c r="CM1450" s="5"/>
      <c r="CN1450" s="5"/>
      <c r="CO1450" s="5"/>
      <c r="CP1450" s="5"/>
      <c r="CQ1450" s="5"/>
      <c r="CR1450" s="5"/>
      <c r="CS1450" s="5"/>
      <c r="CT1450" s="5"/>
      <c r="CU1450" s="5"/>
      <c r="CV1450" s="5"/>
      <c r="CW1450" s="5"/>
      <c r="CX1450" s="5"/>
      <c r="CY1450" s="5"/>
      <c r="CZ1450" s="5"/>
      <c r="DA1450" s="5"/>
      <c r="DB1450" s="5"/>
      <c r="DC1450" s="5"/>
      <c r="DD1450" s="5"/>
      <c r="DE1450" s="5"/>
      <c r="DF1450" s="5"/>
      <c r="DG1450" s="5"/>
      <c r="DH1450" s="5"/>
      <c r="DI1450" s="5"/>
      <c r="DJ1450" s="5"/>
      <c r="DK1450" s="5"/>
      <c r="DL1450" s="5"/>
      <c r="DM1450" s="5"/>
      <c r="DN1450" s="5"/>
      <c r="DO1450" s="5"/>
      <c r="DP1450" s="5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  <c r="GV1450" s="1"/>
      <c r="GW1450" s="1"/>
      <c r="GX1450" s="1"/>
      <c r="GY1450" s="1"/>
      <c r="GZ1450" s="1"/>
      <c r="HA1450" s="1"/>
      <c r="HB1450" s="1"/>
      <c r="HC1450" s="1"/>
      <c r="HD1450" s="1"/>
      <c r="HE1450" s="1"/>
      <c r="HF1450" s="1"/>
      <c r="HG1450" s="1"/>
      <c r="HH1450" s="1"/>
      <c r="HI1450" s="1"/>
      <c r="HJ1450" s="1"/>
      <c r="HK1450" s="1"/>
      <c r="HL1450" s="1"/>
      <c r="HM1450" s="1"/>
      <c r="HN1450" s="1"/>
      <c r="HO1450" s="1"/>
      <c r="HP1450" s="1"/>
      <c r="HQ1450" s="1"/>
      <c r="HR1450" s="1"/>
      <c r="HS1450" s="1"/>
      <c r="HT1450" s="1"/>
      <c r="HU1450" s="1"/>
      <c r="HV1450" s="1"/>
      <c r="HW1450" s="1"/>
      <c r="HX1450" s="1"/>
      <c r="HY1450" s="1"/>
      <c r="HZ1450" s="1"/>
      <c r="IA1450" s="1"/>
      <c r="IB1450" s="1"/>
      <c r="IC1450" s="1"/>
      <c r="ID1450" s="1"/>
      <c r="IE1450" s="1"/>
      <c r="IF1450" s="1"/>
      <c r="IG1450" s="1"/>
      <c r="IH1450" s="1"/>
      <c r="II1450" s="1"/>
      <c r="IJ1450" s="1"/>
      <c r="IK1450" s="1"/>
      <c r="IL1450" s="1"/>
      <c r="IM1450" s="1"/>
      <c r="IN1450" s="1"/>
      <c r="IO1450" s="1"/>
      <c r="IP1450" s="1"/>
      <c r="IQ1450" s="1"/>
      <c r="IR1450" s="1"/>
      <c r="IS1450" s="1"/>
      <c r="IT1450" s="1"/>
      <c r="IU1450" s="1"/>
      <c r="IV1450" s="1"/>
      <c r="IW1450" s="1"/>
      <c r="IX1450" s="1"/>
      <c r="IY1450" s="1"/>
      <c r="IZ1450" s="1"/>
      <c r="JA1450" s="1"/>
      <c r="JB1450" s="1"/>
      <c r="JC1450" s="1"/>
      <c r="JD1450" s="1"/>
    </row>
    <row r="1451" s="504" customFormat="true" ht="12.75" hidden="false" customHeight="true" outlineLevel="0" collapsed="false">
      <c r="A1451" s="5"/>
      <c r="B1451" s="5"/>
      <c r="C1451" s="5"/>
      <c r="D1451" s="8"/>
      <c r="E1451" s="8"/>
      <c r="F1451" s="8"/>
      <c r="G1451" s="5"/>
      <c r="H1451" s="5"/>
      <c r="I1451" s="5"/>
      <c r="J1451" s="8"/>
      <c r="K1451" s="8"/>
      <c r="L1451" s="5"/>
      <c r="M1451" s="8"/>
      <c r="N1451" s="8"/>
      <c r="O1451" s="8"/>
      <c r="P1451" s="8"/>
      <c r="Q1451" s="5"/>
      <c r="R1451" s="5"/>
      <c r="S1451" s="5"/>
      <c r="T1451" s="5"/>
      <c r="U1451" s="5"/>
      <c r="V1451" s="10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02"/>
      <c r="AU1451" s="502"/>
      <c r="AV1451" s="606"/>
      <c r="AW1451" s="502"/>
      <c r="AX1451" s="502"/>
      <c r="AY1451" s="502"/>
      <c r="AZ1451" s="502"/>
      <c r="BA1451" s="502"/>
      <c r="BB1451" s="502"/>
      <c r="BC1451" s="502"/>
      <c r="BD1451" s="502"/>
      <c r="BE1451" s="502"/>
      <c r="BF1451" s="502"/>
      <c r="BG1451" s="502"/>
      <c r="BH1451" s="502"/>
      <c r="BI1451" s="502"/>
      <c r="BJ1451" s="502"/>
      <c r="BK1451" s="502"/>
      <c r="BL1451" s="502"/>
      <c r="BM1451" s="502"/>
      <c r="BN1451" s="502"/>
      <c r="BO1451" s="502"/>
      <c r="BP1451" s="5"/>
      <c r="BQ1451" s="5"/>
      <c r="BR1451" s="5"/>
      <c r="BS1451" s="5"/>
      <c r="BT1451" s="5"/>
      <c r="BU1451" s="5"/>
      <c r="BV1451" s="5"/>
      <c r="BW1451" s="5"/>
      <c r="BX1451" s="5"/>
      <c r="BY1451" s="5"/>
      <c r="BZ1451" s="5"/>
      <c r="CA1451" s="5"/>
      <c r="CB1451" s="5"/>
      <c r="CC1451" s="5"/>
      <c r="CD1451" s="5"/>
      <c r="CE1451" s="5"/>
      <c r="CF1451" s="5"/>
      <c r="CG1451" s="5"/>
      <c r="CH1451" s="5"/>
      <c r="CI1451" s="5"/>
      <c r="CJ1451" s="5"/>
      <c r="CK1451" s="5"/>
      <c r="CL1451" s="5"/>
      <c r="CM1451" s="5"/>
      <c r="CN1451" s="5"/>
      <c r="CO1451" s="5"/>
      <c r="CP1451" s="5"/>
      <c r="CQ1451" s="5"/>
      <c r="CR1451" s="5"/>
      <c r="CS1451" s="5"/>
      <c r="CT1451" s="5"/>
      <c r="CU1451" s="5"/>
      <c r="CV1451" s="5"/>
      <c r="CW1451" s="5"/>
      <c r="CX1451" s="5"/>
      <c r="CY1451" s="5"/>
      <c r="CZ1451" s="5"/>
      <c r="DA1451" s="5"/>
      <c r="DB1451" s="5"/>
      <c r="DC1451" s="5"/>
      <c r="DD1451" s="5"/>
      <c r="DE1451" s="5"/>
      <c r="DF1451" s="5"/>
      <c r="DG1451" s="5"/>
      <c r="DH1451" s="5"/>
      <c r="DI1451" s="5"/>
      <c r="DJ1451" s="5"/>
      <c r="DK1451" s="5"/>
      <c r="DL1451" s="5"/>
      <c r="DM1451" s="5"/>
      <c r="DN1451" s="5"/>
      <c r="DO1451" s="5"/>
      <c r="DP1451" s="5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  <c r="GV1451" s="1"/>
      <c r="GW1451" s="1"/>
      <c r="GX1451" s="1"/>
      <c r="GY1451" s="1"/>
      <c r="GZ1451" s="1"/>
      <c r="HA1451" s="1"/>
      <c r="HB1451" s="1"/>
      <c r="HC1451" s="1"/>
      <c r="HD1451" s="1"/>
      <c r="HE1451" s="1"/>
      <c r="HF1451" s="1"/>
      <c r="HG1451" s="1"/>
      <c r="HH1451" s="1"/>
      <c r="HI1451" s="1"/>
      <c r="HJ1451" s="1"/>
      <c r="HK1451" s="1"/>
      <c r="HL1451" s="1"/>
      <c r="HM1451" s="1"/>
      <c r="HN1451" s="1"/>
      <c r="HO1451" s="1"/>
      <c r="HP1451" s="1"/>
      <c r="HQ1451" s="1"/>
      <c r="HR1451" s="1"/>
      <c r="HS1451" s="1"/>
      <c r="HT1451" s="1"/>
      <c r="HU1451" s="1"/>
      <c r="HV1451" s="1"/>
      <c r="HW1451" s="1"/>
      <c r="HX1451" s="1"/>
      <c r="HY1451" s="1"/>
      <c r="HZ1451" s="1"/>
      <c r="IA1451" s="1"/>
      <c r="IB1451" s="1"/>
      <c r="IC1451" s="1"/>
      <c r="ID1451" s="1"/>
      <c r="IE1451" s="1"/>
      <c r="IF1451" s="1"/>
      <c r="IG1451" s="1"/>
      <c r="IH1451" s="1"/>
      <c r="II1451" s="1"/>
      <c r="IJ1451" s="1"/>
      <c r="IK1451" s="1"/>
      <c r="IL1451" s="1"/>
      <c r="IM1451" s="1"/>
      <c r="IN1451" s="1"/>
      <c r="IO1451" s="1"/>
      <c r="IP1451" s="1"/>
      <c r="IQ1451" s="1"/>
      <c r="IR1451" s="1"/>
      <c r="IS1451" s="1"/>
      <c r="IT1451" s="1"/>
      <c r="IU1451" s="1"/>
      <c r="IV1451" s="1"/>
      <c r="IW1451" s="1"/>
      <c r="IX1451" s="1"/>
      <c r="IY1451" s="1"/>
      <c r="IZ1451" s="1"/>
      <c r="JA1451" s="1"/>
      <c r="JB1451" s="1"/>
      <c r="JC1451" s="1"/>
      <c r="JD1451" s="1"/>
    </row>
    <row r="1452" s="504" customFormat="true" ht="12.75" hidden="false" customHeight="true" outlineLevel="0" collapsed="false">
      <c r="A1452" s="5"/>
      <c r="B1452" s="5"/>
      <c r="C1452" s="5"/>
      <c r="D1452" s="8"/>
      <c r="E1452" s="8"/>
      <c r="F1452" s="8"/>
      <c r="G1452" s="5"/>
      <c r="H1452" s="5"/>
      <c r="I1452" s="5"/>
      <c r="J1452" s="8"/>
      <c r="K1452" s="8"/>
      <c r="L1452" s="5"/>
      <c r="M1452" s="8"/>
      <c r="N1452" s="8"/>
      <c r="O1452" s="8"/>
      <c r="P1452" s="8"/>
      <c r="Q1452" s="5"/>
      <c r="R1452" s="5"/>
      <c r="S1452" s="5"/>
      <c r="T1452" s="5"/>
      <c r="U1452" s="5"/>
      <c r="V1452" s="10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02"/>
      <c r="AU1452" s="502"/>
      <c r="AV1452" s="606"/>
      <c r="AW1452" s="502"/>
      <c r="AX1452" s="502"/>
      <c r="AY1452" s="502"/>
      <c r="AZ1452" s="502"/>
      <c r="BA1452" s="502"/>
      <c r="BB1452" s="502"/>
      <c r="BC1452" s="502"/>
      <c r="BD1452" s="502"/>
      <c r="BE1452" s="502"/>
      <c r="BF1452" s="502"/>
      <c r="BG1452" s="502"/>
      <c r="BH1452" s="502"/>
      <c r="BI1452" s="502"/>
      <c r="BJ1452" s="502"/>
      <c r="BK1452" s="502"/>
      <c r="BL1452" s="502"/>
      <c r="BM1452" s="502"/>
      <c r="BN1452" s="502"/>
      <c r="BO1452" s="502"/>
      <c r="BP1452" s="5"/>
      <c r="BQ1452" s="5"/>
      <c r="BR1452" s="5"/>
      <c r="BS1452" s="5"/>
      <c r="BT1452" s="5"/>
      <c r="BU1452" s="5"/>
      <c r="BV1452" s="5"/>
      <c r="BW1452" s="5"/>
      <c r="BX1452" s="5"/>
      <c r="BY1452" s="5"/>
      <c r="BZ1452" s="5"/>
      <c r="CA1452" s="5"/>
      <c r="CB1452" s="5"/>
      <c r="CC1452" s="5"/>
      <c r="CD1452" s="5"/>
      <c r="CE1452" s="5"/>
      <c r="CF1452" s="5"/>
      <c r="CG1452" s="5"/>
      <c r="CH1452" s="5"/>
      <c r="CI1452" s="5"/>
      <c r="CJ1452" s="5"/>
      <c r="CK1452" s="5"/>
      <c r="CL1452" s="5"/>
      <c r="CM1452" s="5"/>
      <c r="CN1452" s="5"/>
      <c r="CO1452" s="5"/>
      <c r="CP1452" s="5"/>
      <c r="CQ1452" s="5"/>
      <c r="CR1452" s="5"/>
      <c r="CS1452" s="5"/>
      <c r="CT1452" s="5"/>
      <c r="CU1452" s="5"/>
      <c r="CV1452" s="5"/>
      <c r="CW1452" s="5"/>
      <c r="CX1452" s="5"/>
      <c r="CY1452" s="5"/>
      <c r="CZ1452" s="5"/>
      <c r="DA1452" s="5"/>
      <c r="DB1452" s="5"/>
      <c r="DC1452" s="5"/>
      <c r="DD1452" s="5"/>
      <c r="DE1452" s="5"/>
      <c r="DF1452" s="5"/>
      <c r="DG1452" s="5"/>
      <c r="DH1452" s="5"/>
      <c r="DI1452" s="5"/>
      <c r="DJ1452" s="5"/>
      <c r="DK1452" s="5"/>
      <c r="DL1452" s="5"/>
      <c r="DM1452" s="5"/>
      <c r="DN1452" s="5"/>
      <c r="DO1452" s="5"/>
      <c r="DP1452" s="5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  <c r="GV1452" s="1"/>
      <c r="GW1452" s="1"/>
      <c r="GX1452" s="1"/>
      <c r="GY1452" s="1"/>
      <c r="GZ1452" s="1"/>
      <c r="HA1452" s="1"/>
      <c r="HB1452" s="1"/>
      <c r="HC1452" s="1"/>
      <c r="HD1452" s="1"/>
      <c r="HE1452" s="1"/>
      <c r="HF1452" s="1"/>
      <c r="HG1452" s="1"/>
      <c r="HH1452" s="1"/>
      <c r="HI1452" s="1"/>
      <c r="HJ1452" s="1"/>
      <c r="HK1452" s="1"/>
      <c r="HL1452" s="1"/>
      <c r="HM1452" s="1"/>
      <c r="HN1452" s="1"/>
      <c r="HO1452" s="1"/>
      <c r="HP1452" s="1"/>
      <c r="HQ1452" s="1"/>
      <c r="HR1452" s="1"/>
      <c r="HS1452" s="1"/>
      <c r="HT1452" s="1"/>
      <c r="HU1452" s="1"/>
      <c r="HV1452" s="1"/>
      <c r="HW1452" s="1"/>
      <c r="HX1452" s="1"/>
      <c r="HY1452" s="1"/>
      <c r="HZ1452" s="1"/>
      <c r="IA1452" s="1"/>
      <c r="IB1452" s="1"/>
      <c r="IC1452" s="1"/>
      <c r="ID1452" s="1"/>
      <c r="IE1452" s="1"/>
      <c r="IF1452" s="1"/>
      <c r="IG1452" s="1"/>
      <c r="IH1452" s="1"/>
      <c r="II1452" s="1"/>
      <c r="IJ1452" s="1"/>
      <c r="IK1452" s="1"/>
      <c r="IL1452" s="1"/>
      <c r="IM1452" s="1"/>
      <c r="IN1452" s="1"/>
      <c r="IO1452" s="1"/>
      <c r="IP1452" s="1"/>
      <c r="IQ1452" s="1"/>
      <c r="IR1452" s="1"/>
      <c r="IS1452" s="1"/>
      <c r="IT1452" s="1"/>
      <c r="IU1452" s="1"/>
      <c r="IV1452" s="1"/>
      <c r="IW1452" s="1"/>
      <c r="IX1452" s="1"/>
      <c r="IY1452" s="1"/>
      <c r="IZ1452" s="1"/>
      <c r="JA1452" s="1"/>
      <c r="JB1452" s="1"/>
      <c r="JC1452" s="1"/>
      <c r="JD1452" s="1"/>
    </row>
    <row r="1453" s="504" customFormat="true" ht="12.75" hidden="false" customHeight="true" outlineLevel="0" collapsed="false">
      <c r="A1453" s="5"/>
      <c r="B1453" s="5"/>
      <c r="C1453" s="5"/>
      <c r="D1453" s="8"/>
      <c r="E1453" s="8"/>
      <c r="F1453" s="8"/>
      <c r="G1453" s="5"/>
      <c r="H1453" s="5"/>
      <c r="I1453" s="5"/>
      <c r="J1453" s="8"/>
      <c r="K1453" s="8"/>
      <c r="L1453" s="5"/>
      <c r="M1453" s="8"/>
      <c r="N1453" s="8"/>
      <c r="O1453" s="8"/>
      <c r="P1453" s="8"/>
      <c r="Q1453" s="5"/>
      <c r="R1453" s="5"/>
      <c r="S1453" s="5"/>
      <c r="T1453" s="5"/>
      <c r="U1453" s="5"/>
      <c r="V1453" s="10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02"/>
      <c r="AU1453" s="502"/>
      <c r="AV1453" s="606"/>
      <c r="AW1453" s="502"/>
      <c r="AX1453" s="502"/>
      <c r="AY1453" s="502"/>
      <c r="AZ1453" s="502"/>
      <c r="BA1453" s="502"/>
      <c r="BB1453" s="502"/>
      <c r="BC1453" s="502"/>
      <c r="BD1453" s="502"/>
      <c r="BE1453" s="502"/>
      <c r="BF1453" s="502"/>
      <c r="BG1453" s="502"/>
      <c r="BH1453" s="502"/>
      <c r="BI1453" s="502"/>
      <c r="BJ1453" s="502"/>
      <c r="BK1453" s="502"/>
      <c r="BL1453" s="502"/>
      <c r="BM1453" s="502"/>
      <c r="BN1453" s="502"/>
      <c r="BO1453" s="502"/>
      <c r="BP1453" s="5"/>
      <c r="BQ1453" s="5"/>
      <c r="BR1453" s="5"/>
      <c r="BS1453" s="5"/>
      <c r="BT1453" s="5"/>
      <c r="BU1453" s="5"/>
      <c r="BV1453" s="5"/>
      <c r="BW1453" s="5"/>
      <c r="BX1453" s="5"/>
      <c r="BY1453" s="5"/>
      <c r="BZ1453" s="5"/>
      <c r="CA1453" s="5"/>
      <c r="CB1453" s="5"/>
      <c r="CC1453" s="5"/>
      <c r="CD1453" s="5"/>
      <c r="CE1453" s="5"/>
      <c r="CF1453" s="5"/>
      <c r="CG1453" s="5"/>
      <c r="CH1453" s="5"/>
      <c r="CI1453" s="5"/>
      <c r="CJ1453" s="5"/>
      <c r="CK1453" s="5"/>
      <c r="CL1453" s="5"/>
      <c r="CM1453" s="5"/>
      <c r="CN1453" s="5"/>
      <c r="CO1453" s="5"/>
      <c r="CP1453" s="5"/>
      <c r="CQ1453" s="5"/>
      <c r="CR1453" s="5"/>
      <c r="CS1453" s="5"/>
      <c r="CT1453" s="5"/>
      <c r="CU1453" s="5"/>
      <c r="CV1453" s="5"/>
      <c r="CW1453" s="5"/>
      <c r="CX1453" s="5"/>
      <c r="CY1453" s="5"/>
      <c r="CZ1453" s="5"/>
      <c r="DA1453" s="5"/>
      <c r="DB1453" s="5"/>
      <c r="DC1453" s="5"/>
      <c r="DD1453" s="5"/>
      <c r="DE1453" s="5"/>
      <c r="DF1453" s="5"/>
      <c r="DG1453" s="5"/>
      <c r="DH1453" s="5"/>
      <c r="DI1453" s="5"/>
      <c r="DJ1453" s="5"/>
      <c r="DK1453" s="5"/>
      <c r="DL1453" s="5"/>
      <c r="DM1453" s="5"/>
      <c r="DN1453" s="5"/>
      <c r="DO1453" s="5"/>
      <c r="DP1453" s="5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  <c r="GV1453" s="1"/>
      <c r="GW1453" s="1"/>
      <c r="GX1453" s="1"/>
      <c r="GY1453" s="1"/>
      <c r="GZ1453" s="1"/>
      <c r="HA1453" s="1"/>
      <c r="HB1453" s="1"/>
      <c r="HC1453" s="1"/>
      <c r="HD1453" s="1"/>
      <c r="HE1453" s="1"/>
      <c r="HF1453" s="1"/>
      <c r="HG1453" s="1"/>
      <c r="HH1453" s="1"/>
      <c r="HI1453" s="1"/>
      <c r="HJ1453" s="1"/>
      <c r="HK1453" s="1"/>
      <c r="HL1453" s="1"/>
      <c r="HM1453" s="1"/>
      <c r="HN1453" s="1"/>
      <c r="HO1453" s="1"/>
      <c r="HP1453" s="1"/>
      <c r="HQ1453" s="1"/>
      <c r="HR1453" s="1"/>
      <c r="HS1453" s="1"/>
      <c r="HT1453" s="1"/>
      <c r="HU1453" s="1"/>
      <c r="HV1453" s="1"/>
      <c r="HW1453" s="1"/>
      <c r="HX1453" s="1"/>
      <c r="HY1453" s="1"/>
      <c r="HZ1453" s="1"/>
      <c r="IA1453" s="1"/>
      <c r="IB1453" s="1"/>
      <c r="IC1453" s="1"/>
      <c r="ID1453" s="1"/>
      <c r="IE1453" s="1"/>
      <c r="IF1453" s="1"/>
      <c r="IG1453" s="1"/>
      <c r="IH1453" s="1"/>
      <c r="II1453" s="1"/>
      <c r="IJ1453" s="1"/>
      <c r="IK1453" s="1"/>
      <c r="IL1453" s="1"/>
      <c r="IM1453" s="1"/>
      <c r="IN1453" s="1"/>
      <c r="IO1453" s="1"/>
      <c r="IP1453" s="1"/>
      <c r="IQ1453" s="1"/>
      <c r="IR1453" s="1"/>
      <c r="IS1453" s="1"/>
      <c r="IT1453" s="1"/>
      <c r="IU1453" s="1"/>
      <c r="IV1453" s="1"/>
      <c r="IW1453" s="1"/>
      <c r="IX1453" s="1"/>
      <c r="IY1453" s="1"/>
      <c r="IZ1453" s="1"/>
      <c r="JA1453" s="1"/>
      <c r="JB1453" s="1"/>
      <c r="JC1453" s="1"/>
      <c r="JD1453" s="1"/>
    </row>
    <row r="1454" s="504" customFormat="true" ht="12.75" hidden="false" customHeight="true" outlineLevel="0" collapsed="false">
      <c r="A1454" s="5"/>
      <c r="B1454" s="5"/>
      <c r="C1454" s="5"/>
      <c r="D1454" s="8"/>
      <c r="E1454" s="8"/>
      <c r="F1454" s="8"/>
      <c r="G1454" s="5"/>
      <c r="H1454" s="5"/>
      <c r="I1454" s="5"/>
      <c r="J1454" s="8"/>
      <c r="K1454" s="8"/>
      <c r="L1454" s="5"/>
      <c r="M1454" s="8"/>
      <c r="N1454" s="8"/>
      <c r="O1454" s="8"/>
      <c r="P1454" s="8"/>
      <c r="Q1454" s="5"/>
      <c r="R1454" s="5"/>
      <c r="S1454" s="5"/>
      <c r="T1454" s="5"/>
      <c r="U1454" s="5"/>
      <c r="V1454" s="10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02"/>
      <c r="AU1454" s="502"/>
      <c r="AV1454" s="606"/>
      <c r="AW1454" s="502"/>
      <c r="AX1454" s="502"/>
      <c r="AY1454" s="502"/>
      <c r="AZ1454" s="502"/>
      <c r="BA1454" s="502"/>
      <c r="BB1454" s="502"/>
      <c r="BC1454" s="502"/>
      <c r="BD1454" s="502"/>
      <c r="BE1454" s="502"/>
      <c r="BF1454" s="502"/>
      <c r="BG1454" s="502"/>
      <c r="BH1454" s="502"/>
      <c r="BI1454" s="502"/>
      <c r="BJ1454" s="502"/>
      <c r="BK1454" s="502"/>
      <c r="BL1454" s="502"/>
      <c r="BM1454" s="502"/>
      <c r="BN1454" s="502"/>
      <c r="BO1454" s="502"/>
      <c r="BP1454" s="5"/>
      <c r="BQ1454" s="5"/>
      <c r="BR1454" s="5"/>
      <c r="BS1454" s="5"/>
      <c r="BT1454" s="5"/>
      <c r="BU1454" s="5"/>
      <c r="BV1454" s="5"/>
      <c r="BW1454" s="5"/>
      <c r="BX1454" s="5"/>
      <c r="BY1454" s="5"/>
      <c r="BZ1454" s="5"/>
      <c r="CA1454" s="5"/>
      <c r="CB1454" s="5"/>
      <c r="CC1454" s="5"/>
      <c r="CD1454" s="5"/>
      <c r="CE1454" s="5"/>
      <c r="CF1454" s="5"/>
      <c r="CG1454" s="5"/>
      <c r="CH1454" s="5"/>
      <c r="CI1454" s="5"/>
      <c r="CJ1454" s="5"/>
      <c r="CK1454" s="5"/>
      <c r="CL1454" s="5"/>
      <c r="CM1454" s="5"/>
      <c r="CN1454" s="5"/>
      <c r="CO1454" s="5"/>
      <c r="CP1454" s="5"/>
      <c r="CQ1454" s="5"/>
      <c r="CR1454" s="5"/>
      <c r="CS1454" s="5"/>
      <c r="CT1454" s="5"/>
      <c r="CU1454" s="5"/>
      <c r="CV1454" s="5"/>
      <c r="CW1454" s="5"/>
      <c r="CX1454" s="5"/>
      <c r="CY1454" s="5"/>
      <c r="CZ1454" s="5"/>
      <c r="DA1454" s="5"/>
      <c r="DB1454" s="5"/>
      <c r="DC1454" s="5"/>
      <c r="DD1454" s="5"/>
      <c r="DE1454" s="5"/>
      <c r="DF1454" s="5"/>
      <c r="DG1454" s="5"/>
      <c r="DH1454" s="5"/>
      <c r="DI1454" s="5"/>
      <c r="DJ1454" s="5"/>
      <c r="DK1454" s="5"/>
      <c r="DL1454" s="5"/>
      <c r="DM1454" s="5"/>
      <c r="DN1454" s="5"/>
      <c r="DO1454" s="5"/>
      <c r="DP1454" s="5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  <c r="GV1454" s="1"/>
      <c r="GW1454" s="1"/>
      <c r="GX1454" s="1"/>
      <c r="GY1454" s="1"/>
      <c r="GZ1454" s="1"/>
      <c r="HA1454" s="1"/>
      <c r="HB1454" s="1"/>
      <c r="HC1454" s="1"/>
      <c r="HD1454" s="1"/>
      <c r="HE1454" s="1"/>
      <c r="HF1454" s="1"/>
      <c r="HG1454" s="1"/>
      <c r="HH1454" s="1"/>
      <c r="HI1454" s="1"/>
      <c r="HJ1454" s="1"/>
      <c r="HK1454" s="1"/>
      <c r="HL1454" s="1"/>
      <c r="HM1454" s="1"/>
      <c r="HN1454" s="1"/>
      <c r="HO1454" s="1"/>
      <c r="HP1454" s="1"/>
      <c r="HQ1454" s="1"/>
      <c r="HR1454" s="1"/>
      <c r="HS1454" s="1"/>
      <c r="HT1454" s="1"/>
      <c r="HU1454" s="1"/>
      <c r="HV1454" s="1"/>
      <c r="HW1454" s="1"/>
      <c r="HX1454" s="1"/>
      <c r="HY1454" s="1"/>
      <c r="HZ1454" s="1"/>
      <c r="IA1454" s="1"/>
      <c r="IB1454" s="1"/>
      <c r="IC1454" s="1"/>
      <c r="ID1454" s="1"/>
      <c r="IE1454" s="1"/>
      <c r="IF1454" s="1"/>
      <c r="IG1454" s="1"/>
      <c r="IH1454" s="1"/>
      <c r="II1454" s="1"/>
      <c r="IJ1454" s="1"/>
      <c r="IK1454" s="1"/>
      <c r="IL1454" s="1"/>
      <c r="IM1454" s="1"/>
      <c r="IN1454" s="1"/>
      <c r="IO1454" s="1"/>
      <c r="IP1454" s="1"/>
      <c r="IQ1454" s="1"/>
      <c r="IR1454" s="1"/>
      <c r="IS1454" s="1"/>
      <c r="IT1454" s="1"/>
      <c r="IU1454" s="1"/>
      <c r="IV1454" s="1"/>
      <c r="IW1454" s="1"/>
      <c r="IX1454" s="1"/>
      <c r="IY1454" s="1"/>
      <c r="IZ1454" s="1"/>
      <c r="JA1454" s="1"/>
      <c r="JB1454" s="1"/>
      <c r="JC1454" s="1"/>
      <c r="JD1454" s="1"/>
    </row>
    <row r="1455" s="504" customFormat="true" ht="12.75" hidden="false" customHeight="true" outlineLevel="0" collapsed="false">
      <c r="A1455" s="5"/>
      <c r="B1455" s="5"/>
      <c r="C1455" s="5"/>
      <c r="D1455" s="8"/>
      <c r="E1455" s="8"/>
      <c r="F1455" s="8"/>
      <c r="G1455" s="5"/>
      <c r="H1455" s="5"/>
      <c r="I1455" s="5"/>
      <c r="J1455" s="8"/>
      <c r="K1455" s="8"/>
      <c r="L1455" s="5"/>
      <c r="M1455" s="8"/>
      <c r="N1455" s="8"/>
      <c r="O1455" s="8"/>
      <c r="P1455" s="8"/>
      <c r="Q1455" s="5"/>
      <c r="R1455" s="5"/>
      <c r="S1455" s="5"/>
      <c r="T1455" s="5"/>
      <c r="U1455" s="5"/>
      <c r="V1455" s="10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  <c r="AR1455" s="5"/>
      <c r="AS1455" s="5"/>
      <c r="AT1455" s="502"/>
      <c r="AU1455" s="502"/>
      <c r="AV1455" s="606"/>
      <c r="AW1455" s="502"/>
      <c r="AX1455" s="502"/>
      <c r="AY1455" s="502"/>
      <c r="AZ1455" s="502"/>
      <c r="BA1455" s="502"/>
      <c r="BB1455" s="502"/>
      <c r="BC1455" s="502"/>
      <c r="BD1455" s="502"/>
      <c r="BE1455" s="502"/>
      <c r="BF1455" s="502"/>
      <c r="BG1455" s="502"/>
      <c r="BH1455" s="502"/>
      <c r="BI1455" s="502"/>
      <c r="BJ1455" s="502"/>
      <c r="BK1455" s="502"/>
      <c r="BL1455" s="502"/>
      <c r="BM1455" s="502"/>
      <c r="BN1455" s="502"/>
      <c r="BO1455" s="502"/>
      <c r="BP1455" s="5"/>
      <c r="BQ1455" s="5"/>
      <c r="BR1455" s="5"/>
      <c r="BS1455" s="5"/>
      <c r="BT1455" s="5"/>
      <c r="BU1455" s="5"/>
      <c r="BV1455" s="5"/>
      <c r="BW1455" s="5"/>
      <c r="BX1455" s="5"/>
      <c r="BY1455" s="5"/>
      <c r="BZ1455" s="5"/>
      <c r="CA1455" s="5"/>
      <c r="CB1455" s="5"/>
      <c r="CC1455" s="5"/>
      <c r="CD1455" s="5"/>
      <c r="CE1455" s="5"/>
      <c r="CF1455" s="5"/>
      <c r="CG1455" s="5"/>
      <c r="CH1455" s="5"/>
      <c r="CI1455" s="5"/>
      <c r="CJ1455" s="5"/>
      <c r="CK1455" s="5"/>
      <c r="CL1455" s="5"/>
      <c r="CM1455" s="5"/>
      <c r="CN1455" s="5"/>
      <c r="CO1455" s="5"/>
      <c r="CP1455" s="5"/>
      <c r="CQ1455" s="5"/>
      <c r="CR1455" s="5"/>
      <c r="CS1455" s="5"/>
      <c r="CT1455" s="5"/>
      <c r="CU1455" s="5"/>
      <c r="CV1455" s="5"/>
      <c r="CW1455" s="5"/>
      <c r="CX1455" s="5"/>
      <c r="CY1455" s="5"/>
      <c r="CZ1455" s="5"/>
      <c r="DA1455" s="5"/>
      <c r="DB1455" s="5"/>
      <c r="DC1455" s="5"/>
      <c r="DD1455" s="5"/>
      <c r="DE1455" s="5"/>
      <c r="DF1455" s="5"/>
      <c r="DG1455" s="5"/>
      <c r="DH1455" s="5"/>
      <c r="DI1455" s="5"/>
      <c r="DJ1455" s="5"/>
      <c r="DK1455" s="5"/>
      <c r="DL1455" s="5"/>
      <c r="DM1455" s="5"/>
      <c r="DN1455" s="5"/>
      <c r="DO1455" s="5"/>
      <c r="DP1455" s="5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  <c r="GV1455" s="1"/>
      <c r="GW1455" s="1"/>
      <c r="GX1455" s="1"/>
      <c r="GY1455" s="1"/>
      <c r="GZ1455" s="1"/>
      <c r="HA1455" s="1"/>
      <c r="HB1455" s="1"/>
      <c r="HC1455" s="1"/>
      <c r="HD1455" s="1"/>
      <c r="HE1455" s="1"/>
      <c r="HF1455" s="1"/>
      <c r="HG1455" s="1"/>
      <c r="HH1455" s="1"/>
      <c r="HI1455" s="1"/>
      <c r="HJ1455" s="1"/>
      <c r="HK1455" s="1"/>
      <c r="HL1455" s="1"/>
      <c r="HM1455" s="1"/>
      <c r="HN1455" s="1"/>
      <c r="HO1455" s="1"/>
      <c r="HP1455" s="1"/>
      <c r="HQ1455" s="1"/>
      <c r="HR1455" s="1"/>
      <c r="HS1455" s="1"/>
      <c r="HT1455" s="1"/>
      <c r="HU1455" s="1"/>
      <c r="HV1455" s="1"/>
      <c r="HW1455" s="1"/>
      <c r="HX1455" s="1"/>
      <c r="HY1455" s="1"/>
      <c r="HZ1455" s="1"/>
      <c r="IA1455" s="1"/>
      <c r="IB1455" s="1"/>
      <c r="IC1455" s="1"/>
      <c r="ID1455" s="1"/>
      <c r="IE1455" s="1"/>
      <c r="IF1455" s="1"/>
      <c r="IG1455" s="1"/>
      <c r="IH1455" s="1"/>
      <c r="II1455" s="1"/>
      <c r="IJ1455" s="1"/>
      <c r="IK1455" s="1"/>
      <c r="IL1455" s="1"/>
      <c r="IM1455" s="1"/>
      <c r="IN1455" s="1"/>
      <c r="IO1455" s="1"/>
      <c r="IP1455" s="1"/>
      <c r="IQ1455" s="1"/>
      <c r="IR1455" s="1"/>
      <c r="IS1455" s="1"/>
      <c r="IT1455" s="1"/>
      <c r="IU1455" s="1"/>
      <c r="IV1455" s="1"/>
      <c r="IW1455" s="1"/>
      <c r="IX1455" s="1"/>
      <c r="IY1455" s="1"/>
      <c r="IZ1455" s="1"/>
      <c r="JA1455" s="1"/>
      <c r="JB1455" s="1"/>
      <c r="JC1455" s="1"/>
      <c r="JD1455" s="1"/>
    </row>
    <row r="1456" s="504" customFormat="true" ht="12.75" hidden="false" customHeight="true" outlineLevel="0" collapsed="false">
      <c r="A1456" s="5"/>
      <c r="B1456" s="5"/>
      <c r="C1456" s="5"/>
      <c r="D1456" s="8"/>
      <c r="E1456" s="8"/>
      <c r="F1456" s="8"/>
      <c r="G1456" s="5"/>
      <c r="H1456" s="5"/>
      <c r="I1456" s="5"/>
      <c r="J1456" s="8"/>
      <c r="K1456" s="8"/>
      <c r="L1456" s="5"/>
      <c r="M1456" s="8"/>
      <c r="N1456" s="8"/>
      <c r="O1456" s="8"/>
      <c r="P1456" s="8"/>
      <c r="Q1456" s="5"/>
      <c r="R1456" s="5"/>
      <c r="S1456" s="5"/>
      <c r="T1456" s="5"/>
      <c r="U1456" s="5"/>
      <c r="V1456" s="10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02"/>
      <c r="AU1456" s="502"/>
      <c r="AV1456" s="606"/>
      <c r="AW1456" s="502"/>
      <c r="AX1456" s="502"/>
      <c r="AY1456" s="502"/>
      <c r="AZ1456" s="502"/>
      <c r="BA1456" s="502"/>
      <c r="BB1456" s="502"/>
      <c r="BC1456" s="502"/>
      <c r="BD1456" s="502"/>
      <c r="BE1456" s="502"/>
      <c r="BF1456" s="502"/>
      <c r="BG1456" s="502"/>
      <c r="BH1456" s="502"/>
      <c r="BI1456" s="502"/>
      <c r="BJ1456" s="502"/>
      <c r="BK1456" s="502"/>
      <c r="BL1456" s="502"/>
      <c r="BM1456" s="502"/>
      <c r="BN1456" s="502"/>
      <c r="BO1456" s="502"/>
      <c r="BP1456" s="5"/>
      <c r="BQ1456" s="5"/>
      <c r="BR1456" s="5"/>
      <c r="BS1456" s="5"/>
      <c r="BT1456" s="5"/>
      <c r="BU1456" s="5"/>
      <c r="BV1456" s="5"/>
      <c r="BW1456" s="5"/>
      <c r="BX1456" s="5"/>
      <c r="BY1456" s="5"/>
      <c r="BZ1456" s="5"/>
      <c r="CA1456" s="5"/>
      <c r="CB1456" s="5"/>
      <c r="CC1456" s="5"/>
      <c r="CD1456" s="5"/>
      <c r="CE1456" s="5"/>
      <c r="CF1456" s="5"/>
      <c r="CG1456" s="5"/>
      <c r="CH1456" s="5"/>
      <c r="CI1456" s="5"/>
      <c r="CJ1456" s="5"/>
      <c r="CK1456" s="5"/>
      <c r="CL1456" s="5"/>
      <c r="CM1456" s="5"/>
      <c r="CN1456" s="5"/>
      <c r="CO1456" s="5"/>
      <c r="CP1456" s="5"/>
      <c r="CQ1456" s="5"/>
      <c r="CR1456" s="5"/>
      <c r="CS1456" s="5"/>
      <c r="CT1456" s="5"/>
      <c r="CU1456" s="5"/>
      <c r="CV1456" s="5"/>
      <c r="CW1456" s="5"/>
      <c r="CX1456" s="5"/>
      <c r="CY1456" s="5"/>
      <c r="CZ1456" s="5"/>
      <c r="DA1456" s="5"/>
      <c r="DB1456" s="5"/>
      <c r="DC1456" s="5"/>
      <c r="DD1456" s="5"/>
      <c r="DE1456" s="5"/>
      <c r="DF1456" s="5"/>
      <c r="DG1456" s="5"/>
      <c r="DH1456" s="5"/>
      <c r="DI1456" s="5"/>
      <c r="DJ1456" s="5"/>
      <c r="DK1456" s="5"/>
      <c r="DL1456" s="5"/>
      <c r="DM1456" s="5"/>
      <c r="DN1456" s="5"/>
      <c r="DO1456" s="5"/>
      <c r="DP1456" s="5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  <c r="GV1456" s="1"/>
      <c r="GW1456" s="1"/>
      <c r="GX1456" s="1"/>
      <c r="GY1456" s="1"/>
      <c r="GZ1456" s="1"/>
      <c r="HA1456" s="1"/>
      <c r="HB1456" s="1"/>
      <c r="HC1456" s="1"/>
      <c r="HD1456" s="1"/>
      <c r="HE1456" s="1"/>
      <c r="HF1456" s="1"/>
      <c r="HG1456" s="1"/>
      <c r="HH1456" s="1"/>
      <c r="HI1456" s="1"/>
      <c r="HJ1456" s="1"/>
      <c r="HK1456" s="1"/>
      <c r="HL1456" s="1"/>
      <c r="HM1456" s="1"/>
      <c r="HN1456" s="1"/>
      <c r="HO1456" s="1"/>
      <c r="HP1456" s="1"/>
      <c r="HQ1456" s="1"/>
      <c r="HR1456" s="1"/>
      <c r="HS1456" s="1"/>
      <c r="HT1456" s="1"/>
      <c r="HU1456" s="1"/>
      <c r="HV1456" s="1"/>
      <c r="HW1456" s="1"/>
      <c r="HX1456" s="1"/>
      <c r="HY1456" s="1"/>
      <c r="HZ1456" s="1"/>
      <c r="IA1456" s="1"/>
      <c r="IB1456" s="1"/>
      <c r="IC1456" s="1"/>
      <c r="ID1456" s="1"/>
      <c r="IE1456" s="1"/>
      <c r="IF1456" s="1"/>
      <c r="IG1456" s="1"/>
      <c r="IH1456" s="1"/>
      <c r="II1456" s="1"/>
      <c r="IJ1456" s="1"/>
      <c r="IK1456" s="1"/>
      <c r="IL1456" s="1"/>
      <c r="IM1456" s="1"/>
      <c r="IN1456" s="1"/>
      <c r="IO1456" s="1"/>
      <c r="IP1456" s="1"/>
      <c r="IQ1456" s="1"/>
      <c r="IR1456" s="1"/>
      <c r="IS1456" s="1"/>
      <c r="IT1456" s="1"/>
      <c r="IU1456" s="1"/>
      <c r="IV1456" s="1"/>
      <c r="IW1456" s="1"/>
      <c r="IX1456" s="1"/>
      <c r="IY1456" s="1"/>
      <c r="IZ1456" s="1"/>
      <c r="JA1456" s="1"/>
      <c r="JB1456" s="1"/>
      <c r="JC1456" s="1"/>
      <c r="JD1456" s="1"/>
    </row>
    <row r="1457" s="504" customFormat="true" ht="12.75" hidden="false" customHeight="true" outlineLevel="0" collapsed="false">
      <c r="A1457" s="5"/>
      <c r="B1457" s="5"/>
      <c r="C1457" s="5"/>
      <c r="D1457" s="8"/>
      <c r="E1457" s="8"/>
      <c r="F1457" s="8"/>
      <c r="G1457" s="5"/>
      <c r="H1457" s="5"/>
      <c r="I1457" s="5"/>
      <c r="J1457" s="8"/>
      <c r="K1457" s="8"/>
      <c r="L1457" s="5"/>
      <c r="M1457" s="8"/>
      <c r="N1457" s="8"/>
      <c r="O1457" s="8"/>
      <c r="P1457" s="8"/>
      <c r="Q1457" s="5"/>
      <c r="R1457" s="5"/>
      <c r="S1457" s="5"/>
      <c r="T1457" s="5"/>
      <c r="U1457" s="5"/>
      <c r="V1457" s="10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02"/>
      <c r="AU1457" s="502"/>
      <c r="AV1457" s="606"/>
      <c r="AW1457" s="502"/>
      <c r="AX1457" s="502"/>
      <c r="AY1457" s="502"/>
      <c r="AZ1457" s="502"/>
      <c r="BA1457" s="502"/>
      <c r="BB1457" s="502"/>
      <c r="BC1457" s="502"/>
      <c r="BD1457" s="502"/>
      <c r="BE1457" s="502"/>
      <c r="BF1457" s="502"/>
      <c r="BG1457" s="502"/>
      <c r="BH1457" s="502"/>
      <c r="BI1457" s="502"/>
      <c r="BJ1457" s="502"/>
      <c r="BK1457" s="502"/>
      <c r="BL1457" s="502"/>
      <c r="BM1457" s="502"/>
      <c r="BN1457" s="502"/>
      <c r="BO1457" s="502"/>
      <c r="BP1457" s="5"/>
      <c r="BQ1457" s="5"/>
      <c r="BR1457" s="5"/>
      <c r="BS1457" s="5"/>
      <c r="BT1457" s="5"/>
      <c r="BU1457" s="5"/>
      <c r="BV1457" s="5"/>
      <c r="BW1457" s="5"/>
      <c r="BX1457" s="5"/>
      <c r="BY1457" s="5"/>
      <c r="BZ1457" s="5"/>
      <c r="CA1457" s="5"/>
      <c r="CB1457" s="5"/>
      <c r="CC1457" s="5"/>
      <c r="CD1457" s="5"/>
      <c r="CE1457" s="5"/>
      <c r="CF1457" s="5"/>
      <c r="CG1457" s="5"/>
      <c r="CH1457" s="5"/>
      <c r="CI1457" s="5"/>
      <c r="CJ1457" s="5"/>
      <c r="CK1457" s="5"/>
      <c r="CL1457" s="5"/>
      <c r="CM1457" s="5"/>
      <c r="CN1457" s="5"/>
      <c r="CO1457" s="5"/>
      <c r="CP1457" s="5"/>
      <c r="CQ1457" s="5"/>
      <c r="CR1457" s="5"/>
      <c r="CS1457" s="5"/>
      <c r="CT1457" s="5"/>
      <c r="CU1457" s="5"/>
      <c r="CV1457" s="5"/>
      <c r="CW1457" s="5"/>
      <c r="CX1457" s="5"/>
      <c r="CY1457" s="5"/>
      <c r="CZ1457" s="5"/>
      <c r="DA1457" s="5"/>
      <c r="DB1457" s="5"/>
      <c r="DC1457" s="5"/>
      <c r="DD1457" s="5"/>
      <c r="DE1457" s="5"/>
      <c r="DF1457" s="5"/>
      <c r="DG1457" s="5"/>
      <c r="DH1457" s="5"/>
      <c r="DI1457" s="5"/>
      <c r="DJ1457" s="5"/>
      <c r="DK1457" s="5"/>
      <c r="DL1457" s="5"/>
      <c r="DM1457" s="5"/>
      <c r="DN1457" s="5"/>
      <c r="DO1457" s="5"/>
      <c r="DP1457" s="5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  <c r="GV1457" s="1"/>
      <c r="GW1457" s="1"/>
      <c r="GX1457" s="1"/>
      <c r="GY1457" s="1"/>
      <c r="GZ1457" s="1"/>
      <c r="HA1457" s="1"/>
      <c r="HB1457" s="1"/>
      <c r="HC1457" s="1"/>
      <c r="HD1457" s="1"/>
      <c r="HE1457" s="1"/>
      <c r="HF1457" s="1"/>
      <c r="HG1457" s="1"/>
      <c r="HH1457" s="1"/>
      <c r="HI1457" s="1"/>
      <c r="HJ1457" s="1"/>
      <c r="HK1457" s="1"/>
      <c r="HL1457" s="1"/>
      <c r="HM1457" s="1"/>
      <c r="HN1457" s="1"/>
      <c r="HO1457" s="1"/>
      <c r="HP1457" s="1"/>
      <c r="HQ1457" s="1"/>
      <c r="HR1457" s="1"/>
      <c r="HS1457" s="1"/>
      <c r="HT1457" s="1"/>
      <c r="HU1457" s="1"/>
      <c r="HV1457" s="1"/>
      <c r="HW1457" s="1"/>
      <c r="HX1457" s="1"/>
      <c r="HY1457" s="1"/>
      <c r="HZ1457" s="1"/>
      <c r="IA1457" s="1"/>
      <c r="IB1457" s="1"/>
      <c r="IC1457" s="1"/>
      <c r="ID1457" s="1"/>
      <c r="IE1457" s="1"/>
      <c r="IF1457" s="1"/>
      <c r="IG1457" s="1"/>
      <c r="IH1457" s="1"/>
      <c r="II1457" s="1"/>
      <c r="IJ1457" s="1"/>
      <c r="IK1457" s="1"/>
      <c r="IL1457" s="1"/>
      <c r="IM1457" s="1"/>
      <c r="IN1457" s="1"/>
      <c r="IO1457" s="1"/>
      <c r="IP1457" s="1"/>
      <c r="IQ1457" s="1"/>
      <c r="IR1457" s="1"/>
      <c r="IS1457" s="1"/>
      <c r="IT1457" s="1"/>
      <c r="IU1457" s="1"/>
      <c r="IV1457" s="1"/>
      <c r="IW1457" s="1"/>
      <c r="IX1457" s="1"/>
      <c r="IY1457" s="1"/>
      <c r="IZ1457" s="1"/>
      <c r="JA1457" s="1"/>
      <c r="JB1457" s="1"/>
      <c r="JC1457" s="1"/>
      <c r="JD1457" s="1"/>
    </row>
    <row r="1458" s="504" customFormat="true" ht="12.75" hidden="false" customHeight="true" outlineLevel="0" collapsed="false">
      <c r="A1458" s="5"/>
      <c r="B1458" s="5"/>
      <c r="C1458" s="5"/>
      <c r="D1458" s="8"/>
      <c r="E1458" s="8"/>
      <c r="F1458" s="8"/>
      <c r="G1458" s="5"/>
      <c r="H1458" s="5"/>
      <c r="I1458" s="5"/>
      <c r="J1458" s="8"/>
      <c r="K1458" s="8"/>
      <c r="L1458" s="5"/>
      <c r="M1458" s="8"/>
      <c r="N1458" s="8"/>
      <c r="O1458" s="8"/>
      <c r="P1458" s="8"/>
      <c r="Q1458" s="5"/>
      <c r="R1458" s="5"/>
      <c r="S1458" s="5"/>
      <c r="T1458" s="5"/>
      <c r="U1458" s="5"/>
      <c r="V1458" s="10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02"/>
      <c r="AU1458" s="502"/>
      <c r="AV1458" s="606"/>
      <c r="AW1458" s="502"/>
      <c r="AX1458" s="502"/>
      <c r="AY1458" s="502"/>
      <c r="AZ1458" s="502"/>
      <c r="BA1458" s="502"/>
      <c r="BB1458" s="502"/>
      <c r="BC1458" s="502"/>
      <c r="BD1458" s="502"/>
      <c r="BE1458" s="502"/>
      <c r="BF1458" s="502"/>
      <c r="BG1458" s="502"/>
      <c r="BH1458" s="502"/>
      <c r="BI1458" s="502"/>
      <c r="BJ1458" s="502"/>
      <c r="BK1458" s="502"/>
      <c r="BL1458" s="502"/>
      <c r="BM1458" s="502"/>
      <c r="BN1458" s="502"/>
      <c r="BO1458" s="502"/>
      <c r="BP1458" s="5"/>
      <c r="BQ1458" s="5"/>
      <c r="BR1458" s="5"/>
      <c r="BS1458" s="5"/>
      <c r="BT1458" s="5"/>
      <c r="BU1458" s="5"/>
      <c r="BV1458" s="5"/>
      <c r="BW1458" s="5"/>
      <c r="BX1458" s="5"/>
      <c r="BY1458" s="5"/>
      <c r="BZ1458" s="5"/>
      <c r="CA1458" s="5"/>
      <c r="CB1458" s="5"/>
      <c r="CC1458" s="5"/>
      <c r="CD1458" s="5"/>
      <c r="CE1458" s="5"/>
      <c r="CF1458" s="5"/>
      <c r="CG1458" s="5"/>
      <c r="CH1458" s="5"/>
      <c r="CI1458" s="5"/>
      <c r="CJ1458" s="5"/>
      <c r="CK1458" s="5"/>
      <c r="CL1458" s="5"/>
      <c r="CM1458" s="5"/>
      <c r="CN1458" s="5"/>
      <c r="CO1458" s="5"/>
      <c r="CP1458" s="5"/>
      <c r="CQ1458" s="5"/>
      <c r="CR1458" s="5"/>
      <c r="CS1458" s="5"/>
      <c r="CT1458" s="5"/>
      <c r="CU1458" s="5"/>
      <c r="CV1458" s="5"/>
      <c r="CW1458" s="5"/>
      <c r="CX1458" s="5"/>
      <c r="CY1458" s="5"/>
      <c r="CZ1458" s="5"/>
      <c r="DA1458" s="5"/>
      <c r="DB1458" s="5"/>
      <c r="DC1458" s="5"/>
      <c r="DD1458" s="5"/>
      <c r="DE1458" s="5"/>
      <c r="DF1458" s="5"/>
      <c r="DG1458" s="5"/>
      <c r="DH1458" s="5"/>
      <c r="DI1458" s="5"/>
      <c r="DJ1458" s="5"/>
      <c r="DK1458" s="5"/>
      <c r="DL1458" s="5"/>
      <c r="DM1458" s="5"/>
      <c r="DN1458" s="5"/>
      <c r="DO1458" s="5"/>
      <c r="DP1458" s="5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  <c r="GV1458" s="1"/>
      <c r="GW1458" s="1"/>
      <c r="GX1458" s="1"/>
      <c r="GY1458" s="1"/>
      <c r="GZ1458" s="1"/>
      <c r="HA1458" s="1"/>
      <c r="HB1458" s="1"/>
      <c r="HC1458" s="1"/>
      <c r="HD1458" s="1"/>
      <c r="HE1458" s="1"/>
      <c r="HF1458" s="1"/>
      <c r="HG1458" s="1"/>
      <c r="HH1458" s="1"/>
      <c r="HI1458" s="1"/>
      <c r="HJ1458" s="1"/>
      <c r="HK1458" s="1"/>
      <c r="HL1458" s="1"/>
      <c r="HM1458" s="1"/>
      <c r="HN1458" s="1"/>
      <c r="HO1458" s="1"/>
      <c r="HP1458" s="1"/>
      <c r="HQ1458" s="1"/>
      <c r="HR1458" s="1"/>
      <c r="HS1458" s="1"/>
      <c r="HT1458" s="1"/>
      <c r="HU1458" s="1"/>
      <c r="HV1458" s="1"/>
      <c r="HW1458" s="1"/>
      <c r="HX1458" s="1"/>
      <c r="HY1458" s="1"/>
      <c r="HZ1458" s="1"/>
      <c r="IA1458" s="1"/>
      <c r="IB1458" s="1"/>
      <c r="IC1458" s="1"/>
      <c r="ID1458" s="1"/>
      <c r="IE1458" s="1"/>
      <c r="IF1458" s="1"/>
      <c r="IG1458" s="1"/>
      <c r="IH1458" s="1"/>
      <c r="II1458" s="1"/>
      <c r="IJ1458" s="1"/>
      <c r="IK1458" s="1"/>
      <c r="IL1458" s="1"/>
      <c r="IM1458" s="1"/>
      <c r="IN1458" s="1"/>
      <c r="IO1458" s="1"/>
      <c r="IP1458" s="1"/>
      <c r="IQ1458" s="1"/>
      <c r="IR1458" s="1"/>
      <c r="IS1458" s="1"/>
      <c r="IT1458" s="1"/>
      <c r="IU1458" s="1"/>
      <c r="IV1458" s="1"/>
      <c r="IW1458" s="1"/>
      <c r="IX1458" s="1"/>
      <c r="IY1458" s="1"/>
      <c r="IZ1458" s="1"/>
      <c r="JA1458" s="1"/>
      <c r="JB1458" s="1"/>
      <c r="JC1458" s="1"/>
      <c r="JD1458" s="1"/>
    </row>
    <row r="1459" s="504" customFormat="true" ht="12.75" hidden="false" customHeight="true" outlineLevel="0" collapsed="false">
      <c r="A1459" s="5"/>
      <c r="B1459" s="5"/>
      <c r="C1459" s="5"/>
      <c r="D1459" s="8"/>
      <c r="E1459" s="8"/>
      <c r="F1459" s="8"/>
      <c r="G1459" s="5"/>
      <c r="H1459" s="5"/>
      <c r="I1459" s="5"/>
      <c r="J1459" s="8"/>
      <c r="K1459" s="8"/>
      <c r="L1459" s="5"/>
      <c r="M1459" s="8"/>
      <c r="N1459" s="8"/>
      <c r="O1459" s="8"/>
      <c r="P1459" s="8"/>
      <c r="Q1459" s="5"/>
      <c r="R1459" s="5"/>
      <c r="S1459" s="5"/>
      <c r="T1459" s="5"/>
      <c r="U1459" s="5"/>
      <c r="V1459" s="10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02"/>
      <c r="AU1459" s="502"/>
      <c r="AV1459" s="606"/>
      <c r="AW1459" s="502"/>
      <c r="AX1459" s="502"/>
      <c r="AY1459" s="502"/>
      <c r="AZ1459" s="502"/>
      <c r="BA1459" s="502"/>
      <c r="BB1459" s="502"/>
      <c r="BC1459" s="502"/>
      <c r="BD1459" s="502"/>
      <c r="BE1459" s="502"/>
      <c r="BF1459" s="502"/>
      <c r="BG1459" s="502"/>
      <c r="BH1459" s="502"/>
      <c r="BI1459" s="502"/>
      <c r="BJ1459" s="502"/>
      <c r="BK1459" s="502"/>
      <c r="BL1459" s="502"/>
      <c r="BM1459" s="502"/>
      <c r="BN1459" s="502"/>
      <c r="BO1459" s="502"/>
      <c r="BP1459" s="5"/>
      <c r="BQ1459" s="5"/>
      <c r="BR1459" s="5"/>
      <c r="BS1459" s="5"/>
      <c r="BT1459" s="5"/>
      <c r="BU1459" s="5"/>
      <c r="BV1459" s="5"/>
      <c r="BW1459" s="5"/>
      <c r="BX1459" s="5"/>
      <c r="BY1459" s="5"/>
      <c r="BZ1459" s="5"/>
      <c r="CA1459" s="5"/>
      <c r="CB1459" s="5"/>
      <c r="CC1459" s="5"/>
      <c r="CD1459" s="5"/>
      <c r="CE1459" s="5"/>
      <c r="CF1459" s="5"/>
      <c r="CG1459" s="5"/>
      <c r="CH1459" s="5"/>
      <c r="CI1459" s="5"/>
      <c r="CJ1459" s="5"/>
      <c r="CK1459" s="5"/>
      <c r="CL1459" s="5"/>
      <c r="CM1459" s="5"/>
      <c r="CN1459" s="5"/>
      <c r="CO1459" s="5"/>
      <c r="CP1459" s="5"/>
      <c r="CQ1459" s="5"/>
      <c r="CR1459" s="5"/>
      <c r="CS1459" s="5"/>
      <c r="CT1459" s="5"/>
      <c r="CU1459" s="5"/>
      <c r="CV1459" s="5"/>
      <c r="CW1459" s="5"/>
      <c r="CX1459" s="5"/>
      <c r="CY1459" s="5"/>
      <c r="CZ1459" s="5"/>
      <c r="DA1459" s="5"/>
      <c r="DB1459" s="5"/>
      <c r="DC1459" s="5"/>
      <c r="DD1459" s="5"/>
      <c r="DE1459" s="5"/>
      <c r="DF1459" s="5"/>
      <c r="DG1459" s="5"/>
      <c r="DH1459" s="5"/>
      <c r="DI1459" s="5"/>
      <c r="DJ1459" s="5"/>
      <c r="DK1459" s="5"/>
      <c r="DL1459" s="5"/>
      <c r="DM1459" s="5"/>
      <c r="DN1459" s="5"/>
      <c r="DO1459" s="5"/>
      <c r="DP1459" s="5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  <c r="GV1459" s="1"/>
      <c r="GW1459" s="1"/>
      <c r="GX1459" s="1"/>
      <c r="GY1459" s="1"/>
      <c r="GZ1459" s="1"/>
      <c r="HA1459" s="1"/>
      <c r="HB1459" s="1"/>
      <c r="HC1459" s="1"/>
      <c r="HD1459" s="1"/>
      <c r="HE1459" s="1"/>
      <c r="HF1459" s="1"/>
      <c r="HG1459" s="1"/>
      <c r="HH1459" s="1"/>
      <c r="HI1459" s="1"/>
      <c r="HJ1459" s="1"/>
      <c r="HK1459" s="1"/>
      <c r="HL1459" s="1"/>
      <c r="HM1459" s="1"/>
      <c r="HN1459" s="1"/>
      <c r="HO1459" s="1"/>
      <c r="HP1459" s="1"/>
      <c r="HQ1459" s="1"/>
      <c r="HR1459" s="1"/>
      <c r="HS1459" s="1"/>
      <c r="HT1459" s="1"/>
      <c r="HU1459" s="1"/>
      <c r="HV1459" s="1"/>
      <c r="HW1459" s="1"/>
      <c r="HX1459" s="1"/>
      <c r="HY1459" s="1"/>
      <c r="HZ1459" s="1"/>
      <c r="IA1459" s="1"/>
      <c r="IB1459" s="1"/>
      <c r="IC1459" s="1"/>
      <c r="ID1459" s="1"/>
      <c r="IE1459" s="1"/>
      <c r="IF1459" s="1"/>
      <c r="IG1459" s="1"/>
      <c r="IH1459" s="1"/>
      <c r="II1459" s="1"/>
      <c r="IJ1459" s="1"/>
      <c r="IK1459" s="1"/>
      <c r="IL1459" s="1"/>
      <c r="IM1459" s="1"/>
      <c r="IN1459" s="1"/>
      <c r="IO1459" s="1"/>
      <c r="IP1459" s="1"/>
      <c r="IQ1459" s="1"/>
      <c r="IR1459" s="1"/>
      <c r="IS1459" s="1"/>
      <c r="IT1459" s="1"/>
      <c r="IU1459" s="1"/>
      <c r="IV1459" s="1"/>
      <c r="IW1459" s="1"/>
      <c r="IX1459" s="1"/>
      <c r="IY1459" s="1"/>
      <c r="IZ1459" s="1"/>
      <c r="JA1459" s="1"/>
      <c r="JB1459" s="1"/>
      <c r="JC1459" s="1"/>
      <c r="JD1459" s="1"/>
    </row>
    <row r="1460" s="504" customFormat="true" ht="12.75" hidden="false" customHeight="true" outlineLevel="0" collapsed="false">
      <c r="A1460" s="5"/>
      <c r="B1460" s="5"/>
      <c r="C1460" s="5"/>
      <c r="D1460" s="8"/>
      <c r="E1460" s="8"/>
      <c r="F1460" s="8"/>
      <c r="G1460" s="5"/>
      <c r="H1460" s="5"/>
      <c r="I1460" s="5"/>
      <c r="J1460" s="8"/>
      <c r="K1460" s="8"/>
      <c r="L1460" s="5"/>
      <c r="M1460" s="8"/>
      <c r="N1460" s="8"/>
      <c r="O1460" s="8"/>
      <c r="P1460" s="8"/>
      <c r="Q1460" s="5"/>
      <c r="R1460" s="5"/>
      <c r="S1460" s="5"/>
      <c r="T1460" s="5"/>
      <c r="U1460" s="5"/>
      <c r="V1460" s="10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02"/>
      <c r="AU1460" s="502"/>
      <c r="AV1460" s="606"/>
      <c r="AW1460" s="502"/>
      <c r="AX1460" s="502"/>
      <c r="AY1460" s="502"/>
      <c r="AZ1460" s="502"/>
      <c r="BA1460" s="502"/>
      <c r="BB1460" s="502"/>
      <c r="BC1460" s="502"/>
      <c r="BD1460" s="502"/>
      <c r="BE1460" s="502"/>
      <c r="BF1460" s="502"/>
      <c r="BG1460" s="502"/>
      <c r="BH1460" s="502"/>
      <c r="BI1460" s="502"/>
      <c r="BJ1460" s="502"/>
      <c r="BK1460" s="502"/>
      <c r="BL1460" s="502"/>
      <c r="BM1460" s="502"/>
      <c r="BN1460" s="502"/>
      <c r="BO1460" s="502"/>
      <c r="BP1460" s="5"/>
      <c r="BQ1460" s="5"/>
      <c r="BR1460" s="5"/>
      <c r="BS1460" s="5"/>
      <c r="BT1460" s="5"/>
      <c r="BU1460" s="5"/>
      <c r="BV1460" s="5"/>
      <c r="BW1460" s="5"/>
      <c r="BX1460" s="5"/>
      <c r="BY1460" s="5"/>
      <c r="BZ1460" s="5"/>
      <c r="CA1460" s="5"/>
      <c r="CB1460" s="5"/>
      <c r="CC1460" s="5"/>
      <c r="CD1460" s="5"/>
      <c r="CE1460" s="5"/>
      <c r="CF1460" s="5"/>
      <c r="CG1460" s="5"/>
      <c r="CH1460" s="5"/>
      <c r="CI1460" s="5"/>
      <c r="CJ1460" s="5"/>
      <c r="CK1460" s="5"/>
      <c r="CL1460" s="5"/>
      <c r="CM1460" s="5"/>
      <c r="CN1460" s="5"/>
      <c r="CO1460" s="5"/>
      <c r="CP1460" s="5"/>
      <c r="CQ1460" s="5"/>
      <c r="CR1460" s="5"/>
      <c r="CS1460" s="5"/>
      <c r="CT1460" s="5"/>
      <c r="CU1460" s="5"/>
      <c r="CV1460" s="5"/>
      <c r="CW1460" s="5"/>
      <c r="CX1460" s="5"/>
      <c r="CY1460" s="5"/>
      <c r="CZ1460" s="5"/>
      <c r="DA1460" s="5"/>
      <c r="DB1460" s="5"/>
      <c r="DC1460" s="5"/>
      <c r="DD1460" s="5"/>
      <c r="DE1460" s="5"/>
      <c r="DF1460" s="5"/>
      <c r="DG1460" s="5"/>
      <c r="DH1460" s="5"/>
      <c r="DI1460" s="5"/>
      <c r="DJ1460" s="5"/>
      <c r="DK1460" s="5"/>
      <c r="DL1460" s="5"/>
      <c r="DM1460" s="5"/>
      <c r="DN1460" s="5"/>
      <c r="DO1460" s="5"/>
      <c r="DP1460" s="5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  <c r="GT1460" s="1"/>
      <c r="GU1460" s="1"/>
      <c r="GV1460" s="1"/>
      <c r="GW1460" s="1"/>
      <c r="GX1460" s="1"/>
      <c r="GY1460" s="1"/>
      <c r="GZ1460" s="1"/>
      <c r="HA1460" s="1"/>
      <c r="HB1460" s="1"/>
      <c r="HC1460" s="1"/>
      <c r="HD1460" s="1"/>
      <c r="HE1460" s="1"/>
      <c r="HF1460" s="1"/>
      <c r="HG1460" s="1"/>
      <c r="HH1460" s="1"/>
      <c r="HI1460" s="1"/>
      <c r="HJ1460" s="1"/>
      <c r="HK1460" s="1"/>
      <c r="HL1460" s="1"/>
      <c r="HM1460" s="1"/>
      <c r="HN1460" s="1"/>
      <c r="HO1460" s="1"/>
      <c r="HP1460" s="1"/>
      <c r="HQ1460" s="1"/>
      <c r="HR1460" s="1"/>
      <c r="HS1460" s="1"/>
      <c r="HT1460" s="1"/>
      <c r="HU1460" s="1"/>
      <c r="HV1460" s="1"/>
      <c r="HW1460" s="1"/>
      <c r="HX1460" s="1"/>
      <c r="HY1460" s="1"/>
      <c r="HZ1460" s="1"/>
      <c r="IA1460" s="1"/>
      <c r="IB1460" s="1"/>
      <c r="IC1460" s="1"/>
      <c r="ID1460" s="1"/>
      <c r="IE1460" s="1"/>
      <c r="IF1460" s="1"/>
      <c r="IG1460" s="1"/>
      <c r="IH1460" s="1"/>
      <c r="II1460" s="1"/>
      <c r="IJ1460" s="1"/>
      <c r="IK1460" s="1"/>
      <c r="IL1460" s="1"/>
      <c r="IM1460" s="1"/>
      <c r="IN1460" s="1"/>
      <c r="IO1460" s="1"/>
      <c r="IP1460" s="1"/>
      <c r="IQ1460" s="1"/>
      <c r="IR1460" s="1"/>
      <c r="IS1460" s="1"/>
      <c r="IT1460" s="1"/>
      <c r="IU1460" s="1"/>
      <c r="IV1460" s="1"/>
      <c r="IW1460" s="1"/>
      <c r="IX1460" s="1"/>
      <c r="IY1460" s="1"/>
      <c r="IZ1460" s="1"/>
      <c r="JA1460" s="1"/>
      <c r="JB1460" s="1"/>
      <c r="JC1460" s="1"/>
      <c r="JD1460" s="1"/>
    </row>
    <row r="1461" s="504" customFormat="true" ht="12.75" hidden="false" customHeight="true" outlineLevel="0" collapsed="false">
      <c r="A1461" s="5"/>
      <c r="B1461" s="5"/>
      <c r="C1461" s="5"/>
      <c r="D1461" s="8"/>
      <c r="E1461" s="8"/>
      <c r="F1461" s="8"/>
      <c r="G1461" s="5"/>
      <c r="H1461" s="5"/>
      <c r="I1461" s="5"/>
      <c r="J1461" s="8"/>
      <c r="K1461" s="8"/>
      <c r="L1461" s="5"/>
      <c r="M1461" s="8"/>
      <c r="N1461" s="8"/>
      <c r="O1461" s="8"/>
      <c r="P1461" s="8"/>
      <c r="Q1461" s="5"/>
      <c r="R1461" s="5"/>
      <c r="S1461" s="5"/>
      <c r="T1461" s="5"/>
      <c r="U1461" s="5"/>
      <c r="V1461" s="10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02"/>
      <c r="AU1461" s="502"/>
      <c r="AV1461" s="606"/>
      <c r="AW1461" s="502"/>
      <c r="AX1461" s="502"/>
      <c r="AY1461" s="502"/>
      <c r="AZ1461" s="502"/>
      <c r="BA1461" s="502"/>
      <c r="BB1461" s="502"/>
      <c r="BC1461" s="502"/>
      <c r="BD1461" s="502"/>
      <c r="BE1461" s="502"/>
      <c r="BF1461" s="502"/>
      <c r="BG1461" s="502"/>
      <c r="BH1461" s="502"/>
      <c r="BI1461" s="502"/>
      <c r="BJ1461" s="502"/>
      <c r="BK1461" s="502"/>
      <c r="BL1461" s="502"/>
      <c r="BM1461" s="502"/>
      <c r="BN1461" s="502"/>
      <c r="BO1461" s="502"/>
      <c r="BP1461" s="5"/>
      <c r="BQ1461" s="5"/>
      <c r="BR1461" s="5"/>
      <c r="BS1461" s="5"/>
      <c r="BT1461" s="5"/>
      <c r="BU1461" s="5"/>
      <c r="BV1461" s="5"/>
      <c r="BW1461" s="5"/>
      <c r="BX1461" s="5"/>
      <c r="BY1461" s="5"/>
      <c r="BZ1461" s="5"/>
      <c r="CA1461" s="5"/>
      <c r="CB1461" s="5"/>
      <c r="CC1461" s="5"/>
      <c r="CD1461" s="5"/>
      <c r="CE1461" s="5"/>
      <c r="CF1461" s="5"/>
      <c r="CG1461" s="5"/>
      <c r="CH1461" s="5"/>
      <c r="CI1461" s="5"/>
      <c r="CJ1461" s="5"/>
      <c r="CK1461" s="5"/>
      <c r="CL1461" s="5"/>
      <c r="CM1461" s="5"/>
      <c r="CN1461" s="5"/>
      <c r="CO1461" s="5"/>
      <c r="CP1461" s="5"/>
      <c r="CQ1461" s="5"/>
      <c r="CR1461" s="5"/>
      <c r="CS1461" s="5"/>
      <c r="CT1461" s="5"/>
      <c r="CU1461" s="5"/>
      <c r="CV1461" s="5"/>
      <c r="CW1461" s="5"/>
      <c r="CX1461" s="5"/>
      <c r="CY1461" s="5"/>
      <c r="CZ1461" s="5"/>
      <c r="DA1461" s="5"/>
      <c r="DB1461" s="5"/>
      <c r="DC1461" s="5"/>
      <c r="DD1461" s="5"/>
      <c r="DE1461" s="5"/>
      <c r="DF1461" s="5"/>
      <c r="DG1461" s="5"/>
      <c r="DH1461" s="5"/>
      <c r="DI1461" s="5"/>
      <c r="DJ1461" s="5"/>
      <c r="DK1461" s="5"/>
      <c r="DL1461" s="5"/>
      <c r="DM1461" s="5"/>
      <c r="DN1461" s="5"/>
      <c r="DO1461" s="5"/>
      <c r="DP1461" s="5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  <c r="GV1461" s="1"/>
      <c r="GW1461" s="1"/>
      <c r="GX1461" s="1"/>
      <c r="GY1461" s="1"/>
      <c r="GZ1461" s="1"/>
      <c r="HA1461" s="1"/>
      <c r="HB1461" s="1"/>
      <c r="HC1461" s="1"/>
      <c r="HD1461" s="1"/>
      <c r="HE1461" s="1"/>
      <c r="HF1461" s="1"/>
      <c r="HG1461" s="1"/>
      <c r="HH1461" s="1"/>
      <c r="HI1461" s="1"/>
      <c r="HJ1461" s="1"/>
      <c r="HK1461" s="1"/>
      <c r="HL1461" s="1"/>
      <c r="HM1461" s="1"/>
      <c r="HN1461" s="1"/>
      <c r="HO1461" s="1"/>
      <c r="HP1461" s="1"/>
      <c r="HQ1461" s="1"/>
      <c r="HR1461" s="1"/>
      <c r="HS1461" s="1"/>
      <c r="HT1461" s="1"/>
      <c r="HU1461" s="1"/>
      <c r="HV1461" s="1"/>
      <c r="HW1461" s="1"/>
      <c r="HX1461" s="1"/>
      <c r="HY1461" s="1"/>
      <c r="HZ1461" s="1"/>
      <c r="IA1461" s="1"/>
      <c r="IB1461" s="1"/>
      <c r="IC1461" s="1"/>
      <c r="ID1461" s="1"/>
      <c r="IE1461" s="1"/>
      <c r="IF1461" s="1"/>
      <c r="IG1461" s="1"/>
      <c r="IH1461" s="1"/>
      <c r="II1461" s="1"/>
      <c r="IJ1461" s="1"/>
      <c r="IK1461" s="1"/>
      <c r="IL1461" s="1"/>
      <c r="IM1461" s="1"/>
      <c r="IN1461" s="1"/>
      <c r="IO1461" s="1"/>
      <c r="IP1461" s="1"/>
      <c r="IQ1461" s="1"/>
      <c r="IR1461" s="1"/>
      <c r="IS1461" s="1"/>
      <c r="IT1461" s="1"/>
      <c r="IU1461" s="1"/>
      <c r="IV1461" s="1"/>
      <c r="IW1461" s="1"/>
      <c r="IX1461" s="1"/>
      <c r="IY1461" s="1"/>
      <c r="IZ1461" s="1"/>
      <c r="JA1461" s="1"/>
      <c r="JB1461" s="1"/>
      <c r="JC1461" s="1"/>
      <c r="JD1461" s="1"/>
    </row>
    <row r="1462" s="504" customFormat="true" ht="12.75" hidden="false" customHeight="true" outlineLevel="0" collapsed="false">
      <c r="A1462" s="5"/>
      <c r="B1462" s="5"/>
      <c r="C1462" s="5"/>
      <c r="D1462" s="8"/>
      <c r="E1462" s="8"/>
      <c r="F1462" s="8"/>
      <c r="G1462" s="5"/>
      <c r="H1462" s="5"/>
      <c r="I1462" s="5"/>
      <c r="J1462" s="8"/>
      <c r="K1462" s="8"/>
      <c r="L1462" s="5"/>
      <c r="M1462" s="8"/>
      <c r="N1462" s="8"/>
      <c r="O1462" s="8"/>
      <c r="P1462" s="8"/>
      <c r="Q1462" s="5"/>
      <c r="R1462" s="5"/>
      <c r="S1462" s="5"/>
      <c r="T1462" s="5"/>
      <c r="U1462" s="5"/>
      <c r="V1462" s="10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02"/>
      <c r="AU1462" s="502"/>
      <c r="AV1462" s="606"/>
      <c r="AW1462" s="502"/>
      <c r="AX1462" s="502"/>
      <c r="AY1462" s="502"/>
      <c r="AZ1462" s="502"/>
      <c r="BA1462" s="502"/>
      <c r="BB1462" s="502"/>
      <c r="BC1462" s="502"/>
      <c r="BD1462" s="502"/>
      <c r="BE1462" s="502"/>
      <c r="BF1462" s="502"/>
      <c r="BG1462" s="502"/>
      <c r="BH1462" s="502"/>
      <c r="BI1462" s="502"/>
      <c r="BJ1462" s="502"/>
      <c r="BK1462" s="502"/>
      <c r="BL1462" s="502"/>
      <c r="BM1462" s="502"/>
      <c r="BN1462" s="502"/>
      <c r="BO1462" s="502"/>
      <c r="BP1462" s="5"/>
      <c r="BQ1462" s="5"/>
      <c r="BR1462" s="5"/>
      <c r="BS1462" s="5"/>
      <c r="BT1462" s="5"/>
      <c r="BU1462" s="5"/>
      <c r="BV1462" s="5"/>
      <c r="BW1462" s="5"/>
      <c r="BX1462" s="5"/>
      <c r="BY1462" s="5"/>
      <c r="BZ1462" s="5"/>
      <c r="CA1462" s="5"/>
      <c r="CB1462" s="5"/>
      <c r="CC1462" s="5"/>
      <c r="CD1462" s="5"/>
      <c r="CE1462" s="5"/>
      <c r="CF1462" s="5"/>
      <c r="CG1462" s="5"/>
      <c r="CH1462" s="5"/>
      <c r="CI1462" s="5"/>
      <c r="CJ1462" s="5"/>
      <c r="CK1462" s="5"/>
      <c r="CL1462" s="5"/>
      <c r="CM1462" s="5"/>
      <c r="CN1462" s="5"/>
      <c r="CO1462" s="5"/>
      <c r="CP1462" s="5"/>
      <c r="CQ1462" s="5"/>
      <c r="CR1462" s="5"/>
      <c r="CS1462" s="5"/>
      <c r="CT1462" s="5"/>
      <c r="CU1462" s="5"/>
      <c r="CV1462" s="5"/>
      <c r="CW1462" s="5"/>
      <c r="CX1462" s="5"/>
      <c r="CY1462" s="5"/>
      <c r="CZ1462" s="5"/>
      <c r="DA1462" s="5"/>
      <c r="DB1462" s="5"/>
      <c r="DC1462" s="5"/>
      <c r="DD1462" s="5"/>
      <c r="DE1462" s="5"/>
      <c r="DF1462" s="5"/>
      <c r="DG1462" s="5"/>
      <c r="DH1462" s="5"/>
      <c r="DI1462" s="5"/>
      <c r="DJ1462" s="5"/>
      <c r="DK1462" s="5"/>
      <c r="DL1462" s="5"/>
      <c r="DM1462" s="5"/>
      <c r="DN1462" s="5"/>
      <c r="DO1462" s="5"/>
      <c r="DP1462" s="5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  <c r="GV1462" s="1"/>
      <c r="GW1462" s="1"/>
      <c r="GX1462" s="1"/>
      <c r="GY1462" s="1"/>
      <c r="GZ1462" s="1"/>
      <c r="HA1462" s="1"/>
      <c r="HB1462" s="1"/>
      <c r="HC1462" s="1"/>
      <c r="HD1462" s="1"/>
      <c r="HE1462" s="1"/>
      <c r="HF1462" s="1"/>
      <c r="HG1462" s="1"/>
      <c r="HH1462" s="1"/>
      <c r="HI1462" s="1"/>
      <c r="HJ1462" s="1"/>
      <c r="HK1462" s="1"/>
      <c r="HL1462" s="1"/>
      <c r="HM1462" s="1"/>
      <c r="HN1462" s="1"/>
      <c r="HO1462" s="1"/>
      <c r="HP1462" s="1"/>
      <c r="HQ1462" s="1"/>
      <c r="HR1462" s="1"/>
      <c r="HS1462" s="1"/>
      <c r="HT1462" s="1"/>
      <c r="HU1462" s="1"/>
      <c r="HV1462" s="1"/>
      <c r="HW1462" s="1"/>
      <c r="HX1462" s="1"/>
      <c r="HY1462" s="1"/>
      <c r="HZ1462" s="1"/>
      <c r="IA1462" s="1"/>
      <c r="IB1462" s="1"/>
      <c r="IC1462" s="1"/>
      <c r="ID1462" s="1"/>
      <c r="IE1462" s="1"/>
      <c r="IF1462" s="1"/>
      <c r="IG1462" s="1"/>
      <c r="IH1462" s="1"/>
      <c r="II1462" s="1"/>
      <c r="IJ1462" s="1"/>
      <c r="IK1462" s="1"/>
      <c r="IL1462" s="1"/>
      <c r="IM1462" s="1"/>
      <c r="IN1462" s="1"/>
      <c r="IO1462" s="1"/>
      <c r="IP1462" s="1"/>
      <c r="IQ1462" s="1"/>
      <c r="IR1462" s="1"/>
      <c r="IS1462" s="1"/>
      <c r="IT1462" s="1"/>
      <c r="IU1462" s="1"/>
      <c r="IV1462" s="1"/>
      <c r="IW1462" s="1"/>
      <c r="IX1462" s="1"/>
      <c r="IY1462" s="1"/>
      <c r="IZ1462" s="1"/>
      <c r="JA1462" s="1"/>
      <c r="JB1462" s="1"/>
      <c r="JC1462" s="1"/>
      <c r="JD1462" s="1"/>
    </row>
    <row r="1463" s="504" customFormat="true" ht="12.75" hidden="false" customHeight="true" outlineLevel="0" collapsed="false">
      <c r="A1463" s="5"/>
      <c r="B1463" s="5"/>
      <c r="C1463" s="5"/>
      <c r="D1463" s="8"/>
      <c r="E1463" s="8"/>
      <c r="F1463" s="8"/>
      <c r="G1463" s="5"/>
      <c r="H1463" s="5"/>
      <c r="I1463" s="5"/>
      <c r="J1463" s="8"/>
      <c r="K1463" s="8"/>
      <c r="L1463" s="5"/>
      <c r="M1463" s="8"/>
      <c r="N1463" s="8"/>
      <c r="O1463" s="8"/>
      <c r="P1463" s="8"/>
      <c r="Q1463" s="5"/>
      <c r="R1463" s="5"/>
      <c r="S1463" s="5"/>
      <c r="T1463" s="5"/>
      <c r="U1463" s="5"/>
      <c r="V1463" s="10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02"/>
      <c r="AU1463" s="502"/>
      <c r="AV1463" s="606"/>
      <c r="AW1463" s="502"/>
      <c r="AX1463" s="502"/>
      <c r="AY1463" s="502"/>
      <c r="AZ1463" s="502"/>
      <c r="BA1463" s="502"/>
      <c r="BB1463" s="502"/>
      <c r="BC1463" s="502"/>
      <c r="BD1463" s="502"/>
      <c r="BE1463" s="502"/>
      <c r="BF1463" s="502"/>
      <c r="BG1463" s="502"/>
      <c r="BH1463" s="502"/>
      <c r="BI1463" s="502"/>
      <c r="BJ1463" s="502"/>
      <c r="BK1463" s="502"/>
      <c r="BL1463" s="502"/>
      <c r="BM1463" s="502"/>
      <c r="BN1463" s="502"/>
      <c r="BO1463" s="502"/>
      <c r="BP1463" s="5"/>
      <c r="BQ1463" s="5"/>
      <c r="BR1463" s="5"/>
      <c r="BS1463" s="5"/>
      <c r="BT1463" s="5"/>
      <c r="BU1463" s="5"/>
      <c r="BV1463" s="5"/>
      <c r="BW1463" s="5"/>
      <c r="BX1463" s="5"/>
      <c r="BY1463" s="5"/>
      <c r="BZ1463" s="5"/>
      <c r="CA1463" s="5"/>
      <c r="CB1463" s="5"/>
      <c r="CC1463" s="5"/>
      <c r="CD1463" s="5"/>
      <c r="CE1463" s="5"/>
      <c r="CF1463" s="5"/>
      <c r="CG1463" s="5"/>
      <c r="CH1463" s="5"/>
      <c r="CI1463" s="5"/>
      <c r="CJ1463" s="5"/>
      <c r="CK1463" s="5"/>
      <c r="CL1463" s="5"/>
      <c r="CM1463" s="5"/>
      <c r="CN1463" s="5"/>
      <c r="CO1463" s="5"/>
      <c r="CP1463" s="5"/>
      <c r="CQ1463" s="5"/>
      <c r="CR1463" s="5"/>
      <c r="CS1463" s="5"/>
      <c r="CT1463" s="5"/>
      <c r="CU1463" s="5"/>
      <c r="CV1463" s="5"/>
      <c r="CW1463" s="5"/>
      <c r="CX1463" s="5"/>
      <c r="CY1463" s="5"/>
      <c r="CZ1463" s="5"/>
      <c r="DA1463" s="5"/>
      <c r="DB1463" s="5"/>
      <c r="DC1463" s="5"/>
      <c r="DD1463" s="5"/>
      <c r="DE1463" s="5"/>
      <c r="DF1463" s="5"/>
      <c r="DG1463" s="5"/>
      <c r="DH1463" s="5"/>
      <c r="DI1463" s="5"/>
      <c r="DJ1463" s="5"/>
      <c r="DK1463" s="5"/>
      <c r="DL1463" s="5"/>
      <c r="DM1463" s="5"/>
      <c r="DN1463" s="5"/>
      <c r="DO1463" s="5"/>
      <c r="DP1463" s="5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  <c r="GV1463" s="1"/>
      <c r="GW1463" s="1"/>
      <c r="GX1463" s="1"/>
      <c r="GY1463" s="1"/>
      <c r="GZ1463" s="1"/>
      <c r="HA1463" s="1"/>
      <c r="HB1463" s="1"/>
      <c r="HC1463" s="1"/>
      <c r="HD1463" s="1"/>
      <c r="HE1463" s="1"/>
      <c r="HF1463" s="1"/>
      <c r="HG1463" s="1"/>
      <c r="HH1463" s="1"/>
      <c r="HI1463" s="1"/>
      <c r="HJ1463" s="1"/>
      <c r="HK1463" s="1"/>
      <c r="HL1463" s="1"/>
      <c r="HM1463" s="1"/>
      <c r="HN1463" s="1"/>
      <c r="HO1463" s="1"/>
      <c r="HP1463" s="1"/>
      <c r="HQ1463" s="1"/>
      <c r="HR1463" s="1"/>
      <c r="HS1463" s="1"/>
      <c r="HT1463" s="1"/>
      <c r="HU1463" s="1"/>
      <c r="HV1463" s="1"/>
      <c r="HW1463" s="1"/>
      <c r="HX1463" s="1"/>
      <c r="HY1463" s="1"/>
      <c r="HZ1463" s="1"/>
      <c r="IA1463" s="1"/>
      <c r="IB1463" s="1"/>
      <c r="IC1463" s="1"/>
      <c r="ID1463" s="1"/>
      <c r="IE1463" s="1"/>
      <c r="IF1463" s="1"/>
      <c r="IG1463" s="1"/>
      <c r="IH1463" s="1"/>
      <c r="II1463" s="1"/>
      <c r="IJ1463" s="1"/>
      <c r="IK1463" s="1"/>
      <c r="IL1463" s="1"/>
      <c r="IM1463" s="1"/>
      <c r="IN1463" s="1"/>
      <c r="IO1463" s="1"/>
      <c r="IP1463" s="1"/>
      <c r="IQ1463" s="1"/>
      <c r="IR1463" s="1"/>
      <c r="IS1463" s="1"/>
      <c r="IT1463" s="1"/>
      <c r="IU1463" s="1"/>
      <c r="IV1463" s="1"/>
      <c r="IW1463" s="1"/>
      <c r="IX1463" s="1"/>
      <c r="IY1463" s="1"/>
      <c r="IZ1463" s="1"/>
      <c r="JA1463" s="1"/>
      <c r="JB1463" s="1"/>
      <c r="JC1463" s="1"/>
      <c r="JD1463" s="1"/>
    </row>
    <row r="1464" s="504" customFormat="true" ht="12.75" hidden="false" customHeight="true" outlineLevel="0" collapsed="false">
      <c r="A1464" s="5"/>
      <c r="B1464" s="5"/>
      <c r="C1464" s="5"/>
      <c r="D1464" s="8"/>
      <c r="E1464" s="8"/>
      <c r="F1464" s="8"/>
      <c r="G1464" s="5"/>
      <c r="H1464" s="5"/>
      <c r="I1464" s="5"/>
      <c r="J1464" s="8"/>
      <c r="K1464" s="8"/>
      <c r="L1464" s="5"/>
      <c r="M1464" s="8"/>
      <c r="N1464" s="8"/>
      <c r="O1464" s="8"/>
      <c r="P1464" s="8"/>
      <c r="Q1464" s="5"/>
      <c r="R1464" s="5"/>
      <c r="S1464" s="5"/>
      <c r="T1464" s="5"/>
      <c r="U1464" s="5"/>
      <c r="V1464" s="10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02"/>
      <c r="AU1464" s="502"/>
      <c r="AV1464" s="606"/>
      <c r="AW1464" s="502"/>
      <c r="AX1464" s="502"/>
      <c r="AY1464" s="502"/>
      <c r="AZ1464" s="502"/>
      <c r="BA1464" s="502"/>
      <c r="BB1464" s="502"/>
      <c r="BC1464" s="502"/>
      <c r="BD1464" s="502"/>
      <c r="BE1464" s="502"/>
      <c r="BF1464" s="502"/>
      <c r="BG1464" s="502"/>
      <c r="BH1464" s="502"/>
      <c r="BI1464" s="502"/>
      <c r="BJ1464" s="502"/>
      <c r="BK1464" s="502"/>
      <c r="BL1464" s="502"/>
      <c r="BM1464" s="502"/>
      <c r="BN1464" s="502"/>
      <c r="BO1464" s="502"/>
      <c r="BP1464" s="5"/>
      <c r="BQ1464" s="5"/>
      <c r="BR1464" s="5"/>
      <c r="BS1464" s="5"/>
      <c r="BT1464" s="5"/>
      <c r="BU1464" s="5"/>
      <c r="BV1464" s="5"/>
      <c r="BW1464" s="5"/>
      <c r="BX1464" s="5"/>
      <c r="BY1464" s="5"/>
      <c r="BZ1464" s="5"/>
      <c r="CA1464" s="5"/>
      <c r="CB1464" s="5"/>
      <c r="CC1464" s="5"/>
      <c r="CD1464" s="5"/>
      <c r="CE1464" s="5"/>
      <c r="CF1464" s="5"/>
      <c r="CG1464" s="5"/>
      <c r="CH1464" s="5"/>
      <c r="CI1464" s="5"/>
      <c r="CJ1464" s="5"/>
      <c r="CK1464" s="5"/>
      <c r="CL1464" s="5"/>
      <c r="CM1464" s="5"/>
      <c r="CN1464" s="5"/>
      <c r="CO1464" s="5"/>
      <c r="CP1464" s="5"/>
      <c r="CQ1464" s="5"/>
      <c r="CR1464" s="5"/>
      <c r="CS1464" s="5"/>
      <c r="CT1464" s="5"/>
      <c r="CU1464" s="5"/>
      <c r="CV1464" s="5"/>
      <c r="CW1464" s="5"/>
      <c r="CX1464" s="5"/>
      <c r="CY1464" s="5"/>
      <c r="CZ1464" s="5"/>
      <c r="DA1464" s="5"/>
      <c r="DB1464" s="5"/>
      <c r="DC1464" s="5"/>
      <c r="DD1464" s="5"/>
      <c r="DE1464" s="5"/>
      <c r="DF1464" s="5"/>
      <c r="DG1464" s="5"/>
      <c r="DH1464" s="5"/>
      <c r="DI1464" s="5"/>
      <c r="DJ1464" s="5"/>
      <c r="DK1464" s="5"/>
      <c r="DL1464" s="5"/>
      <c r="DM1464" s="5"/>
      <c r="DN1464" s="5"/>
      <c r="DO1464" s="5"/>
      <c r="DP1464" s="5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  <c r="GV1464" s="1"/>
      <c r="GW1464" s="1"/>
      <c r="GX1464" s="1"/>
      <c r="GY1464" s="1"/>
      <c r="GZ1464" s="1"/>
      <c r="HA1464" s="1"/>
      <c r="HB1464" s="1"/>
      <c r="HC1464" s="1"/>
      <c r="HD1464" s="1"/>
      <c r="HE1464" s="1"/>
      <c r="HF1464" s="1"/>
      <c r="HG1464" s="1"/>
      <c r="HH1464" s="1"/>
      <c r="HI1464" s="1"/>
      <c r="HJ1464" s="1"/>
      <c r="HK1464" s="1"/>
      <c r="HL1464" s="1"/>
      <c r="HM1464" s="1"/>
      <c r="HN1464" s="1"/>
      <c r="HO1464" s="1"/>
      <c r="HP1464" s="1"/>
      <c r="HQ1464" s="1"/>
      <c r="HR1464" s="1"/>
      <c r="HS1464" s="1"/>
      <c r="HT1464" s="1"/>
      <c r="HU1464" s="1"/>
      <c r="HV1464" s="1"/>
      <c r="HW1464" s="1"/>
      <c r="HX1464" s="1"/>
      <c r="HY1464" s="1"/>
      <c r="HZ1464" s="1"/>
      <c r="IA1464" s="1"/>
      <c r="IB1464" s="1"/>
      <c r="IC1464" s="1"/>
      <c r="ID1464" s="1"/>
      <c r="IE1464" s="1"/>
      <c r="IF1464" s="1"/>
      <c r="IG1464" s="1"/>
      <c r="IH1464" s="1"/>
      <c r="II1464" s="1"/>
      <c r="IJ1464" s="1"/>
      <c r="IK1464" s="1"/>
      <c r="IL1464" s="1"/>
      <c r="IM1464" s="1"/>
      <c r="IN1464" s="1"/>
      <c r="IO1464" s="1"/>
      <c r="IP1464" s="1"/>
      <c r="IQ1464" s="1"/>
      <c r="IR1464" s="1"/>
      <c r="IS1464" s="1"/>
      <c r="IT1464" s="1"/>
      <c r="IU1464" s="1"/>
      <c r="IV1464" s="1"/>
      <c r="IW1464" s="1"/>
      <c r="IX1464" s="1"/>
      <c r="IY1464" s="1"/>
      <c r="IZ1464" s="1"/>
      <c r="JA1464" s="1"/>
      <c r="JB1464" s="1"/>
      <c r="JC1464" s="1"/>
      <c r="JD1464" s="1"/>
    </row>
    <row r="1465" s="504" customFormat="true" ht="12.75" hidden="false" customHeight="true" outlineLevel="0" collapsed="false">
      <c r="A1465" s="5"/>
      <c r="B1465" s="5"/>
      <c r="C1465" s="5"/>
      <c r="D1465" s="8"/>
      <c r="E1465" s="8"/>
      <c r="F1465" s="8"/>
      <c r="G1465" s="5"/>
      <c r="H1465" s="5"/>
      <c r="I1465" s="5"/>
      <c r="J1465" s="8"/>
      <c r="K1465" s="8"/>
      <c r="L1465" s="5"/>
      <c r="M1465" s="8"/>
      <c r="N1465" s="8"/>
      <c r="O1465" s="8"/>
      <c r="P1465" s="8"/>
      <c r="Q1465" s="5"/>
      <c r="R1465" s="5"/>
      <c r="S1465" s="5"/>
      <c r="T1465" s="5"/>
      <c r="U1465" s="5"/>
      <c r="V1465" s="10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02"/>
      <c r="AU1465" s="502"/>
      <c r="AV1465" s="606"/>
      <c r="AW1465" s="502"/>
      <c r="AX1465" s="502"/>
      <c r="AY1465" s="502"/>
      <c r="AZ1465" s="502"/>
      <c r="BA1465" s="502"/>
      <c r="BB1465" s="502"/>
      <c r="BC1465" s="502"/>
      <c r="BD1465" s="502"/>
      <c r="BE1465" s="502"/>
      <c r="BF1465" s="502"/>
      <c r="BG1465" s="502"/>
      <c r="BH1465" s="502"/>
      <c r="BI1465" s="502"/>
      <c r="BJ1465" s="502"/>
      <c r="BK1465" s="502"/>
      <c r="BL1465" s="502"/>
      <c r="BM1465" s="502"/>
      <c r="BN1465" s="502"/>
      <c r="BO1465" s="502"/>
      <c r="BP1465" s="5"/>
      <c r="BQ1465" s="5"/>
      <c r="BR1465" s="5"/>
      <c r="BS1465" s="5"/>
      <c r="BT1465" s="5"/>
      <c r="BU1465" s="5"/>
      <c r="BV1465" s="5"/>
      <c r="BW1465" s="5"/>
      <c r="BX1465" s="5"/>
      <c r="BY1465" s="5"/>
      <c r="BZ1465" s="5"/>
      <c r="CA1465" s="5"/>
      <c r="CB1465" s="5"/>
      <c r="CC1465" s="5"/>
      <c r="CD1465" s="5"/>
      <c r="CE1465" s="5"/>
      <c r="CF1465" s="5"/>
      <c r="CG1465" s="5"/>
      <c r="CH1465" s="5"/>
      <c r="CI1465" s="5"/>
      <c r="CJ1465" s="5"/>
      <c r="CK1465" s="5"/>
      <c r="CL1465" s="5"/>
      <c r="CM1465" s="5"/>
      <c r="CN1465" s="5"/>
      <c r="CO1465" s="5"/>
      <c r="CP1465" s="5"/>
      <c r="CQ1465" s="5"/>
      <c r="CR1465" s="5"/>
      <c r="CS1465" s="5"/>
      <c r="CT1465" s="5"/>
      <c r="CU1465" s="5"/>
      <c r="CV1465" s="5"/>
      <c r="CW1465" s="5"/>
      <c r="CX1465" s="5"/>
      <c r="CY1465" s="5"/>
      <c r="CZ1465" s="5"/>
      <c r="DA1465" s="5"/>
      <c r="DB1465" s="5"/>
      <c r="DC1465" s="5"/>
      <c r="DD1465" s="5"/>
      <c r="DE1465" s="5"/>
      <c r="DF1465" s="5"/>
      <c r="DG1465" s="5"/>
      <c r="DH1465" s="5"/>
      <c r="DI1465" s="5"/>
      <c r="DJ1465" s="5"/>
      <c r="DK1465" s="5"/>
      <c r="DL1465" s="5"/>
      <c r="DM1465" s="5"/>
      <c r="DN1465" s="5"/>
      <c r="DO1465" s="5"/>
      <c r="DP1465" s="5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  <c r="GV1465" s="1"/>
      <c r="GW1465" s="1"/>
      <c r="GX1465" s="1"/>
      <c r="GY1465" s="1"/>
      <c r="GZ1465" s="1"/>
      <c r="HA1465" s="1"/>
      <c r="HB1465" s="1"/>
      <c r="HC1465" s="1"/>
      <c r="HD1465" s="1"/>
      <c r="HE1465" s="1"/>
      <c r="HF1465" s="1"/>
      <c r="HG1465" s="1"/>
      <c r="HH1465" s="1"/>
      <c r="HI1465" s="1"/>
      <c r="HJ1465" s="1"/>
      <c r="HK1465" s="1"/>
      <c r="HL1465" s="1"/>
      <c r="HM1465" s="1"/>
      <c r="HN1465" s="1"/>
      <c r="HO1465" s="1"/>
      <c r="HP1465" s="1"/>
      <c r="HQ1465" s="1"/>
      <c r="HR1465" s="1"/>
      <c r="HS1465" s="1"/>
      <c r="HT1465" s="1"/>
      <c r="HU1465" s="1"/>
      <c r="HV1465" s="1"/>
      <c r="HW1465" s="1"/>
      <c r="HX1465" s="1"/>
      <c r="HY1465" s="1"/>
      <c r="HZ1465" s="1"/>
      <c r="IA1465" s="1"/>
      <c r="IB1465" s="1"/>
      <c r="IC1465" s="1"/>
      <c r="ID1465" s="1"/>
      <c r="IE1465" s="1"/>
      <c r="IF1465" s="1"/>
      <c r="IG1465" s="1"/>
      <c r="IH1465" s="1"/>
      <c r="II1465" s="1"/>
      <c r="IJ1465" s="1"/>
      <c r="IK1465" s="1"/>
      <c r="IL1465" s="1"/>
      <c r="IM1465" s="1"/>
      <c r="IN1465" s="1"/>
      <c r="IO1465" s="1"/>
      <c r="IP1465" s="1"/>
      <c r="IQ1465" s="1"/>
      <c r="IR1465" s="1"/>
      <c r="IS1465" s="1"/>
      <c r="IT1465" s="1"/>
      <c r="IU1465" s="1"/>
      <c r="IV1465" s="1"/>
      <c r="IW1465" s="1"/>
      <c r="IX1465" s="1"/>
      <c r="IY1465" s="1"/>
      <c r="IZ1465" s="1"/>
      <c r="JA1465" s="1"/>
      <c r="JB1465" s="1"/>
      <c r="JC1465" s="1"/>
      <c r="JD1465" s="1"/>
    </row>
    <row r="1466" s="504" customFormat="true" ht="12.75" hidden="false" customHeight="true" outlineLevel="0" collapsed="false">
      <c r="A1466" s="5"/>
      <c r="B1466" s="5"/>
      <c r="C1466" s="5"/>
      <c r="D1466" s="8"/>
      <c r="E1466" s="8"/>
      <c r="F1466" s="8"/>
      <c r="G1466" s="5"/>
      <c r="H1466" s="5"/>
      <c r="I1466" s="5"/>
      <c r="J1466" s="8"/>
      <c r="K1466" s="8"/>
      <c r="L1466" s="5"/>
      <c r="M1466" s="8"/>
      <c r="N1466" s="8"/>
      <c r="O1466" s="8"/>
      <c r="P1466" s="8"/>
      <c r="Q1466" s="5"/>
      <c r="R1466" s="5"/>
      <c r="S1466" s="5"/>
      <c r="T1466" s="5"/>
      <c r="U1466" s="5"/>
      <c r="V1466" s="10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02"/>
      <c r="AU1466" s="502"/>
      <c r="AV1466" s="606"/>
      <c r="AW1466" s="502"/>
      <c r="AX1466" s="502"/>
      <c r="AY1466" s="502"/>
      <c r="AZ1466" s="502"/>
      <c r="BA1466" s="502"/>
      <c r="BB1466" s="502"/>
      <c r="BC1466" s="502"/>
      <c r="BD1466" s="502"/>
      <c r="BE1466" s="502"/>
      <c r="BF1466" s="502"/>
      <c r="BG1466" s="502"/>
      <c r="BH1466" s="502"/>
      <c r="BI1466" s="502"/>
      <c r="BJ1466" s="502"/>
      <c r="BK1466" s="502"/>
      <c r="BL1466" s="502"/>
      <c r="BM1466" s="502"/>
      <c r="BN1466" s="502"/>
      <c r="BO1466" s="502"/>
      <c r="BP1466" s="5"/>
      <c r="BQ1466" s="5"/>
      <c r="BR1466" s="5"/>
      <c r="BS1466" s="5"/>
      <c r="BT1466" s="5"/>
      <c r="BU1466" s="5"/>
      <c r="BV1466" s="5"/>
      <c r="BW1466" s="5"/>
      <c r="BX1466" s="5"/>
      <c r="BY1466" s="5"/>
      <c r="BZ1466" s="5"/>
      <c r="CA1466" s="5"/>
      <c r="CB1466" s="5"/>
      <c r="CC1466" s="5"/>
      <c r="CD1466" s="5"/>
      <c r="CE1466" s="5"/>
      <c r="CF1466" s="5"/>
      <c r="CG1466" s="5"/>
      <c r="CH1466" s="5"/>
      <c r="CI1466" s="5"/>
      <c r="CJ1466" s="5"/>
      <c r="CK1466" s="5"/>
      <c r="CL1466" s="5"/>
      <c r="CM1466" s="5"/>
      <c r="CN1466" s="5"/>
      <c r="CO1466" s="5"/>
      <c r="CP1466" s="5"/>
      <c r="CQ1466" s="5"/>
      <c r="CR1466" s="5"/>
      <c r="CS1466" s="5"/>
      <c r="CT1466" s="5"/>
      <c r="CU1466" s="5"/>
      <c r="CV1466" s="5"/>
      <c r="CW1466" s="5"/>
      <c r="CX1466" s="5"/>
      <c r="CY1466" s="5"/>
      <c r="CZ1466" s="5"/>
      <c r="DA1466" s="5"/>
      <c r="DB1466" s="5"/>
      <c r="DC1466" s="5"/>
      <c r="DD1466" s="5"/>
      <c r="DE1466" s="5"/>
      <c r="DF1466" s="5"/>
      <c r="DG1466" s="5"/>
      <c r="DH1466" s="5"/>
      <c r="DI1466" s="5"/>
      <c r="DJ1466" s="5"/>
      <c r="DK1466" s="5"/>
      <c r="DL1466" s="5"/>
      <c r="DM1466" s="5"/>
      <c r="DN1466" s="5"/>
      <c r="DO1466" s="5"/>
      <c r="DP1466" s="5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  <c r="GV1466" s="1"/>
      <c r="GW1466" s="1"/>
      <c r="GX1466" s="1"/>
      <c r="GY1466" s="1"/>
      <c r="GZ1466" s="1"/>
      <c r="HA1466" s="1"/>
      <c r="HB1466" s="1"/>
      <c r="HC1466" s="1"/>
      <c r="HD1466" s="1"/>
      <c r="HE1466" s="1"/>
      <c r="HF1466" s="1"/>
      <c r="HG1466" s="1"/>
      <c r="HH1466" s="1"/>
      <c r="HI1466" s="1"/>
      <c r="HJ1466" s="1"/>
      <c r="HK1466" s="1"/>
      <c r="HL1466" s="1"/>
      <c r="HM1466" s="1"/>
      <c r="HN1466" s="1"/>
      <c r="HO1466" s="1"/>
      <c r="HP1466" s="1"/>
      <c r="HQ1466" s="1"/>
      <c r="HR1466" s="1"/>
      <c r="HS1466" s="1"/>
      <c r="HT1466" s="1"/>
      <c r="HU1466" s="1"/>
      <c r="HV1466" s="1"/>
      <c r="HW1466" s="1"/>
      <c r="HX1466" s="1"/>
      <c r="HY1466" s="1"/>
      <c r="HZ1466" s="1"/>
      <c r="IA1466" s="1"/>
      <c r="IB1466" s="1"/>
      <c r="IC1466" s="1"/>
      <c r="ID1466" s="1"/>
      <c r="IE1466" s="1"/>
      <c r="IF1466" s="1"/>
      <c r="IG1466" s="1"/>
      <c r="IH1466" s="1"/>
      <c r="II1466" s="1"/>
      <c r="IJ1466" s="1"/>
      <c r="IK1466" s="1"/>
      <c r="IL1466" s="1"/>
      <c r="IM1466" s="1"/>
      <c r="IN1466" s="1"/>
      <c r="IO1466" s="1"/>
      <c r="IP1466" s="1"/>
      <c r="IQ1466" s="1"/>
      <c r="IR1466" s="1"/>
      <c r="IS1466" s="1"/>
      <c r="IT1466" s="1"/>
      <c r="IU1466" s="1"/>
      <c r="IV1466" s="1"/>
      <c r="IW1466" s="1"/>
      <c r="IX1466" s="1"/>
      <c r="IY1466" s="1"/>
      <c r="IZ1466" s="1"/>
      <c r="JA1466" s="1"/>
      <c r="JB1466" s="1"/>
      <c r="JC1466" s="1"/>
      <c r="JD1466" s="1"/>
    </row>
    <row r="1467" s="504" customFormat="true" ht="12.75" hidden="false" customHeight="true" outlineLevel="0" collapsed="false">
      <c r="A1467" s="5"/>
      <c r="B1467" s="5"/>
      <c r="C1467" s="5"/>
      <c r="D1467" s="8"/>
      <c r="E1467" s="8"/>
      <c r="F1467" s="8"/>
      <c r="G1467" s="5"/>
      <c r="H1467" s="5"/>
      <c r="I1467" s="5"/>
      <c r="J1467" s="8"/>
      <c r="K1467" s="8"/>
      <c r="L1467" s="5"/>
      <c r="M1467" s="8"/>
      <c r="N1467" s="8"/>
      <c r="O1467" s="8"/>
      <c r="P1467" s="8"/>
      <c r="Q1467" s="5"/>
      <c r="R1467" s="5"/>
      <c r="S1467" s="5"/>
      <c r="T1467" s="5"/>
      <c r="U1467" s="5"/>
      <c r="V1467" s="10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02"/>
      <c r="AU1467" s="502"/>
      <c r="AV1467" s="606"/>
      <c r="AW1467" s="502"/>
      <c r="AX1467" s="502"/>
      <c r="AY1467" s="502"/>
      <c r="AZ1467" s="502"/>
      <c r="BA1467" s="502"/>
      <c r="BB1467" s="502"/>
      <c r="BC1467" s="502"/>
      <c r="BD1467" s="502"/>
      <c r="BE1467" s="502"/>
      <c r="BF1467" s="502"/>
      <c r="BG1467" s="502"/>
      <c r="BH1467" s="502"/>
      <c r="BI1467" s="502"/>
      <c r="BJ1467" s="502"/>
      <c r="BK1467" s="502"/>
      <c r="BL1467" s="502"/>
      <c r="BM1467" s="502"/>
      <c r="BN1467" s="502"/>
      <c r="BO1467" s="502"/>
      <c r="BP1467" s="5"/>
      <c r="BQ1467" s="5"/>
      <c r="BR1467" s="5"/>
      <c r="BS1467" s="5"/>
      <c r="BT1467" s="5"/>
      <c r="BU1467" s="5"/>
      <c r="BV1467" s="5"/>
      <c r="BW1467" s="5"/>
      <c r="BX1467" s="5"/>
      <c r="BY1467" s="5"/>
      <c r="BZ1467" s="5"/>
      <c r="CA1467" s="5"/>
      <c r="CB1467" s="5"/>
      <c r="CC1467" s="5"/>
      <c r="CD1467" s="5"/>
      <c r="CE1467" s="5"/>
      <c r="CF1467" s="5"/>
      <c r="CG1467" s="5"/>
      <c r="CH1467" s="5"/>
      <c r="CI1467" s="5"/>
      <c r="CJ1467" s="5"/>
      <c r="CK1467" s="5"/>
      <c r="CL1467" s="5"/>
      <c r="CM1467" s="5"/>
      <c r="CN1467" s="5"/>
      <c r="CO1467" s="5"/>
      <c r="CP1467" s="5"/>
      <c r="CQ1467" s="5"/>
      <c r="CR1467" s="5"/>
      <c r="CS1467" s="5"/>
      <c r="CT1467" s="5"/>
      <c r="CU1467" s="5"/>
      <c r="CV1467" s="5"/>
      <c r="CW1467" s="5"/>
      <c r="CX1467" s="5"/>
      <c r="CY1467" s="5"/>
      <c r="CZ1467" s="5"/>
      <c r="DA1467" s="5"/>
      <c r="DB1467" s="5"/>
      <c r="DC1467" s="5"/>
      <c r="DD1467" s="5"/>
      <c r="DE1467" s="5"/>
      <c r="DF1467" s="5"/>
      <c r="DG1467" s="5"/>
      <c r="DH1467" s="5"/>
      <c r="DI1467" s="5"/>
      <c r="DJ1467" s="5"/>
      <c r="DK1467" s="5"/>
      <c r="DL1467" s="5"/>
      <c r="DM1467" s="5"/>
      <c r="DN1467" s="5"/>
      <c r="DO1467" s="5"/>
      <c r="DP1467" s="5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  <c r="GV1467" s="1"/>
      <c r="GW1467" s="1"/>
      <c r="GX1467" s="1"/>
      <c r="GY1467" s="1"/>
      <c r="GZ1467" s="1"/>
      <c r="HA1467" s="1"/>
      <c r="HB1467" s="1"/>
      <c r="HC1467" s="1"/>
      <c r="HD1467" s="1"/>
      <c r="HE1467" s="1"/>
      <c r="HF1467" s="1"/>
      <c r="HG1467" s="1"/>
      <c r="HH1467" s="1"/>
      <c r="HI1467" s="1"/>
      <c r="HJ1467" s="1"/>
      <c r="HK1467" s="1"/>
      <c r="HL1467" s="1"/>
      <c r="HM1467" s="1"/>
      <c r="HN1467" s="1"/>
      <c r="HO1467" s="1"/>
      <c r="HP1467" s="1"/>
      <c r="HQ1467" s="1"/>
      <c r="HR1467" s="1"/>
      <c r="HS1467" s="1"/>
      <c r="HT1467" s="1"/>
      <c r="HU1467" s="1"/>
      <c r="HV1467" s="1"/>
      <c r="HW1467" s="1"/>
      <c r="HX1467" s="1"/>
      <c r="HY1467" s="1"/>
      <c r="HZ1467" s="1"/>
      <c r="IA1467" s="1"/>
      <c r="IB1467" s="1"/>
      <c r="IC1467" s="1"/>
      <c r="ID1467" s="1"/>
      <c r="IE1467" s="1"/>
      <c r="IF1467" s="1"/>
      <c r="IG1467" s="1"/>
      <c r="IH1467" s="1"/>
      <c r="II1467" s="1"/>
      <c r="IJ1467" s="1"/>
      <c r="IK1467" s="1"/>
      <c r="IL1467" s="1"/>
      <c r="IM1467" s="1"/>
      <c r="IN1467" s="1"/>
      <c r="IO1467" s="1"/>
      <c r="IP1467" s="1"/>
      <c r="IQ1467" s="1"/>
      <c r="IR1467" s="1"/>
      <c r="IS1467" s="1"/>
      <c r="IT1467" s="1"/>
      <c r="IU1467" s="1"/>
      <c r="IV1467" s="1"/>
      <c r="IW1467" s="1"/>
      <c r="IX1467" s="1"/>
      <c r="IY1467" s="1"/>
      <c r="IZ1467" s="1"/>
      <c r="JA1467" s="1"/>
      <c r="JB1467" s="1"/>
      <c r="JC1467" s="1"/>
      <c r="JD1467" s="1"/>
    </row>
    <row r="1468" s="504" customFormat="true" ht="12.75" hidden="false" customHeight="true" outlineLevel="0" collapsed="false">
      <c r="A1468" s="5"/>
      <c r="B1468" s="5"/>
      <c r="C1468" s="5"/>
      <c r="D1468" s="8"/>
      <c r="E1468" s="8"/>
      <c r="F1468" s="8"/>
      <c r="G1468" s="5"/>
      <c r="H1468" s="5"/>
      <c r="I1468" s="5"/>
      <c r="J1468" s="8"/>
      <c r="K1468" s="8"/>
      <c r="L1468" s="5"/>
      <c r="M1468" s="8"/>
      <c r="N1468" s="8"/>
      <c r="O1468" s="8"/>
      <c r="P1468" s="8"/>
      <c r="Q1468" s="5"/>
      <c r="R1468" s="5"/>
      <c r="S1468" s="5"/>
      <c r="T1468" s="5"/>
      <c r="U1468" s="5"/>
      <c r="V1468" s="10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02"/>
      <c r="AU1468" s="502"/>
      <c r="AV1468" s="606"/>
      <c r="AW1468" s="502"/>
      <c r="AX1468" s="502"/>
      <c r="AY1468" s="502"/>
      <c r="AZ1468" s="502"/>
      <c r="BA1468" s="502"/>
      <c r="BB1468" s="502"/>
      <c r="BC1468" s="502"/>
      <c r="BD1468" s="502"/>
      <c r="BE1468" s="502"/>
      <c r="BF1468" s="502"/>
      <c r="BG1468" s="502"/>
      <c r="BH1468" s="502"/>
      <c r="BI1468" s="502"/>
      <c r="BJ1468" s="502"/>
      <c r="BK1468" s="502"/>
      <c r="BL1468" s="502"/>
      <c r="BM1468" s="502"/>
      <c r="BN1468" s="502"/>
      <c r="BO1468" s="502"/>
      <c r="BP1468" s="5"/>
      <c r="BQ1468" s="5"/>
      <c r="BR1468" s="5"/>
      <c r="BS1468" s="5"/>
      <c r="BT1468" s="5"/>
      <c r="BU1468" s="5"/>
      <c r="BV1468" s="5"/>
      <c r="BW1468" s="5"/>
      <c r="BX1468" s="5"/>
      <c r="BY1468" s="5"/>
      <c r="BZ1468" s="5"/>
      <c r="CA1468" s="5"/>
      <c r="CB1468" s="5"/>
      <c r="CC1468" s="5"/>
      <c r="CD1468" s="5"/>
      <c r="CE1468" s="5"/>
      <c r="CF1468" s="5"/>
      <c r="CG1468" s="5"/>
      <c r="CH1468" s="5"/>
      <c r="CI1468" s="5"/>
      <c r="CJ1468" s="5"/>
      <c r="CK1468" s="5"/>
      <c r="CL1468" s="5"/>
      <c r="CM1468" s="5"/>
      <c r="CN1468" s="5"/>
      <c r="CO1468" s="5"/>
      <c r="CP1468" s="5"/>
      <c r="CQ1468" s="5"/>
      <c r="CR1468" s="5"/>
      <c r="CS1468" s="5"/>
      <c r="CT1468" s="5"/>
      <c r="CU1468" s="5"/>
      <c r="CV1468" s="5"/>
      <c r="CW1468" s="5"/>
      <c r="CX1468" s="5"/>
      <c r="CY1468" s="5"/>
      <c r="CZ1468" s="5"/>
      <c r="DA1468" s="5"/>
      <c r="DB1468" s="5"/>
      <c r="DC1468" s="5"/>
      <c r="DD1468" s="5"/>
      <c r="DE1468" s="5"/>
      <c r="DF1468" s="5"/>
      <c r="DG1468" s="5"/>
      <c r="DH1468" s="5"/>
      <c r="DI1468" s="5"/>
      <c r="DJ1468" s="5"/>
      <c r="DK1468" s="5"/>
      <c r="DL1468" s="5"/>
      <c r="DM1468" s="5"/>
      <c r="DN1468" s="5"/>
      <c r="DO1468" s="5"/>
      <c r="DP1468" s="5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  <c r="GV1468" s="1"/>
      <c r="GW1468" s="1"/>
      <c r="GX1468" s="1"/>
      <c r="GY1468" s="1"/>
      <c r="GZ1468" s="1"/>
      <c r="HA1468" s="1"/>
      <c r="HB1468" s="1"/>
      <c r="HC1468" s="1"/>
      <c r="HD1468" s="1"/>
      <c r="HE1468" s="1"/>
      <c r="HF1468" s="1"/>
      <c r="HG1468" s="1"/>
      <c r="HH1468" s="1"/>
      <c r="HI1468" s="1"/>
      <c r="HJ1468" s="1"/>
      <c r="HK1468" s="1"/>
      <c r="HL1468" s="1"/>
      <c r="HM1468" s="1"/>
      <c r="HN1468" s="1"/>
      <c r="HO1468" s="1"/>
      <c r="HP1468" s="1"/>
      <c r="HQ1468" s="1"/>
      <c r="HR1468" s="1"/>
      <c r="HS1468" s="1"/>
      <c r="HT1468" s="1"/>
      <c r="HU1468" s="1"/>
      <c r="HV1468" s="1"/>
      <c r="HW1468" s="1"/>
      <c r="HX1468" s="1"/>
      <c r="HY1468" s="1"/>
      <c r="HZ1468" s="1"/>
      <c r="IA1468" s="1"/>
      <c r="IB1468" s="1"/>
      <c r="IC1468" s="1"/>
      <c r="ID1468" s="1"/>
      <c r="IE1468" s="1"/>
      <c r="IF1468" s="1"/>
      <c r="IG1468" s="1"/>
      <c r="IH1468" s="1"/>
      <c r="II1468" s="1"/>
      <c r="IJ1468" s="1"/>
      <c r="IK1468" s="1"/>
      <c r="IL1468" s="1"/>
      <c r="IM1468" s="1"/>
      <c r="IN1468" s="1"/>
      <c r="IO1468" s="1"/>
      <c r="IP1468" s="1"/>
      <c r="IQ1468" s="1"/>
      <c r="IR1468" s="1"/>
      <c r="IS1468" s="1"/>
      <c r="IT1468" s="1"/>
      <c r="IU1468" s="1"/>
      <c r="IV1468" s="1"/>
      <c r="IW1468" s="1"/>
      <c r="IX1468" s="1"/>
      <c r="IY1468" s="1"/>
      <c r="IZ1468" s="1"/>
      <c r="JA1468" s="1"/>
      <c r="JB1468" s="1"/>
      <c r="JC1468" s="1"/>
      <c r="JD1468" s="1"/>
    </row>
    <row r="1469" s="504" customFormat="true" ht="12.75" hidden="false" customHeight="true" outlineLevel="0" collapsed="false">
      <c r="A1469" s="5"/>
      <c r="B1469" s="5"/>
      <c r="C1469" s="5"/>
      <c r="D1469" s="8"/>
      <c r="E1469" s="8"/>
      <c r="F1469" s="8"/>
      <c r="G1469" s="5"/>
      <c r="H1469" s="5"/>
      <c r="I1469" s="5"/>
      <c r="J1469" s="8"/>
      <c r="K1469" s="8"/>
      <c r="L1469" s="5"/>
      <c r="M1469" s="8"/>
      <c r="N1469" s="8"/>
      <c r="O1469" s="8"/>
      <c r="P1469" s="8"/>
      <c r="Q1469" s="5"/>
      <c r="R1469" s="5"/>
      <c r="S1469" s="5"/>
      <c r="T1469" s="5"/>
      <c r="U1469" s="5"/>
      <c r="V1469" s="10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02"/>
      <c r="AU1469" s="502"/>
      <c r="AV1469" s="606"/>
      <c r="AW1469" s="502"/>
      <c r="AX1469" s="502"/>
      <c r="AY1469" s="502"/>
      <c r="AZ1469" s="502"/>
      <c r="BA1469" s="502"/>
      <c r="BB1469" s="502"/>
      <c r="BC1469" s="502"/>
      <c r="BD1469" s="502"/>
      <c r="BE1469" s="502"/>
      <c r="BF1469" s="502"/>
      <c r="BG1469" s="502"/>
      <c r="BH1469" s="502"/>
      <c r="BI1469" s="502"/>
      <c r="BJ1469" s="502"/>
      <c r="BK1469" s="502"/>
      <c r="BL1469" s="502"/>
      <c r="BM1469" s="502"/>
      <c r="BN1469" s="502"/>
      <c r="BO1469" s="502"/>
      <c r="BP1469" s="5"/>
      <c r="BQ1469" s="5"/>
      <c r="BR1469" s="5"/>
      <c r="BS1469" s="5"/>
      <c r="BT1469" s="5"/>
      <c r="BU1469" s="5"/>
      <c r="BV1469" s="5"/>
      <c r="BW1469" s="5"/>
      <c r="BX1469" s="5"/>
      <c r="BY1469" s="5"/>
      <c r="BZ1469" s="5"/>
      <c r="CA1469" s="5"/>
      <c r="CB1469" s="5"/>
      <c r="CC1469" s="5"/>
      <c r="CD1469" s="5"/>
      <c r="CE1469" s="5"/>
      <c r="CF1469" s="5"/>
      <c r="CG1469" s="5"/>
      <c r="CH1469" s="5"/>
      <c r="CI1469" s="5"/>
      <c r="CJ1469" s="5"/>
      <c r="CK1469" s="5"/>
      <c r="CL1469" s="5"/>
      <c r="CM1469" s="5"/>
      <c r="CN1469" s="5"/>
      <c r="CO1469" s="5"/>
      <c r="CP1469" s="5"/>
      <c r="CQ1469" s="5"/>
      <c r="CR1469" s="5"/>
      <c r="CS1469" s="5"/>
      <c r="CT1469" s="5"/>
      <c r="CU1469" s="5"/>
      <c r="CV1469" s="5"/>
      <c r="CW1469" s="5"/>
      <c r="CX1469" s="5"/>
      <c r="CY1469" s="5"/>
      <c r="CZ1469" s="5"/>
      <c r="DA1469" s="5"/>
      <c r="DB1469" s="5"/>
      <c r="DC1469" s="5"/>
      <c r="DD1469" s="5"/>
      <c r="DE1469" s="5"/>
      <c r="DF1469" s="5"/>
      <c r="DG1469" s="5"/>
      <c r="DH1469" s="5"/>
      <c r="DI1469" s="5"/>
      <c r="DJ1469" s="5"/>
      <c r="DK1469" s="5"/>
      <c r="DL1469" s="5"/>
      <c r="DM1469" s="5"/>
      <c r="DN1469" s="5"/>
      <c r="DO1469" s="5"/>
      <c r="DP1469" s="5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  <c r="GV1469" s="1"/>
      <c r="GW1469" s="1"/>
      <c r="GX1469" s="1"/>
      <c r="GY1469" s="1"/>
      <c r="GZ1469" s="1"/>
      <c r="HA1469" s="1"/>
      <c r="HB1469" s="1"/>
      <c r="HC1469" s="1"/>
      <c r="HD1469" s="1"/>
      <c r="HE1469" s="1"/>
      <c r="HF1469" s="1"/>
      <c r="HG1469" s="1"/>
      <c r="HH1469" s="1"/>
      <c r="HI1469" s="1"/>
      <c r="HJ1469" s="1"/>
      <c r="HK1469" s="1"/>
      <c r="HL1469" s="1"/>
      <c r="HM1469" s="1"/>
      <c r="HN1469" s="1"/>
      <c r="HO1469" s="1"/>
      <c r="HP1469" s="1"/>
      <c r="HQ1469" s="1"/>
      <c r="HR1469" s="1"/>
      <c r="HS1469" s="1"/>
      <c r="HT1469" s="1"/>
      <c r="HU1469" s="1"/>
      <c r="HV1469" s="1"/>
      <c r="HW1469" s="1"/>
      <c r="HX1469" s="1"/>
      <c r="HY1469" s="1"/>
      <c r="HZ1469" s="1"/>
      <c r="IA1469" s="1"/>
      <c r="IB1469" s="1"/>
      <c r="IC1469" s="1"/>
      <c r="ID1469" s="1"/>
      <c r="IE1469" s="1"/>
      <c r="IF1469" s="1"/>
      <c r="IG1469" s="1"/>
      <c r="IH1469" s="1"/>
      <c r="II1469" s="1"/>
      <c r="IJ1469" s="1"/>
      <c r="IK1469" s="1"/>
      <c r="IL1469" s="1"/>
      <c r="IM1469" s="1"/>
      <c r="IN1469" s="1"/>
      <c r="IO1469" s="1"/>
      <c r="IP1469" s="1"/>
      <c r="IQ1469" s="1"/>
      <c r="IR1469" s="1"/>
      <c r="IS1469" s="1"/>
      <c r="IT1469" s="1"/>
      <c r="IU1469" s="1"/>
      <c r="IV1469" s="1"/>
      <c r="IW1469" s="1"/>
      <c r="IX1469" s="1"/>
      <c r="IY1469" s="1"/>
      <c r="IZ1469" s="1"/>
      <c r="JA1469" s="1"/>
      <c r="JB1469" s="1"/>
      <c r="JC1469" s="1"/>
      <c r="JD1469" s="1"/>
    </row>
    <row r="1470" s="504" customFormat="true" ht="12.75" hidden="false" customHeight="true" outlineLevel="0" collapsed="false">
      <c r="A1470" s="5"/>
      <c r="B1470" s="5"/>
      <c r="C1470" s="5"/>
      <c r="D1470" s="8"/>
      <c r="E1470" s="8"/>
      <c r="F1470" s="8"/>
      <c r="G1470" s="5"/>
      <c r="H1470" s="5"/>
      <c r="I1470" s="5"/>
      <c r="J1470" s="8"/>
      <c r="K1470" s="8"/>
      <c r="L1470" s="5"/>
      <c r="M1470" s="8"/>
      <c r="N1470" s="8"/>
      <c r="O1470" s="8"/>
      <c r="P1470" s="8"/>
      <c r="Q1470" s="5"/>
      <c r="R1470" s="5"/>
      <c r="S1470" s="5"/>
      <c r="T1470" s="5"/>
      <c r="U1470" s="5"/>
      <c r="V1470" s="10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02"/>
      <c r="AU1470" s="502"/>
      <c r="AV1470" s="606"/>
      <c r="AW1470" s="502"/>
      <c r="AX1470" s="502"/>
      <c r="AY1470" s="502"/>
      <c r="AZ1470" s="502"/>
      <c r="BA1470" s="502"/>
      <c r="BB1470" s="502"/>
      <c r="BC1470" s="502"/>
      <c r="BD1470" s="502"/>
      <c r="BE1470" s="502"/>
      <c r="BF1470" s="502"/>
      <c r="BG1470" s="502"/>
      <c r="BH1470" s="502"/>
      <c r="BI1470" s="502"/>
      <c r="BJ1470" s="502"/>
      <c r="BK1470" s="502"/>
      <c r="BL1470" s="502"/>
      <c r="BM1470" s="502"/>
      <c r="BN1470" s="502"/>
      <c r="BO1470" s="502"/>
      <c r="BP1470" s="5"/>
      <c r="BQ1470" s="5"/>
      <c r="BR1470" s="5"/>
      <c r="BS1470" s="5"/>
      <c r="BT1470" s="5"/>
      <c r="BU1470" s="5"/>
      <c r="BV1470" s="5"/>
      <c r="BW1470" s="5"/>
      <c r="BX1470" s="5"/>
      <c r="BY1470" s="5"/>
      <c r="BZ1470" s="5"/>
      <c r="CA1470" s="5"/>
      <c r="CB1470" s="5"/>
      <c r="CC1470" s="5"/>
      <c r="CD1470" s="5"/>
      <c r="CE1470" s="5"/>
      <c r="CF1470" s="5"/>
      <c r="CG1470" s="5"/>
      <c r="CH1470" s="5"/>
      <c r="CI1470" s="5"/>
      <c r="CJ1470" s="5"/>
      <c r="CK1470" s="5"/>
      <c r="CL1470" s="5"/>
      <c r="CM1470" s="5"/>
      <c r="CN1470" s="5"/>
      <c r="CO1470" s="5"/>
      <c r="CP1470" s="5"/>
      <c r="CQ1470" s="5"/>
      <c r="CR1470" s="5"/>
      <c r="CS1470" s="5"/>
      <c r="CT1470" s="5"/>
      <c r="CU1470" s="5"/>
      <c r="CV1470" s="5"/>
      <c r="CW1470" s="5"/>
      <c r="CX1470" s="5"/>
      <c r="CY1470" s="5"/>
      <c r="CZ1470" s="5"/>
      <c r="DA1470" s="5"/>
      <c r="DB1470" s="5"/>
      <c r="DC1470" s="5"/>
      <c r="DD1470" s="5"/>
      <c r="DE1470" s="5"/>
      <c r="DF1470" s="5"/>
      <c r="DG1470" s="5"/>
      <c r="DH1470" s="5"/>
      <c r="DI1470" s="5"/>
      <c r="DJ1470" s="5"/>
      <c r="DK1470" s="5"/>
      <c r="DL1470" s="5"/>
      <c r="DM1470" s="5"/>
      <c r="DN1470" s="5"/>
      <c r="DO1470" s="5"/>
      <c r="DP1470" s="5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  <c r="GV1470" s="1"/>
      <c r="GW1470" s="1"/>
      <c r="GX1470" s="1"/>
      <c r="GY1470" s="1"/>
      <c r="GZ1470" s="1"/>
      <c r="HA1470" s="1"/>
      <c r="HB1470" s="1"/>
      <c r="HC1470" s="1"/>
      <c r="HD1470" s="1"/>
      <c r="HE1470" s="1"/>
      <c r="HF1470" s="1"/>
      <c r="HG1470" s="1"/>
      <c r="HH1470" s="1"/>
      <c r="HI1470" s="1"/>
      <c r="HJ1470" s="1"/>
      <c r="HK1470" s="1"/>
      <c r="HL1470" s="1"/>
      <c r="HM1470" s="1"/>
      <c r="HN1470" s="1"/>
      <c r="HO1470" s="1"/>
      <c r="HP1470" s="1"/>
      <c r="HQ1470" s="1"/>
      <c r="HR1470" s="1"/>
      <c r="HS1470" s="1"/>
      <c r="HT1470" s="1"/>
      <c r="HU1470" s="1"/>
      <c r="HV1470" s="1"/>
      <c r="HW1470" s="1"/>
      <c r="HX1470" s="1"/>
      <c r="HY1470" s="1"/>
      <c r="HZ1470" s="1"/>
      <c r="IA1470" s="1"/>
      <c r="IB1470" s="1"/>
      <c r="IC1470" s="1"/>
      <c r="ID1470" s="1"/>
      <c r="IE1470" s="1"/>
      <c r="IF1470" s="1"/>
      <c r="IG1470" s="1"/>
      <c r="IH1470" s="1"/>
      <c r="II1470" s="1"/>
      <c r="IJ1470" s="1"/>
      <c r="IK1470" s="1"/>
      <c r="IL1470" s="1"/>
      <c r="IM1470" s="1"/>
      <c r="IN1470" s="1"/>
      <c r="IO1470" s="1"/>
      <c r="IP1470" s="1"/>
      <c r="IQ1470" s="1"/>
      <c r="IR1470" s="1"/>
      <c r="IS1470" s="1"/>
      <c r="IT1470" s="1"/>
      <c r="IU1470" s="1"/>
      <c r="IV1470" s="1"/>
      <c r="IW1470" s="1"/>
      <c r="IX1470" s="1"/>
      <c r="IY1470" s="1"/>
      <c r="IZ1470" s="1"/>
      <c r="JA1470" s="1"/>
      <c r="JB1470" s="1"/>
      <c r="JC1470" s="1"/>
      <c r="JD1470" s="1"/>
    </row>
    <row r="1471" s="504" customFormat="true" ht="12.75" hidden="false" customHeight="true" outlineLevel="0" collapsed="false">
      <c r="A1471" s="5"/>
      <c r="B1471" s="5"/>
      <c r="C1471" s="5"/>
      <c r="D1471" s="8"/>
      <c r="E1471" s="8"/>
      <c r="F1471" s="8"/>
      <c r="G1471" s="5"/>
      <c r="H1471" s="5"/>
      <c r="I1471" s="5"/>
      <c r="J1471" s="8"/>
      <c r="K1471" s="8"/>
      <c r="L1471" s="5"/>
      <c r="M1471" s="8"/>
      <c r="N1471" s="8"/>
      <c r="O1471" s="8"/>
      <c r="P1471" s="8"/>
      <c r="Q1471" s="5"/>
      <c r="R1471" s="5"/>
      <c r="S1471" s="5"/>
      <c r="T1471" s="5"/>
      <c r="U1471" s="5"/>
      <c r="V1471" s="10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02"/>
      <c r="AU1471" s="502"/>
      <c r="AV1471" s="606"/>
      <c r="AW1471" s="502"/>
      <c r="AX1471" s="502"/>
      <c r="AY1471" s="502"/>
      <c r="AZ1471" s="502"/>
      <c r="BA1471" s="502"/>
      <c r="BB1471" s="502"/>
      <c r="BC1471" s="502"/>
      <c r="BD1471" s="502"/>
      <c r="BE1471" s="502"/>
      <c r="BF1471" s="502"/>
      <c r="BG1471" s="502"/>
      <c r="BH1471" s="502"/>
      <c r="BI1471" s="502"/>
      <c r="BJ1471" s="502"/>
      <c r="BK1471" s="502"/>
      <c r="BL1471" s="502"/>
      <c r="BM1471" s="502"/>
      <c r="BN1471" s="502"/>
      <c r="BO1471" s="502"/>
      <c r="BP1471" s="5"/>
      <c r="BQ1471" s="5"/>
      <c r="BR1471" s="5"/>
      <c r="BS1471" s="5"/>
      <c r="BT1471" s="5"/>
      <c r="BU1471" s="5"/>
      <c r="BV1471" s="5"/>
      <c r="BW1471" s="5"/>
      <c r="BX1471" s="5"/>
      <c r="BY1471" s="5"/>
      <c r="BZ1471" s="5"/>
      <c r="CA1471" s="5"/>
      <c r="CB1471" s="5"/>
      <c r="CC1471" s="5"/>
      <c r="CD1471" s="5"/>
      <c r="CE1471" s="5"/>
      <c r="CF1471" s="5"/>
      <c r="CG1471" s="5"/>
      <c r="CH1471" s="5"/>
      <c r="CI1471" s="5"/>
      <c r="CJ1471" s="5"/>
      <c r="CK1471" s="5"/>
      <c r="CL1471" s="5"/>
      <c r="CM1471" s="5"/>
      <c r="CN1471" s="5"/>
      <c r="CO1471" s="5"/>
      <c r="CP1471" s="5"/>
      <c r="CQ1471" s="5"/>
      <c r="CR1471" s="5"/>
      <c r="CS1471" s="5"/>
      <c r="CT1471" s="5"/>
      <c r="CU1471" s="5"/>
      <c r="CV1471" s="5"/>
      <c r="CW1471" s="5"/>
      <c r="CX1471" s="5"/>
      <c r="CY1471" s="5"/>
      <c r="CZ1471" s="5"/>
      <c r="DA1471" s="5"/>
      <c r="DB1471" s="5"/>
      <c r="DC1471" s="5"/>
      <c r="DD1471" s="5"/>
      <c r="DE1471" s="5"/>
      <c r="DF1471" s="5"/>
      <c r="DG1471" s="5"/>
      <c r="DH1471" s="5"/>
      <c r="DI1471" s="5"/>
      <c r="DJ1471" s="5"/>
      <c r="DK1471" s="5"/>
      <c r="DL1471" s="5"/>
      <c r="DM1471" s="5"/>
      <c r="DN1471" s="5"/>
      <c r="DO1471" s="5"/>
      <c r="DP1471" s="5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  <c r="GT1471" s="1"/>
      <c r="GU1471" s="1"/>
      <c r="GV1471" s="1"/>
      <c r="GW1471" s="1"/>
      <c r="GX1471" s="1"/>
      <c r="GY1471" s="1"/>
      <c r="GZ1471" s="1"/>
      <c r="HA1471" s="1"/>
      <c r="HB1471" s="1"/>
      <c r="HC1471" s="1"/>
      <c r="HD1471" s="1"/>
      <c r="HE1471" s="1"/>
      <c r="HF1471" s="1"/>
      <c r="HG1471" s="1"/>
      <c r="HH1471" s="1"/>
      <c r="HI1471" s="1"/>
      <c r="HJ1471" s="1"/>
      <c r="HK1471" s="1"/>
      <c r="HL1471" s="1"/>
      <c r="HM1471" s="1"/>
      <c r="HN1471" s="1"/>
      <c r="HO1471" s="1"/>
      <c r="HP1471" s="1"/>
      <c r="HQ1471" s="1"/>
      <c r="HR1471" s="1"/>
      <c r="HS1471" s="1"/>
      <c r="HT1471" s="1"/>
      <c r="HU1471" s="1"/>
      <c r="HV1471" s="1"/>
      <c r="HW1471" s="1"/>
      <c r="HX1471" s="1"/>
      <c r="HY1471" s="1"/>
      <c r="HZ1471" s="1"/>
      <c r="IA1471" s="1"/>
      <c r="IB1471" s="1"/>
      <c r="IC1471" s="1"/>
      <c r="ID1471" s="1"/>
      <c r="IE1471" s="1"/>
      <c r="IF1471" s="1"/>
      <c r="IG1471" s="1"/>
      <c r="IH1471" s="1"/>
      <c r="II1471" s="1"/>
      <c r="IJ1471" s="1"/>
      <c r="IK1471" s="1"/>
      <c r="IL1471" s="1"/>
      <c r="IM1471" s="1"/>
      <c r="IN1471" s="1"/>
      <c r="IO1471" s="1"/>
      <c r="IP1471" s="1"/>
      <c r="IQ1471" s="1"/>
      <c r="IR1471" s="1"/>
      <c r="IS1471" s="1"/>
      <c r="IT1471" s="1"/>
      <c r="IU1471" s="1"/>
      <c r="IV1471" s="1"/>
      <c r="IW1471" s="1"/>
      <c r="IX1471" s="1"/>
      <c r="IY1471" s="1"/>
      <c r="IZ1471" s="1"/>
      <c r="JA1471" s="1"/>
      <c r="JB1471" s="1"/>
      <c r="JC1471" s="1"/>
      <c r="JD1471" s="1"/>
    </row>
    <row r="1472" s="504" customFormat="true" ht="12.75" hidden="false" customHeight="true" outlineLevel="0" collapsed="false">
      <c r="A1472" s="5"/>
      <c r="B1472" s="5"/>
      <c r="C1472" s="5"/>
      <c r="D1472" s="8"/>
      <c r="E1472" s="8"/>
      <c r="F1472" s="8"/>
      <c r="G1472" s="5"/>
      <c r="H1472" s="5"/>
      <c r="I1472" s="5"/>
      <c r="J1472" s="8"/>
      <c r="K1472" s="8"/>
      <c r="L1472" s="5"/>
      <c r="M1472" s="8"/>
      <c r="N1472" s="8"/>
      <c r="O1472" s="8"/>
      <c r="P1472" s="8"/>
      <c r="Q1472" s="5"/>
      <c r="R1472" s="5"/>
      <c r="S1472" s="5"/>
      <c r="T1472" s="5"/>
      <c r="U1472" s="5"/>
      <c r="V1472" s="10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02"/>
      <c r="AU1472" s="502"/>
      <c r="AV1472" s="606"/>
      <c r="AW1472" s="502"/>
      <c r="AX1472" s="502"/>
      <c r="AY1472" s="502"/>
      <c r="AZ1472" s="502"/>
      <c r="BA1472" s="502"/>
      <c r="BB1472" s="502"/>
      <c r="BC1472" s="502"/>
      <c r="BD1472" s="502"/>
      <c r="BE1472" s="502"/>
      <c r="BF1472" s="502"/>
      <c r="BG1472" s="502"/>
      <c r="BH1472" s="502"/>
      <c r="BI1472" s="502"/>
      <c r="BJ1472" s="502"/>
      <c r="BK1472" s="502"/>
      <c r="BL1472" s="502"/>
      <c r="BM1472" s="502"/>
      <c r="BN1472" s="502"/>
      <c r="BO1472" s="502"/>
      <c r="BP1472" s="5"/>
      <c r="BQ1472" s="5"/>
      <c r="BR1472" s="5"/>
      <c r="BS1472" s="5"/>
      <c r="BT1472" s="5"/>
      <c r="BU1472" s="5"/>
      <c r="BV1472" s="5"/>
      <c r="BW1472" s="5"/>
      <c r="BX1472" s="5"/>
      <c r="BY1472" s="5"/>
      <c r="BZ1472" s="5"/>
      <c r="CA1472" s="5"/>
      <c r="CB1472" s="5"/>
      <c r="CC1472" s="5"/>
      <c r="CD1472" s="5"/>
      <c r="CE1472" s="5"/>
      <c r="CF1472" s="5"/>
      <c r="CG1472" s="5"/>
      <c r="CH1472" s="5"/>
      <c r="CI1472" s="5"/>
      <c r="CJ1472" s="5"/>
      <c r="CK1472" s="5"/>
      <c r="CL1472" s="5"/>
      <c r="CM1472" s="5"/>
      <c r="CN1472" s="5"/>
      <c r="CO1472" s="5"/>
      <c r="CP1472" s="5"/>
      <c r="CQ1472" s="5"/>
      <c r="CR1472" s="5"/>
      <c r="CS1472" s="5"/>
      <c r="CT1472" s="5"/>
      <c r="CU1472" s="5"/>
      <c r="CV1472" s="5"/>
      <c r="CW1472" s="5"/>
      <c r="CX1472" s="5"/>
      <c r="CY1472" s="5"/>
      <c r="CZ1472" s="5"/>
      <c r="DA1472" s="5"/>
      <c r="DB1472" s="5"/>
      <c r="DC1472" s="5"/>
      <c r="DD1472" s="5"/>
      <c r="DE1472" s="5"/>
      <c r="DF1472" s="5"/>
      <c r="DG1472" s="5"/>
      <c r="DH1472" s="5"/>
      <c r="DI1472" s="5"/>
      <c r="DJ1472" s="5"/>
      <c r="DK1472" s="5"/>
      <c r="DL1472" s="5"/>
      <c r="DM1472" s="5"/>
      <c r="DN1472" s="5"/>
      <c r="DO1472" s="5"/>
      <c r="DP1472" s="5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  <c r="GT1472" s="1"/>
      <c r="GU1472" s="1"/>
      <c r="GV1472" s="1"/>
      <c r="GW1472" s="1"/>
      <c r="GX1472" s="1"/>
      <c r="GY1472" s="1"/>
      <c r="GZ1472" s="1"/>
      <c r="HA1472" s="1"/>
      <c r="HB1472" s="1"/>
      <c r="HC1472" s="1"/>
      <c r="HD1472" s="1"/>
      <c r="HE1472" s="1"/>
      <c r="HF1472" s="1"/>
      <c r="HG1472" s="1"/>
      <c r="HH1472" s="1"/>
      <c r="HI1472" s="1"/>
      <c r="HJ1472" s="1"/>
      <c r="HK1472" s="1"/>
      <c r="HL1472" s="1"/>
      <c r="HM1472" s="1"/>
      <c r="HN1472" s="1"/>
      <c r="HO1472" s="1"/>
      <c r="HP1472" s="1"/>
      <c r="HQ1472" s="1"/>
      <c r="HR1472" s="1"/>
      <c r="HS1472" s="1"/>
      <c r="HT1472" s="1"/>
      <c r="HU1472" s="1"/>
      <c r="HV1472" s="1"/>
      <c r="HW1472" s="1"/>
      <c r="HX1472" s="1"/>
      <c r="HY1472" s="1"/>
      <c r="HZ1472" s="1"/>
      <c r="IA1472" s="1"/>
      <c r="IB1472" s="1"/>
      <c r="IC1472" s="1"/>
      <c r="ID1472" s="1"/>
      <c r="IE1472" s="1"/>
      <c r="IF1472" s="1"/>
      <c r="IG1472" s="1"/>
      <c r="IH1472" s="1"/>
      <c r="II1472" s="1"/>
      <c r="IJ1472" s="1"/>
      <c r="IK1472" s="1"/>
      <c r="IL1472" s="1"/>
      <c r="IM1472" s="1"/>
      <c r="IN1472" s="1"/>
      <c r="IO1472" s="1"/>
      <c r="IP1472" s="1"/>
      <c r="IQ1472" s="1"/>
      <c r="IR1472" s="1"/>
      <c r="IS1472" s="1"/>
      <c r="IT1472" s="1"/>
      <c r="IU1472" s="1"/>
      <c r="IV1472" s="1"/>
      <c r="IW1472" s="1"/>
      <c r="IX1472" s="1"/>
      <c r="IY1472" s="1"/>
      <c r="IZ1472" s="1"/>
      <c r="JA1472" s="1"/>
      <c r="JB1472" s="1"/>
      <c r="JC1472" s="1"/>
      <c r="JD1472" s="1"/>
    </row>
    <row r="1473" s="504" customFormat="true" ht="12.75" hidden="false" customHeight="true" outlineLevel="0" collapsed="false">
      <c r="A1473" s="5"/>
      <c r="B1473" s="5"/>
      <c r="C1473" s="5"/>
      <c r="D1473" s="8"/>
      <c r="E1473" s="8"/>
      <c r="F1473" s="8"/>
      <c r="G1473" s="5"/>
      <c r="H1473" s="5"/>
      <c r="I1473" s="5"/>
      <c r="J1473" s="8"/>
      <c r="K1473" s="8"/>
      <c r="L1473" s="5"/>
      <c r="M1473" s="8"/>
      <c r="N1473" s="8"/>
      <c r="O1473" s="8"/>
      <c r="P1473" s="8"/>
      <c r="Q1473" s="5"/>
      <c r="R1473" s="5"/>
      <c r="S1473" s="5"/>
      <c r="T1473" s="5"/>
      <c r="U1473" s="5"/>
      <c r="V1473" s="10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02"/>
      <c r="AU1473" s="502"/>
      <c r="AV1473" s="606"/>
      <c r="AW1473" s="502"/>
      <c r="AX1473" s="502"/>
      <c r="AY1473" s="502"/>
      <c r="AZ1473" s="502"/>
      <c r="BA1473" s="502"/>
      <c r="BB1473" s="502"/>
      <c r="BC1473" s="502"/>
      <c r="BD1473" s="502"/>
      <c r="BE1473" s="502"/>
      <c r="BF1473" s="502"/>
      <c r="BG1473" s="502"/>
      <c r="BH1473" s="502"/>
      <c r="BI1473" s="502"/>
      <c r="BJ1473" s="502"/>
      <c r="BK1473" s="502"/>
      <c r="BL1473" s="502"/>
      <c r="BM1473" s="502"/>
      <c r="BN1473" s="502"/>
      <c r="BO1473" s="502"/>
      <c r="BP1473" s="5"/>
      <c r="BQ1473" s="5"/>
      <c r="BR1473" s="5"/>
      <c r="BS1473" s="5"/>
      <c r="BT1473" s="5"/>
      <c r="BU1473" s="5"/>
      <c r="BV1473" s="5"/>
      <c r="BW1473" s="5"/>
      <c r="BX1473" s="5"/>
      <c r="BY1473" s="5"/>
      <c r="BZ1473" s="5"/>
      <c r="CA1473" s="5"/>
      <c r="CB1473" s="5"/>
      <c r="CC1473" s="5"/>
      <c r="CD1473" s="5"/>
      <c r="CE1473" s="5"/>
      <c r="CF1473" s="5"/>
      <c r="CG1473" s="5"/>
      <c r="CH1473" s="5"/>
      <c r="CI1473" s="5"/>
      <c r="CJ1473" s="5"/>
      <c r="CK1473" s="5"/>
      <c r="CL1473" s="5"/>
      <c r="CM1473" s="5"/>
      <c r="CN1473" s="5"/>
      <c r="CO1473" s="5"/>
      <c r="CP1473" s="5"/>
      <c r="CQ1473" s="5"/>
      <c r="CR1473" s="5"/>
      <c r="CS1473" s="5"/>
      <c r="CT1473" s="5"/>
      <c r="CU1473" s="5"/>
      <c r="CV1473" s="5"/>
      <c r="CW1473" s="5"/>
      <c r="CX1473" s="5"/>
      <c r="CY1473" s="5"/>
      <c r="CZ1473" s="5"/>
      <c r="DA1473" s="5"/>
      <c r="DB1473" s="5"/>
      <c r="DC1473" s="5"/>
      <c r="DD1473" s="5"/>
      <c r="DE1473" s="5"/>
      <c r="DF1473" s="5"/>
      <c r="DG1473" s="5"/>
      <c r="DH1473" s="5"/>
      <c r="DI1473" s="5"/>
      <c r="DJ1473" s="5"/>
      <c r="DK1473" s="5"/>
      <c r="DL1473" s="5"/>
      <c r="DM1473" s="5"/>
      <c r="DN1473" s="5"/>
      <c r="DO1473" s="5"/>
      <c r="DP1473" s="5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  <c r="GV1473" s="1"/>
      <c r="GW1473" s="1"/>
      <c r="GX1473" s="1"/>
      <c r="GY1473" s="1"/>
      <c r="GZ1473" s="1"/>
      <c r="HA1473" s="1"/>
      <c r="HB1473" s="1"/>
      <c r="HC1473" s="1"/>
      <c r="HD1473" s="1"/>
      <c r="HE1473" s="1"/>
      <c r="HF1473" s="1"/>
      <c r="HG1473" s="1"/>
      <c r="HH1473" s="1"/>
      <c r="HI1473" s="1"/>
      <c r="HJ1473" s="1"/>
      <c r="HK1473" s="1"/>
      <c r="HL1473" s="1"/>
      <c r="HM1473" s="1"/>
      <c r="HN1473" s="1"/>
      <c r="HO1473" s="1"/>
      <c r="HP1473" s="1"/>
      <c r="HQ1473" s="1"/>
      <c r="HR1473" s="1"/>
      <c r="HS1473" s="1"/>
      <c r="HT1473" s="1"/>
      <c r="HU1473" s="1"/>
      <c r="HV1473" s="1"/>
      <c r="HW1473" s="1"/>
      <c r="HX1473" s="1"/>
      <c r="HY1473" s="1"/>
      <c r="HZ1473" s="1"/>
      <c r="IA1473" s="1"/>
      <c r="IB1473" s="1"/>
      <c r="IC1473" s="1"/>
      <c r="ID1473" s="1"/>
      <c r="IE1473" s="1"/>
      <c r="IF1473" s="1"/>
      <c r="IG1473" s="1"/>
      <c r="IH1473" s="1"/>
      <c r="II1473" s="1"/>
      <c r="IJ1473" s="1"/>
      <c r="IK1473" s="1"/>
      <c r="IL1473" s="1"/>
      <c r="IM1473" s="1"/>
      <c r="IN1473" s="1"/>
      <c r="IO1473" s="1"/>
      <c r="IP1473" s="1"/>
      <c r="IQ1473" s="1"/>
      <c r="IR1473" s="1"/>
      <c r="IS1473" s="1"/>
      <c r="IT1473" s="1"/>
      <c r="IU1473" s="1"/>
      <c r="IV1473" s="1"/>
      <c r="IW1473" s="1"/>
      <c r="IX1473" s="1"/>
      <c r="IY1473" s="1"/>
      <c r="IZ1473" s="1"/>
      <c r="JA1473" s="1"/>
      <c r="JB1473" s="1"/>
      <c r="JC1473" s="1"/>
      <c r="JD1473" s="1"/>
    </row>
    <row r="1474" s="504" customFormat="true" ht="12.75" hidden="false" customHeight="true" outlineLevel="0" collapsed="false">
      <c r="A1474" s="5"/>
      <c r="B1474" s="5"/>
      <c r="C1474" s="5"/>
      <c r="D1474" s="8"/>
      <c r="E1474" s="8"/>
      <c r="F1474" s="8"/>
      <c r="G1474" s="5"/>
      <c r="H1474" s="5"/>
      <c r="I1474" s="5"/>
      <c r="J1474" s="8"/>
      <c r="K1474" s="8"/>
      <c r="L1474" s="5"/>
      <c r="M1474" s="8"/>
      <c r="N1474" s="8"/>
      <c r="O1474" s="8"/>
      <c r="P1474" s="8"/>
      <c r="Q1474" s="5"/>
      <c r="R1474" s="5"/>
      <c r="S1474" s="5"/>
      <c r="T1474" s="5"/>
      <c r="U1474" s="5"/>
      <c r="V1474" s="10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02"/>
      <c r="AU1474" s="502"/>
      <c r="AV1474" s="606"/>
      <c r="AW1474" s="502"/>
      <c r="AX1474" s="502"/>
      <c r="AY1474" s="502"/>
      <c r="AZ1474" s="502"/>
      <c r="BA1474" s="502"/>
      <c r="BB1474" s="502"/>
      <c r="BC1474" s="502"/>
      <c r="BD1474" s="502"/>
      <c r="BE1474" s="502"/>
      <c r="BF1474" s="502"/>
      <c r="BG1474" s="502"/>
      <c r="BH1474" s="502"/>
      <c r="BI1474" s="502"/>
      <c r="BJ1474" s="502"/>
      <c r="BK1474" s="502"/>
      <c r="BL1474" s="502"/>
      <c r="BM1474" s="502"/>
      <c r="BN1474" s="502"/>
      <c r="BO1474" s="502"/>
      <c r="BP1474" s="5"/>
      <c r="BQ1474" s="5"/>
      <c r="BR1474" s="5"/>
      <c r="BS1474" s="5"/>
      <c r="BT1474" s="5"/>
      <c r="BU1474" s="5"/>
      <c r="BV1474" s="5"/>
      <c r="BW1474" s="5"/>
      <c r="BX1474" s="5"/>
      <c r="BY1474" s="5"/>
      <c r="BZ1474" s="5"/>
      <c r="CA1474" s="5"/>
      <c r="CB1474" s="5"/>
      <c r="CC1474" s="5"/>
      <c r="CD1474" s="5"/>
      <c r="CE1474" s="5"/>
      <c r="CF1474" s="5"/>
      <c r="CG1474" s="5"/>
      <c r="CH1474" s="5"/>
      <c r="CI1474" s="5"/>
      <c r="CJ1474" s="5"/>
      <c r="CK1474" s="5"/>
      <c r="CL1474" s="5"/>
      <c r="CM1474" s="5"/>
      <c r="CN1474" s="5"/>
      <c r="CO1474" s="5"/>
      <c r="CP1474" s="5"/>
      <c r="CQ1474" s="5"/>
      <c r="CR1474" s="5"/>
      <c r="CS1474" s="5"/>
      <c r="CT1474" s="5"/>
      <c r="CU1474" s="5"/>
      <c r="CV1474" s="5"/>
      <c r="CW1474" s="5"/>
      <c r="CX1474" s="5"/>
      <c r="CY1474" s="5"/>
      <c r="CZ1474" s="5"/>
      <c r="DA1474" s="5"/>
      <c r="DB1474" s="5"/>
      <c r="DC1474" s="5"/>
      <c r="DD1474" s="5"/>
      <c r="DE1474" s="5"/>
      <c r="DF1474" s="5"/>
      <c r="DG1474" s="5"/>
      <c r="DH1474" s="5"/>
      <c r="DI1474" s="5"/>
      <c r="DJ1474" s="5"/>
      <c r="DK1474" s="5"/>
      <c r="DL1474" s="5"/>
      <c r="DM1474" s="5"/>
      <c r="DN1474" s="5"/>
      <c r="DO1474" s="5"/>
      <c r="DP1474" s="5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  <c r="GV1474" s="1"/>
      <c r="GW1474" s="1"/>
      <c r="GX1474" s="1"/>
      <c r="GY1474" s="1"/>
      <c r="GZ1474" s="1"/>
      <c r="HA1474" s="1"/>
      <c r="HB1474" s="1"/>
      <c r="HC1474" s="1"/>
      <c r="HD1474" s="1"/>
      <c r="HE1474" s="1"/>
      <c r="HF1474" s="1"/>
      <c r="HG1474" s="1"/>
      <c r="HH1474" s="1"/>
      <c r="HI1474" s="1"/>
      <c r="HJ1474" s="1"/>
      <c r="HK1474" s="1"/>
      <c r="HL1474" s="1"/>
      <c r="HM1474" s="1"/>
      <c r="HN1474" s="1"/>
      <c r="HO1474" s="1"/>
      <c r="HP1474" s="1"/>
      <c r="HQ1474" s="1"/>
      <c r="HR1474" s="1"/>
      <c r="HS1474" s="1"/>
      <c r="HT1474" s="1"/>
      <c r="HU1474" s="1"/>
      <c r="HV1474" s="1"/>
      <c r="HW1474" s="1"/>
      <c r="HX1474" s="1"/>
      <c r="HY1474" s="1"/>
      <c r="HZ1474" s="1"/>
      <c r="IA1474" s="1"/>
      <c r="IB1474" s="1"/>
      <c r="IC1474" s="1"/>
      <c r="ID1474" s="1"/>
      <c r="IE1474" s="1"/>
      <c r="IF1474" s="1"/>
      <c r="IG1474" s="1"/>
      <c r="IH1474" s="1"/>
      <c r="II1474" s="1"/>
      <c r="IJ1474" s="1"/>
      <c r="IK1474" s="1"/>
      <c r="IL1474" s="1"/>
      <c r="IM1474" s="1"/>
      <c r="IN1474" s="1"/>
      <c r="IO1474" s="1"/>
      <c r="IP1474" s="1"/>
      <c r="IQ1474" s="1"/>
      <c r="IR1474" s="1"/>
      <c r="IS1474" s="1"/>
      <c r="IT1474" s="1"/>
      <c r="IU1474" s="1"/>
      <c r="IV1474" s="1"/>
      <c r="IW1474" s="1"/>
      <c r="IX1474" s="1"/>
      <c r="IY1474" s="1"/>
      <c r="IZ1474" s="1"/>
      <c r="JA1474" s="1"/>
      <c r="JB1474" s="1"/>
      <c r="JC1474" s="1"/>
      <c r="JD1474" s="1"/>
    </row>
    <row r="1475" s="504" customFormat="true" ht="12.75" hidden="false" customHeight="true" outlineLevel="0" collapsed="false">
      <c r="A1475" s="5"/>
      <c r="B1475" s="5"/>
      <c r="C1475" s="5"/>
      <c r="D1475" s="8"/>
      <c r="E1475" s="8"/>
      <c r="F1475" s="8"/>
      <c r="G1475" s="5"/>
      <c r="H1475" s="5"/>
      <c r="I1475" s="5"/>
      <c r="J1475" s="8"/>
      <c r="K1475" s="8"/>
      <c r="L1475" s="5"/>
      <c r="M1475" s="8"/>
      <c r="N1475" s="8"/>
      <c r="O1475" s="8"/>
      <c r="P1475" s="8"/>
      <c r="Q1475" s="5"/>
      <c r="R1475" s="5"/>
      <c r="S1475" s="5"/>
      <c r="T1475" s="5"/>
      <c r="U1475" s="5"/>
      <c r="V1475" s="10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02"/>
      <c r="AU1475" s="502"/>
      <c r="AV1475" s="606"/>
      <c r="AW1475" s="502"/>
      <c r="AX1475" s="502"/>
      <c r="AY1475" s="502"/>
      <c r="AZ1475" s="502"/>
      <c r="BA1475" s="502"/>
      <c r="BB1475" s="502"/>
      <c r="BC1475" s="502"/>
      <c r="BD1475" s="502"/>
      <c r="BE1475" s="502"/>
      <c r="BF1475" s="502"/>
      <c r="BG1475" s="502"/>
      <c r="BH1475" s="502"/>
      <c r="BI1475" s="502"/>
      <c r="BJ1475" s="502"/>
      <c r="BK1475" s="502"/>
      <c r="BL1475" s="502"/>
      <c r="BM1475" s="502"/>
      <c r="BN1475" s="502"/>
      <c r="BO1475" s="502"/>
      <c r="BP1475" s="5"/>
      <c r="BQ1475" s="5"/>
      <c r="BR1475" s="5"/>
      <c r="BS1475" s="5"/>
      <c r="BT1475" s="5"/>
      <c r="BU1475" s="5"/>
      <c r="BV1475" s="5"/>
      <c r="BW1475" s="5"/>
      <c r="BX1475" s="5"/>
      <c r="BY1475" s="5"/>
      <c r="BZ1475" s="5"/>
      <c r="CA1475" s="5"/>
      <c r="CB1475" s="5"/>
      <c r="CC1475" s="5"/>
      <c r="CD1475" s="5"/>
      <c r="CE1475" s="5"/>
      <c r="CF1475" s="5"/>
      <c r="CG1475" s="5"/>
      <c r="CH1475" s="5"/>
      <c r="CI1475" s="5"/>
      <c r="CJ1475" s="5"/>
      <c r="CK1475" s="5"/>
      <c r="CL1475" s="5"/>
      <c r="CM1475" s="5"/>
      <c r="CN1475" s="5"/>
      <c r="CO1475" s="5"/>
      <c r="CP1475" s="5"/>
      <c r="CQ1475" s="5"/>
      <c r="CR1475" s="5"/>
      <c r="CS1475" s="5"/>
      <c r="CT1475" s="5"/>
      <c r="CU1475" s="5"/>
      <c r="CV1475" s="5"/>
      <c r="CW1475" s="5"/>
      <c r="CX1475" s="5"/>
      <c r="CY1475" s="5"/>
      <c r="CZ1475" s="5"/>
      <c r="DA1475" s="5"/>
      <c r="DB1475" s="5"/>
      <c r="DC1475" s="5"/>
      <c r="DD1475" s="5"/>
      <c r="DE1475" s="5"/>
      <c r="DF1475" s="5"/>
      <c r="DG1475" s="5"/>
      <c r="DH1475" s="5"/>
      <c r="DI1475" s="5"/>
      <c r="DJ1475" s="5"/>
      <c r="DK1475" s="5"/>
      <c r="DL1475" s="5"/>
      <c r="DM1475" s="5"/>
      <c r="DN1475" s="5"/>
      <c r="DO1475" s="5"/>
      <c r="DP1475" s="5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  <c r="GV1475" s="1"/>
      <c r="GW1475" s="1"/>
      <c r="GX1475" s="1"/>
      <c r="GY1475" s="1"/>
      <c r="GZ1475" s="1"/>
      <c r="HA1475" s="1"/>
      <c r="HB1475" s="1"/>
      <c r="HC1475" s="1"/>
      <c r="HD1475" s="1"/>
      <c r="HE1475" s="1"/>
      <c r="HF1475" s="1"/>
      <c r="HG1475" s="1"/>
      <c r="HH1475" s="1"/>
      <c r="HI1475" s="1"/>
      <c r="HJ1475" s="1"/>
      <c r="HK1475" s="1"/>
      <c r="HL1475" s="1"/>
      <c r="HM1475" s="1"/>
      <c r="HN1475" s="1"/>
      <c r="HO1475" s="1"/>
      <c r="HP1475" s="1"/>
      <c r="HQ1475" s="1"/>
      <c r="HR1475" s="1"/>
      <c r="HS1475" s="1"/>
      <c r="HT1475" s="1"/>
      <c r="HU1475" s="1"/>
      <c r="HV1475" s="1"/>
      <c r="HW1475" s="1"/>
      <c r="HX1475" s="1"/>
      <c r="HY1475" s="1"/>
      <c r="HZ1475" s="1"/>
      <c r="IA1475" s="1"/>
      <c r="IB1475" s="1"/>
      <c r="IC1475" s="1"/>
      <c r="ID1475" s="1"/>
      <c r="IE1475" s="1"/>
      <c r="IF1475" s="1"/>
      <c r="IG1475" s="1"/>
      <c r="IH1475" s="1"/>
      <c r="II1475" s="1"/>
      <c r="IJ1475" s="1"/>
      <c r="IK1475" s="1"/>
      <c r="IL1475" s="1"/>
      <c r="IM1475" s="1"/>
      <c r="IN1475" s="1"/>
      <c r="IO1475" s="1"/>
      <c r="IP1475" s="1"/>
      <c r="IQ1475" s="1"/>
      <c r="IR1475" s="1"/>
      <c r="IS1475" s="1"/>
      <c r="IT1475" s="1"/>
      <c r="IU1475" s="1"/>
      <c r="IV1475" s="1"/>
      <c r="IW1475" s="1"/>
      <c r="IX1475" s="1"/>
      <c r="IY1475" s="1"/>
      <c r="IZ1475" s="1"/>
      <c r="JA1475" s="1"/>
      <c r="JB1475" s="1"/>
      <c r="JC1475" s="1"/>
      <c r="JD1475" s="1"/>
    </row>
    <row r="1476" s="504" customFormat="true" ht="12.75" hidden="false" customHeight="true" outlineLevel="0" collapsed="false">
      <c r="A1476" s="5"/>
      <c r="B1476" s="5"/>
      <c r="C1476" s="5"/>
      <c r="D1476" s="8"/>
      <c r="E1476" s="8"/>
      <c r="F1476" s="8"/>
      <c r="G1476" s="5"/>
      <c r="H1476" s="5"/>
      <c r="I1476" s="5"/>
      <c r="J1476" s="8"/>
      <c r="K1476" s="8"/>
      <c r="L1476" s="5"/>
      <c r="M1476" s="8"/>
      <c r="N1476" s="8"/>
      <c r="O1476" s="8"/>
      <c r="P1476" s="8"/>
      <c r="Q1476" s="5"/>
      <c r="R1476" s="5"/>
      <c r="S1476" s="5"/>
      <c r="T1476" s="5"/>
      <c r="U1476" s="5"/>
      <c r="V1476" s="10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02"/>
      <c r="AU1476" s="502"/>
      <c r="AV1476" s="606"/>
      <c r="AW1476" s="502"/>
      <c r="AX1476" s="502"/>
      <c r="AY1476" s="502"/>
      <c r="AZ1476" s="502"/>
      <c r="BA1476" s="502"/>
      <c r="BB1476" s="502"/>
      <c r="BC1476" s="502"/>
      <c r="BD1476" s="502"/>
      <c r="BE1476" s="502"/>
      <c r="BF1476" s="502"/>
      <c r="BG1476" s="502"/>
      <c r="BH1476" s="502"/>
      <c r="BI1476" s="502"/>
      <c r="BJ1476" s="502"/>
      <c r="BK1476" s="502"/>
      <c r="BL1476" s="502"/>
      <c r="BM1476" s="502"/>
      <c r="BN1476" s="502"/>
      <c r="BO1476" s="502"/>
      <c r="BP1476" s="5"/>
      <c r="BQ1476" s="5"/>
      <c r="BR1476" s="5"/>
      <c r="BS1476" s="5"/>
      <c r="BT1476" s="5"/>
      <c r="BU1476" s="5"/>
      <c r="BV1476" s="5"/>
      <c r="BW1476" s="5"/>
      <c r="BX1476" s="5"/>
      <c r="BY1476" s="5"/>
      <c r="BZ1476" s="5"/>
      <c r="CA1476" s="5"/>
      <c r="CB1476" s="5"/>
      <c r="CC1476" s="5"/>
      <c r="CD1476" s="5"/>
      <c r="CE1476" s="5"/>
      <c r="CF1476" s="5"/>
      <c r="CG1476" s="5"/>
      <c r="CH1476" s="5"/>
      <c r="CI1476" s="5"/>
      <c r="CJ1476" s="5"/>
      <c r="CK1476" s="5"/>
      <c r="CL1476" s="5"/>
      <c r="CM1476" s="5"/>
      <c r="CN1476" s="5"/>
      <c r="CO1476" s="5"/>
      <c r="CP1476" s="5"/>
      <c r="CQ1476" s="5"/>
      <c r="CR1476" s="5"/>
      <c r="CS1476" s="5"/>
      <c r="CT1476" s="5"/>
      <c r="CU1476" s="5"/>
      <c r="CV1476" s="5"/>
      <c r="CW1476" s="5"/>
      <c r="CX1476" s="5"/>
      <c r="CY1476" s="5"/>
      <c r="CZ1476" s="5"/>
      <c r="DA1476" s="5"/>
      <c r="DB1476" s="5"/>
      <c r="DC1476" s="5"/>
      <c r="DD1476" s="5"/>
      <c r="DE1476" s="5"/>
      <c r="DF1476" s="5"/>
      <c r="DG1476" s="5"/>
      <c r="DH1476" s="5"/>
      <c r="DI1476" s="5"/>
      <c r="DJ1476" s="5"/>
      <c r="DK1476" s="5"/>
      <c r="DL1476" s="5"/>
      <c r="DM1476" s="5"/>
      <c r="DN1476" s="5"/>
      <c r="DO1476" s="5"/>
      <c r="DP1476" s="5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  <c r="GV1476" s="1"/>
      <c r="GW1476" s="1"/>
      <c r="GX1476" s="1"/>
      <c r="GY1476" s="1"/>
      <c r="GZ1476" s="1"/>
      <c r="HA1476" s="1"/>
      <c r="HB1476" s="1"/>
      <c r="HC1476" s="1"/>
      <c r="HD1476" s="1"/>
      <c r="HE1476" s="1"/>
      <c r="HF1476" s="1"/>
      <c r="HG1476" s="1"/>
      <c r="HH1476" s="1"/>
      <c r="HI1476" s="1"/>
      <c r="HJ1476" s="1"/>
      <c r="HK1476" s="1"/>
      <c r="HL1476" s="1"/>
      <c r="HM1476" s="1"/>
      <c r="HN1476" s="1"/>
      <c r="HO1476" s="1"/>
      <c r="HP1476" s="1"/>
      <c r="HQ1476" s="1"/>
      <c r="HR1476" s="1"/>
      <c r="HS1476" s="1"/>
      <c r="HT1476" s="1"/>
      <c r="HU1476" s="1"/>
      <c r="HV1476" s="1"/>
      <c r="HW1476" s="1"/>
      <c r="HX1476" s="1"/>
      <c r="HY1476" s="1"/>
      <c r="HZ1476" s="1"/>
      <c r="IA1476" s="1"/>
      <c r="IB1476" s="1"/>
      <c r="IC1476" s="1"/>
      <c r="ID1476" s="1"/>
      <c r="IE1476" s="1"/>
      <c r="IF1476" s="1"/>
      <c r="IG1476" s="1"/>
      <c r="IH1476" s="1"/>
      <c r="II1476" s="1"/>
      <c r="IJ1476" s="1"/>
      <c r="IK1476" s="1"/>
      <c r="IL1476" s="1"/>
      <c r="IM1476" s="1"/>
      <c r="IN1476" s="1"/>
      <c r="IO1476" s="1"/>
      <c r="IP1476" s="1"/>
      <c r="IQ1476" s="1"/>
      <c r="IR1476" s="1"/>
      <c r="IS1476" s="1"/>
      <c r="IT1476" s="1"/>
      <c r="IU1476" s="1"/>
      <c r="IV1476" s="1"/>
      <c r="IW1476" s="1"/>
      <c r="IX1476" s="1"/>
      <c r="IY1476" s="1"/>
      <c r="IZ1476" s="1"/>
      <c r="JA1476" s="1"/>
      <c r="JB1476" s="1"/>
      <c r="JC1476" s="1"/>
      <c r="JD1476" s="1"/>
    </row>
    <row r="1477" s="504" customFormat="true" ht="12.75" hidden="false" customHeight="true" outlineLevel="0" collapsed="false">
      <c r="A1477" s="5"/>
      <c r="B1477" s="5"/>
      <c r="C1477" s="5"/>
      <c r="D1477" s="8"/>
      <c r="E1477" s="8"/>
      <c r="F1477" s="8"/>
      <c r="G1477" s="5"/>
      <c r="H1477" s="5"/>
      <c r="I1477" s="5"/>
      <c r="J1477" s="8"/>
      <c r="K1477" s="8"/>
      <c r="L1477" s="5"/>
      <c r="M1477" s="8"/>
      <c r="N1477" s="8"/>
      <c r="O1477" s="8"/>
      <c r="P1477" s="8"/>
      <c r="Q1477" s="5"/>
      <c r="R1477" s="5"/>
      <c r="S1477" s="5"/>
      <c r="T1477" s="5"/>
      <c r="U1477" s="5"/>
      <c r="V1477" s="10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02"/>
      <c r="AU1477" s="502"/>
      <c r="AV1477" s="606"/>
      <c r="AW1477" s="502"/>
      <c r="AX1477" s="502"/>
      <c r="AY1477" s="502"/>
      <c r="AZ1477" s="502"/>
      <c r="BA1477" s="502"/>
      <c r="BB1477" s="502"/>
      <c r="BC1477" s="502"/>
      <c r="BD1477" s="502"/>
      <c r="BE1477" s="502"/>
      <c r="BF1477" s="502"/>
      <c r="BG1477" s="502"/>
      <c r="BH1477" s="502"/>
      <c r="BI1477" s="502"/>
      <c r="BJ1477" s="502"/>
      <c r="BK1477" s="502"/>
      <c r="BL1477" s="502"/>
      <c r="BM1477" s="502"/>
      <c r="BN1477" s="502"/>
      <c r="BO1477" s="502"/>
      <c r="BP1477" s="5"/>
      <c r="BQ1477" s="5"/>
      <c r="BR1477" s="5"/>
      <c r="BS1477" s="5"/>
      <c r="BT1477" s="5"/>
      <c r="BU1477" s="5"/>
      <c r="BV1477" s="5"/>
      <c r="BW1477" s="5"/>
      <c r="BX1477" s="5"/>
      <c r="BY1477" s="5"/>
      <c r="BZ1477" s="5"/>
      <c r="CA1477" s="5"/>
      <c r="CB1477" s="5"/>
      <c r="CC1477" s="5"/>
      <c r="CD1477" s="5"/>
      <c r="CE1477" s="5"/>
      <c r="CF1477" s="5"/>
      <c r="CG1477" s="5"/>
      <c r="CH1477" s="5"/>
      <c r="CI1477" s="5"/>
      <c r="CJ1477" s="5"/>
      <c r="CK1477" s="5"/>
      <c r="CL1477" s="5"/>
      <c r="CM1477" s="5"/>
      <c r="CN1477" s="5"/>
      <c r="CO1477" s="5"/>
      <c r="CP1477" s="5"/>
      <c r="CQ1477" s="5"/>
      <c r="CR1477" s="5"/>
      <c r="CS1477" s="5"/>
      <c r="CT1477" s="5"/>
      <c r="CU1477" s="5"/>
      <c r="CV1477" s="5"/>
      <c r="CW1477" s="5"/>
      <c r="CX1477" s="5"/>
      <c r="CY1477" s="5"/>
      <c r="CZ1477" s="5"/>
      <c r="DA1477" s="5"/>
      <c r="DB1477" s="5"/>
      <c r="DC1477" s="5"/>
      <c r="DD1477" s="5"/>
      <c r="DE1477" s="5"/>
      <c r="DF1477" s="5"/>
      <c r="DG1477" s="5"/>
      <c r="DH1477" s="5"/>
      <c r="DI1477" s="5"/>
      <c r="DJ1477" s="5"/>
      <c r="DK1477" s="5"/>
      <c r="DL1477" s="5"/>
      <c r="DM1477" s="5"/>
      <c r="DN1477" s="5"/>
      <c r="DO1477" s="5"/>
      <c r="DP1477" s="5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  <c r="GV1477" s="1"/>
      <c r="GW1477" s="1"/>
      <c r="GX1477" s="1"/>
      <c r="GY1477" s="1"/>
      <c r="GZ1477" s="1"/>
      <c r="HA1477" s="1"/>
      <c r="HB1477" s="1"/>
      <c r="HC1477" s="1"/>
      <c r="HD1477" s="1"/>
      <c r="HE1477" s="1"/>
      <c r="HF1477" s="1"/>
      <c r="HG1477" s="1"/>
      <c r="HH1477" s="1"/>
      <c r="HI1477" s="1"/>
      <c r="HJ1477" s="1"/>
      <c r="HK1477" s="1"/>
      <c r="HL1477" s="1"/>
      <c r="HM1477" s="1"/>
      <c r="HN1477" s="1"/>
      <c r="HO1477" s="1"/>
      <c r="HP1477" s="1"/>
      <c r="HQ1477" s="1"/>
      <c r="HR1477" s="1"/>
      <c r="HS1477" s="1"/>
      <c r="HT1477" s="1"/>
      <c r="HU1477" s="1"/>
      <c r="HV1477" s="1"/>
      <c r="HW1477" s="1"/>
      <c r="HX1477" s="1"/>
      <c r="HY1477" s="1"/>
      <c r="HZ1477" s="1"/>
      <c r="IA1477" s="1"/>
      <c r="IB1477" s="1"/>
      <c r="IC1477" s="1"/>
      <c r="ID1477" s="1"/>
      <c r="IE1477" s="1"/>
      <c r="IF1477" s="1"/>
      <c r="IG1477" s="1"/>
      <c r="IH1477" s="1"/>
      <c r="II1477" s="1"/>
      <c r="IJ1477" s="1"/>
      <c r="IK1477" s="1"/>
      <c r="IL1477" s="1"/>
      <c r="IM1477" s="1"/>
      <c r="IN1477" s="1"/>
      <c r="IO1477" s="1"/>
      <c r="IP1477" s="1"/>
      <c r="IQ1477" s="1"/>
      <c r="IR1477" s="1"/>
      <c r="IS1477" s="1"/>
      <c r="IT1477" s="1"/>
      <c r="IU1477" s="1"/>
      <c r="IV1477" s="1"/>
      <c r="IW1477" s="1"/>
      <c r="IX1477" s="1"/>
      <c r="IY1477" s="1"/>
      <c r="IZ1477" s="1"/>
      <c r="JA1477" s="1"/>
      <c r="JB1477" s="1"/>
      <c r="JC1477" s="1"/>
      <c r="JD1477" s="1"/>
    </row>
    <row r="1478" s="504" customFormat="true" ht="12.75" hidden="false" customHeight="true" outlineLevel="0" collapsed="false">
      <c r="A1478" s="5"/>
      <c r="B1478" s="5"/>
      <c r="C1478" s="5"/>
      <c r="D1478" s="8"/>
      <c r="E1478" s="8"/>
      <c r="F1478" s="8"/>
      <c r="G1478" s="5"/>
      <c r="H1478" s="5"/>
      <c r="I1478" s="5"/>
      <c r="J1478" s="8"/>
      <c r="K1478" s="8"/>
      <c r="L1478" s="5"/>
      <c r="M1478" s="8"/>
      <c r="N1478" s="8"/>
      <c r="O1478" s="8"/>
      <c r="P1478" s="8"/>
      <c r="Q1478" s="5"/>
      <c r="R1478" s="5"/>
      <c r="S1478" s="5"/>
      <c r="T1478" s="5"/>
      <c r="U1478" s="5"/>
      <c r="V1478" s="10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02"/>
      <c r="AU1478" s="502"/>
      <c r="AV1478" s="606"/>
      <c r="AW1478" s="502"/>
      <c r="AX1478" s="502"/>
      <c r="AY1478" s="502"/>
      <c r="AZ1478" s="502"/>
      <c r="BA1478" s="502"/>
      <c r="BB1478" s="502"/>
      <c r="BC1478" s="502"/>
      <c r="BD1478" s="502"/>
      <c r="BE1478" s="502"/>
      <c r="BF1478" s="502"/>
      <c r="BG1478" s="502"/>
      <c r="BH1478" s="502"/>
      <c r="BI1478" s="502"/>
      <c r="BJ1478" s="502"/>
      <c r="BK1478" s="502"/>
      <c r="BL1478" s="502"/>
      <c r="BM1478" s="502"/>
      <c r="BN1478" s="502"/>
      <c r="BO1478" s="502"/>
      <c r="BP1478" s="5"/>
      <c r="BQ1478" s="5"/>
      <c r="BR1478" s="5"/>
      <c r="BS1478" s="5"/>
      <c r="BT1478" s="5"/>
      <c r="BU1478" s="5"/>
      <c r="BV1478" s="5"/>
      <c r="BW1478" s="5"/>
      <c r="BX1478" s="5"/>
      <c r="BY1478" s="5"/>
      <c r="BZ1478" s="5"/>
      <c r="CA1478" s="5"/>
      <c r="CB1478" s="5"/>
      <c r="CC1478" s="5"/>
      <c r="CD1478" s="5"/>
      <c r="CE1478" s="5"/>
      <c r="CF1478" s="5"/>
      <c r="CG1478" s="5"/>
      <c r="CH1478" s="5"/>
      <c r="CI1478" s="5"/>
      <c r="CJ1478" s="5"/>
      <c r="CK1478" s="5"/>
      <c r="CL1478" s="5"/>
      <c r="CM1478" s="5"/>
      <c r="CN1478" s="5"/>
      <c r="CO1478" s="5"/>
      <c r="CP1478" s="5"/>
      <c r="CQ1478" s="5"/>
      <c r="CR1478" s="5"/>
      <c r="CS1478" s="5"/>
      <c r="CT1478" s="5"/>
      <c r="CU1478" s="5"/>
      <c r="CV1478" s="5"/>
      <c r="CW1478" s="5"/>
      <c r="CX1478" s="5"/>
      <c r="CY1478" s="5"/>
      <c r="CZ1478" s="5"/>
      <c r="DA1478" s="5"/>
      <c r="DB1478" s="5"/>
      <c r="DC1478" s="5"/>
      <c r="DD1478" s="5"/>
      <c r="DE1478" s="5"/>
      <c r="DF1478" s="5"/>
      <c r="DG1478" s="5"/>
      <c r="DH1478" s="5"/>
      <c r="DI1478" s="5"/>
      <c r="DJ1478" s="5"/>
      <c r="DK1478" s="5"/>
      <c r="DL1478" s="5"/>
      <c r="DM1478" s="5"/>
      <c r="DN1478" s="5"/>
      <c r="DO1478" s="5"/>
      <c r="DP1478" s="5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  <c r="GV1478" s="1"/>
      <c r="GW1478" s="1"/>
      <c r="GX1478" s="1"/>
      <c r="GY1478" s="1"/>
      <c r="GZ1478" s="1"/>
      <c r="HA1478" s="1"/>
      <c r="HB1478" s="1"/>
      <c r="HC1478" s="1"/>
      <c r="HD1478" s="1"/>
      <c r="HE1478" s="1"/>
      <c r="HF1478" s="1"/>
      <c r="HG1478" s="1"/>
      <c r="HH1478" s="1"/>
      <c r="HI1478" s="1"/>
      <c r="HJ1478" s="1"/>
      <c r="HK1478" s="1"/>
      <c r="HL1478" s="1"/>
      <c r="HM1478" s="1"/>
      <c r="HN1478" s="1"/>
      <c r="HO1478" s="1"/>
      <c r="HP1478" s="1"/>
      <c r="HQ1478" s="1"/>
      <c r="HR1478" s="1"/>
      <c r="HS1478" s="1"/>
      <c r="HT1478" s="1"/>
      <c r="HU1478" s="1"/>
      <c r="HV1478" s="1"/>
      <c r="HW1478" s="1"/>
      <c r="HX1478" s="1"/>
      <c r="HY1478" s="1"/>
      <c r="HZ1478" s="1"/>
      <c r="IA1478" s="1"/>
      <c r="IB1478" s="1"/>
      <c r="IC1478" s="1"/>
      <c r="ID1478" s="1"/>
      <c r="IE1478" s="1"/>
      <c r="IF1478" s="1"/>
      <c r="IG1478" s="1"/>
      <c r="IH1478" s="1"/>
      <c r="II1478" s="1"/>
      <c r="IJ1478" s="1"/>
      <c r="IK1478" s="1"/>
      <c r="IL1478" s="1"/>
      <c r="IM1478" s="1"/>
      <c r="IN1478" s="1"/>
      <c r="IO1478" s="1"/>
      <c r="IP1478" s="1"/>
      <c r="IQ1478" s="1"/>
      <c r="IR1478" s="1"/>
      <c r="IS1478" s="1"/>
      <c r="IT1478" s="1"/>
      <c r="IU1478" s="1"/>
      <c r="IV1478" s="1"/>
      <c r="IW1478" s="1"/>
      <c r="IX1478" s="1"/>
      <c r="IY1478" s="1"/>
      <c r="IZ1478" s="1"/>
      <c r="JA1478" s="1"/>
      <c r="JB1478" s="1"/>
      <c r="JC1478" s="1"/>
      <c r="JD1478" s="1"/>
    </row>
    <row r="1479" s="504" customFormat="true" ht="12.75" hidden="false" customHeight="true" outlineLevel="0" collapsed="false">
      <c r="A1479" s="5"/>
      <c r="B1479" s="5"/>
      <c r="C1479" s="5"/>
      <c r="D1479" s="8"/>
      <c r="E1479" s="8"/>
      <c r="F1479" s="8"/>
      <c r="G1479" s="5"/>
      <c r="H1479" s="5"/>
      <c r="I1479" s="5"/>
      <c r="J1479" s="8"/>
      <c r="K1479" s="8"/>
      <c r="L1479" s="5"/>
      <c r="M1479" s="8"/>
      <c r="N1479" s="8"/>
      <c r="O1479" s="8"/>
      <c r="P1479" s="8"/>
      <c r="Q1479" s="5"/>
      <c r="R1479" s="5"/>
      <c r="S1479" s="5"/>
      <c r="T1479" s="5"/>
      <c r="U1479" s="5"/>
      <c r="V1479" s="10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02"/>
      <c r="AU1479" s="502"/>
      <c r="AV1479" s="606"/>
      <c r="AW1479" s="502"/>
      <c r="AX1479" s="502"/>
      <c r="AY1479" s="502"/>
      <c r="AZ1479" s="502"/>
      <c r="BA1479" s="502"/>
      <c r="BB1479" s="502"/>
      <c r="BC1479" s="502"/>
      <c r="BD1479" s="502"/>
      <c r="BE1479" s="502"/>
      <c r="BF1479" s="502"/>
      <c r="BG1479" s="502"/>
      <c r="BH1479" s="502"/>
      <c r="BI1479" s="502"/>
      <c r="BJ1479" s="502"/>
      <c r="BK1479" s="502"/>
      <c r="BL1479" s="502"/>
      <c r="BM1479" s="502"/>
      <c r="BN1479" s="502"/>
      <c r="BO1479" s="502"/>
      <c r="BP1479" s="5"/>
      <c r="BQ1479" s="5"/>
      <c r="BR1479" s="5"/>
      <c r="BS1479" s="5"/>
      <c r="BT1479" s="5"/>
      <c r="BU1479" s="5"/>
      <c r="BV1479" s="5"/>
      <c r="BW1479" s="5"/>
      <c r="BX1479" s="5"/>
      <c r="BY1479" s="5"/>
      <c r="BZ1479" s="5"/>
      <c r="CA1479" s="5"/>
      <c r="CB1479" s="5"/>
      <c r="CC1479" s="5"/>
      <c r="CD1479" s="5"/>
      <c r="CE1479" s="5"/>
      <c r="CF1479" s="5"/>
      <c r="CG1479" s="5"/>
      <c r="CH1479" s="5"/>
      <c r="CI1479" s="5"/>
      <c r="CJ1479" s="5"/>
      <c r="CK1479" s="5"/>
      <c r="CL1479" s="5"/>
      <c r="CM1479" s="5"/>
      <c r="CN1479" s="5"/>
      <c r="CO1479" s="5"/>
      <c r="CP1479" s="5"/>
      <c r="CQ1479" s="5"/>
      <c r="CR1479" s="5"/>
      <c r="CS1479" s="5"/>
      <c r="CT1479" s="5"/>
      <c r="CU1479" s="5"/>
      <c r="CV1479" s="5"/>
      <c r="CW1479" s="5"/>
      <c r="CX1479" s="5"/>
      <c r="CY1479" s="5"/>
      <c r="CZ1479" s="5"/>
      <c r="DA1479" s="5"/>
      <c r="DB1479" s="5"/>
      <c r="DC1479" s="5"/>
      <c r="DD1479" s="5"/>
      <c r="DE1479" s="5"/>
      <c r="DF1479" s="5"/>
      <c r="DG1479" s="5"/>
      <c r="DH1479" s="5"/>
      <c r="DI1479" s="5"/>
      <c r="DJ1479" s="5"/>
      <c r="DK1479" s="5"/>
      <c r="DL1479" s="5"/>
      <c r="DM1479" s="5"/>
      <c r="DN1479" s="5"/>
      <c r="DO1479" s="5"/>
      <c r="DP1479" s="5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  <c r="GV1479" s="1"/>
      <c r="GW1479" s="1"/>
      <c r="GX1479" s="1"/>
      <c r="GY1479" s="1"/>
      <c r="GZ1479" s="1"/>
      <c r="HA1479" s="1"/>
      <c r="HB1479" s="1"/>
      <c r="HC1479" s="1"/>
      <c r="HD1479" s="1"/>
      <c r="HE1479" s="1"/>
      <c r="HF1479" s="1"/>
      <c r="HG1479" s="1"/>
      <c r="HH1479" s="1"/>
      <c r="HI1479" s="1"/>
      <c r="HJ1479" s="1"/>
      <c r="HK1479" s="1"/>
      <c r="HL1479" s="1"/>
      <c r="HM1479" s="1"/>
      <c r="HN1479" s="1"/>
      <c r="HO1479" s="1"/>
      <c r="HP1479" s="1"/>
      <c r="HQ1479" s="1"/>
      <c r="HR1479" s="1"/>
      <c r="HS1479" s="1"/>
      <c r="HT1479" s="1"/>
      <c r="HU1479" s="1"/>
      <c r="HV1479" s="1"/>
      <c r="HW1479" s="1"/>
      <c r="HX1479" s="1"/>
      <c r="HY1479" s="1"/>
      <c r="HZ1479" s="1"/>
      <c r="IA1479" s="1"/>
      <c r="IB1479" s="1"/>
      <c r="IC1479" s="1"/>
      <c r="ID1479" s="1"/>
      <c r="IE1479" s="1"/>
      <c r="IF1479" s="1"/>
      <c r="IG1479" s="1"/>
      <c r="IH1479" s="1"/>
      <c r="II1479" s="1"/>
      <c r="IJ1479" s="1"/>
      <c r="IK1479" s="1"/>
      <c r="IL1479" s="1"/>
      <c r="IM1479" s="1"/>
      <c r="IN1479" s="1"/>
      <c r="IO1479" s="1"/>
      <c r="IP1479" s="1"/>
      <c r="IQ1479" s="1"/>
      <c r="IR1479" s="1"/>
      <c r="IS1479" s="1"/>
      <c r="IT1479" s="1"/>
      <c r="IU1479" s="1"/>
      <c r="IV1479" s="1"/>
      <c r="IW1479" s="1"/>
      <c r="IX1479" s="1"/>
      <c r="IY1479" s="1"/>
      <c r="IZ1479" s="1"/>
      <c r="JA1479" s="1"/>
      <c r="JB1479" s="1"/>
      <c r="JC1479" s="1"/>
      <c r="JD1479" s="1"/>
    </row>
    <row r="1480" s="504" customFormat="true" ht="12.75" hidden="false" customHeight="true" outlineLevel="0" collapsed="false">
      <c r="A1480" s="5"/>
      <c r="B1480" s="5"/>
      <c r="C1480" s="5"/>
      <c r="D1480" s="8"/>
      <c r="E1480" s="8"/>
      <c r="F1480" s="8"/>
      <c r="G1480" s="5"/>
      <c r="H1480" s="5"/>
      <c r="I1480" s="5"/>
      <c r="J1480" s="8"/>
      <c r="K1480" s="8"/>
      <c r="L1480" s="5"/>
      <c r="M1480" s="8"/>
      <c r="N1480" s="8"/>
      <c r="O1480" s="8"/>
      <c r="P1480" s="8"/>
      <c r="Q1480" s="5"/>
      <c r="R1480" s="5"/>
      <c r="S1480" s="5"/>
      <c r="T1480" s="5"/>
      <c r="U1480" s="5"/>
      <c r="V1480" s="10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02"/>
      <c r="AU1480" s="502"/>
      <c r="AV1480" s="606"/>
      <c r="AW1480" s="502"/>
      <c r="AX1480" s="502"/>
      <c r="AY1480" s="502"/>
      <c r="AZ1480" s="502"/>
      <c r="BA1480" s="502"/>
      <c r="BB1480" s="502"/>
      <c r="BC1480" s="502"/>
      <c r="BD1480" s="502"/>
      <c r="BE1480" s="502"/>
      <c r="BF1480" s="502"/>
      <c r="BG1480" s="502"/>
      <c r="BH1480" s="502"/>
      <c r="BI1480" s="502"/>
      <c r="BJ1480" s="502"/>
      <c r="BK1480" s="502"/>
      <c r="BL1480" s="502"/>
      <c r="BM1480" s="502"/>
      <c r="BN1480" s="502"/>
      <c r="BO1480" s="502"/>
      <c r="BP1480" s="5"/>
      <c r="BQ1480" s="5"/>
      <c r="BR1480" s="5"/>
      <c r="BS1480" s="5"/>
      <c r="BT1480" s="5"/>
      <c r="BU1480" s="5"/>
      <c r="BV1480" s="5"/>
      <c r="BW1480" s="5"/>
      <c r="BX1480" s="5"/>
      <c r="BY1480" s="5"/>
      <c r="BZ1480" s="5"/>
      <c r="CA1480" s="5"/>
      <c r="CB1480" s="5"/>
      <c r="CC1480" s="5"/>
      <c r="CD1480" s="5"/>
      <c r="CE1480" s="5"/>
      <c r="CF1480" s="5"/>
      <c r="CG1480" s="5"/>
      <c r="CH1480" s="5"/>
      <c r="CI1480" s="5"/>
      <c r="CJ1480" s="5"/>
      <c r="CK1480" s="5"/>
      <c r="CL1480" s="5"/>
      <c r="CM1480" s="5"/>
      <c r="CN1480" s="5"/>
      <c r="CO1480" s="5"/>
      <c r="CP1480" s="5"/>
      <c r="CQ1480" s="5"/>
      <c r="CR1480" s="5"/>
      <c r="CS1480" s="5"/>
      <c r="CT1480" s="5"/>
      <c r="CU1480" s="5"/>
      <c r="CV1480" s="5"/>
      <c r="CW1480" s="5"/>
      <c r="CX1480" s="5"/>
      <c r="CY1480" s="5"/>
      <c r="CZ1480" s="5"/>
      <c r="DA1480" s="5"/>
      <c r="DB1480" s="5"/>
      <c r="DC1480" s="5"/>
      <c r="DD1480" s="5"/>
      <c r="DE1480" s="5"/>
      <c r="DF1480" s="5"/>
      <c r="DG1480" s="5"/>
      <c r="DH1480" s="5"/>
      <c r="DI1480" s="5"/>
      <c r="DJ1480" s="5"/>
      <c r="DK1480" s="5"/>
      <c r="DL1480" s="5"/>
      <c r="DM1480" s="5"/>
      <c r="DN1480" s="5"/>
      <c r="DO1480" s="5"/>
      <c r="DP1480" s="5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  <c r="GV1480" s="1"/>
      <c r="GW1480" s="1"/>
      <c r="GX1480" s="1"/>
      <c r="GY1480" s="1"/>
      <c r="GZ1480" s="1"/>
      <c r="HA1480" s="1"/>
      <c r="HB1480" s="1"/>
      <c r="HC1480" s="1"/>
      <c r="HD1480" s="1"/>
      <c r="HE1480" s="1"/>
      <c r="HF1480" s="1"/>
      <c r="HG1480" s="1"/>
      <c r="HH1480" s="1"/>
      <c r="HI1480" s="1"/>
      <c r="HJ1480" s="1"/>
      <c r="HK1480" s="1"/>
      <c r="HL1480" s="1"/>
      <c r="HM1480" s="1"/>
      <c r="HN1480" s="1"/>
      <c r="HO1480" s="1"/>
      <c r="HP1480" s="1"/>
      <c r="HQ1480" s="1"/>
      <c r="HR1480" s="1"/>
      <c r="HS1480" s="1"/>
      <c r="HT1480" s="1"/>
      <c r="HU1480" s="1"/>
      <c r="HV1480" s="1"/>
      <c r="HW1480" s="1"/>
      <c r="HX1480" s="1"/>
      <c r="HY1480" s="1"/>
      <c r="HZ1480" s="1"/>
      <c r="IA1480" s="1"/>
      <c r="IB1480" s="1"/>
      <c r="IC1480" s="1"/>
      <c r="ID1480" s="1"/>
      <c r="IE1480" s="1"/>
      <c r="IF1480" s="1"/>
      <c r="IG1480" s="1"/>
      <c r="IH1480" s="1"/>
      <c r="II1480" s="1"/>
      <c r="IJ1480" s="1"/>
      <c r="IK1480" s="1"/>
      <c r="IL1480" s="1"/>
      <c r="IM1480" s="1"/>
      <c r="IN1480" s="1"/>
      <c r="IO1480" s="1"/>
      <c r="IP1480" s="1"/>
      <c r="IQ1480" s="1"/>
      <c r="IR1480" s="1"/>
      <c r="IS1480" s="1"/>
      <c r="IT1480" s="1"/>
      <c r="IU1480" s="1"/>
      <c r="IV1480" s="1"/>
      <c r="IW1480" s="1"/>
      <c r="IX1480" s="1"/>
      <c r="IY1480" s="1"/>
      <c r="IZ1480" s="1"/>
      <c r="JA1480" s="1"/>
      <c r="JB1480" s="1"/>
      <c r="JC1480" s="1"/>
      <c r="JD1480" s="1"/>
    </row>
    <row r="1481" s="504" customFormat="true" ht="12.75" hidden="false" customHeight="true" outlineLevel="0" collapsed="false">
      <c r="A1481" s="5"/>
      <c r="B1481" s="5"/>
      <c r="C1481" s="5"/>
      <c r="D1481" s="8"/>
      <c r="E1481" s="8"/>
      <c r="F1481" s="8"/>
      <c r="G1481" s="5"/>
      <c r="H1481" s="5"/>
      <c r="I1481" s="5"/>
      <c r="J1481" s="8"/>
      <c r="K1481" s="8"/>
      <c r="L1481" s="5"/>
      <c r="M1481" s="8"/>
      <c r="N1481" s="8"/>
      <c r="O1481" s="8"/>
      <c r="P1481" s="8"/>
      <c r="Q1481" s="5"/>
      <c r="R1481" s="5"/>
      <c r="S1481" s="5"/>
      <c r="T1481" s="5"/>
      <c r="U1481" s="5"/>
      <c r="V1481" s="10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02"/>
      <c r="AU1481" s="502"/>
      <c r="AV1481" s="606"/>
      <c r="AW1481" s="502"/>
      <c r="AX1481" s="502"/>
      <c r="AY1481" s="502"/>
      <c r="AZ1481" s="502"/>
      <c r="BA1481" s="502"/>
      <c r="BB1481" s="502"/>
      <c r="BC1481" s="502"/>
      <c r="BD1481" s="502"/>
      <c r="BE1481" s="502"/>
      <c r="BF1481" s="502"/>
      <c r="BG1481" s="502"/>
      <c r="BH1481" s="502"/>
      <c r="BI1481" s="502"/>
      <c r="BJ1481" s="502"/>
      <c r="BK1481" s="502"/>
      <c r="BL1481" s="502"/>
      <c r="BM1481" s="502"/>
      <c r="BN1481" s="502"/>
      <c r="BO1481" s="502"/>
      <c r="BP1481" s="5"/>
      <c r="BQ1481" s="5"/>
      <c r="BR1481" s="5"/>
      <c r="BS1481" s="5"/>
      <c r="BT1481" s="5"/>
      <c r="BU1481" s="5"/>
      <c r="BV1481" s="5"/>
      <c r="BW1481" s="5"/>
      <c r="BX1481" s="5"/>
      <c r="BY1481" s="5"/>
      <c r="BZ1481" s="5"/>
      <c r="CA1481" s="5"/>
      <c r="CB1481" s="5"/>
      <c r="CC1481" s="5"/>
      <c r="CD1481" s="5"/>
      <c r="CE1481" s="5"/>
      <c r="CF1481" s="5"/>
      <c r="CG1481" s="5"/>
      <c r="CH1481" s="5"/>
      <c r="CI1481" s="5"/>
      <c r="CJ1481" s="5"/>
      <c r="CK1481" s="5"/>
      <c r="CL1481" s="5"/>
      <c r="CM1481" s="5"/>
      <c r="CN1481" s="5"/>
      <c r="CO1481" s="5"/>
      <c r="CP1481" s="5"/>
      <c r="CQ1481" s="5"/>
      <c r="CR1481" s="5"/>
      <c r="CS1481" s="5"/>
      <c r="CT1481" s="5"/>
      <c r="CU1481" s="5"/>
      <c r="CV1481" s="5"/>
      <c r="CW1481" s="5"/>
      <c r="CX1481" s="5"/>
      <c r="CY1481" s="5"/>
      <c r="CZ1481" s="5"/>
      <c r="DA1481" s="5"/>
      <c r="DB1481" s="5"/>
      <c r="DC1481" s="5"/>
      <c r="DD1481" s="5"/>
      <c r="DE1481" s="5"/>
      <c r="DF1481" s="5"/>
      <c r="DG1481" s="5"/>
      <c r="DH1481" s="5"/>
      <c r="DI1481" s="5"/>
      <c r="DJ1481" s="5"/>
      <c r="DK1481" s="5"/>
      <c r="DL1481" s="5"/>
      <c r="DM1481" s="5"/>
      <c r="DN1481" s="5"/>
      <c r="DO1481" s="5"/>
      <c r="DP1481" s="5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  <c r="GV1481" s="1"/>
      <c r="GW1481" s="1"/>
      <c r="GX1481" s="1"/>
      <c r="GY1481" s="1"/>
      <c r="GZ1481" s="1"/>
      <c r="HA1481" s="1"/>
      <c r="HB1481" s="1"/>
      <c r="HC1481" s="1"/>
      <c r="HD1481" s="1"/>
      <c r="HE1481" s="1"/>
      <c r="HF1481" s="1"/>
      <c r="HG1481" s="1"/>
      <c r="HH1481" s="1"/>
      <c r="HI1481" s="1"/>
      <c r="HJ1481" s="1"/>
      <c r="HK1481" s="1"/>
      <c r="HL1481" s="1"/>
      <c r="HM1481" s="1"/>
      <c r="HN1481" s="1"/>
      <c r="HO1481" s="1"/>
      <c r="HP1481" s="1"/>
      <c r="HQ1481" s="1"/>
      <c r="HR1481" s="1"/>
      <c r="HS1481" s="1"/>
      <c r="HT1481" s="1"/>
      <c r="HU1481" s="1"/>
      <c r="HV1481" s="1"/>
      <c r="HW1481" s="1"/>
      <c r="HX1481" s="1"/>
      <c r="HY1481" s="1"/>
      <c r="HZ1481" s="1"/>
      <c r="IA1481" s="1"/>
      <c r="IB1481" s="1"/>
      <c r="IC1481" s="1"/>
      <c r="ID1481" s="1"/>
      <c r="IE1481" s="1"/>
      <c r="IF1481" s="1"/>
      <c r="IG1481" s="1"/>
      <c r="IH1481" s="1"/>
      <c r="II1481" s="1"/>
      <c r="IJ1481" s="1"/>
      <c r="IK1481" s="1"/>
      <c r="IL1481" s="1"/>
      <c r="IM1481" s="1"/>
      <c r="IN1481" s="1"/>
      <c r="IO1481" s="1"/>
      <c r="IP1481" s="1"/>
      <c r="IQ1481" s="1"/>
      <c r="IR1481" s="1"/>
      <c r="IS1481" s="1"/>
      <c r="IT1481" s="1"/>
      <c r="IU1481" s="1"/>
      <c r="IV1481" s="1"/>
      <c r="IW1481" s="1"/>
      <c r="IX1481" s="1"/>
      <c r="IY1481" s="1"/>
      <c r="IZ1481" s="1"/>
      <c r="JA1481" s="1"/>
      <c r="JB1481" s="1"/>
      <c r="JC1481" s="1"/>
      <c r="JD1481" s="1"/>
    </row>
    <row r="1482" s="504" customFormat="true" ht="12.75" hidden="false" customHeight="true" outlineLevel="0" collapsed="false">
      <c r="A1482" s="5"/>
      <c r="B1482" s="5"/>
      <c r="C1482" s="5"/>
      <c r="D1482" s="8"/>
      <c r="E1482" s="8"/>
      <c r="F1482" s="8"/>
      <c r="G1482" s="5"/>
      <c r="H1482" s="5"/>
      <c r="I1482" s="5"/>
      <c r="J1482" s="8"/>
      <c r="K1482" s="8"/>
      <c r="L1482" s="5"/>
      <c r="M1482" s="8"/>
      <c r="N1482" s="8"/>
      <c r="O1482" s="8"/>
      <c r="P1482" s="8"/>
      <c r="Q1482" s="5"/>
      <c r="R1482" s="5"/>
      <c r="S1482" s="5"/>
      <c r="T1482" s="5"/>
      <c r="U1482" s="5"/>
      <c r="V1482" s="10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02"/>
      <c r="AU1482" s="502"/>
      <c r="AV1482" s="606"/>
      <c r="AW1482" s="502"/>
      <c r="AX1482" s="502"/>
      <c r="AY1482" s="502"/>
      <c r="AZ1482" s="502"/>
      <c r="BA1482" s="502"/>
      <c r="BB1482" s="502"/>
      <c r="BC1482" s="502"/>
      <c r="BD1482" s="502"/>
      <c r="BE1482" s="502"/>
      <c r="BF1482" s="502"/>
      <c r="BG1482" s="502"/>
      <c r="BH1482" s="502"/>
      <c r="BI1482" s="502"/>
      <c r="BJ1482" s="502"/>
      <c r="BK1482" s="502"/>
      <c r="BL1482" s="502"/>
      <c r="BM1482" s="502"/>
      <c r="BN1482" s="502"/>
      <c r="BO1482" s="502"/>
      <c r="BP1482" s="5"/>
      <c r="BQ1482" s="5"/>
      <c r="BR1482" s="5"/>
      <c r="BS1482" s="5"/>
      <c r="BT1482" s="5"/>
      <c r="BU1482" s="5"/>
      <c r="BV1482" s="5"/>
      <c r="BW1482" s="5"/>
      <c r="BX1482" s="5"/>
      <c r="BY1482" s="5"/>
      <c r="BZ1482" s="5"/>
      <c r="CA1482" s="5"/>
      <c r="CB1482" s="5"/>
      <c r="CC1482" s="5"/>
      <c r="CD1482" s="5"/>
      <c r="CE1482" s="5"/>
      <c r="CF1482" s="5"/>
      <c r="CG1482" s="5"/>
      <c r="CH1482" s="5"/>
      <c r="CI1482" s="5"/>
      <c r="CJ1482" s="5"/>
      <c r="CK1482" s="5"/>
      <c r="CL1482" s="5"/>
      <c r="CM1482" s="5"/>
      <c r="CN1482" s="5"/>
      <c r="CO1482" s="5"/>
      <c r="CP1482" s="5"/>
      <c r="CQ1482" s="5"/>
      <c r="CR1482" s="5"/>
      <c r="CS1482" s="5"/>
      <c r="CT1482" s="5"/>
      <c r="CU1482" s="5"/>
      <c r="CV1482" s="5"/>
      <c r="CW1482" s="5"/>
      <c r="CX1482" s="5"/>
      <c r="CY1482" s="5"/>
      <c r="CZ1482" s="5"/>
      <c r="DA1482" s="5"/>
      <c r="DB1482" s="5"/>
      <c r="DC1482" s="5"/>
      <c r="DD1482" s="5"/>
      <c r="DE1482" s="5"/>
      <c r="DF1482" s="5"/>
      <c r="DG1482" s="5"/>
      <c r="DH1482" s="5"/>
      <c r="DI1482" s="5"/>
      <c r="DJ1482" s="5"/>
      <c r="DK1482" s="5"/>
      <c r="DL1482" s="5"/>
      <c r="DM1482" s="5"/>
      <c r="DN1482" s="5"/>
      <c r="DO1482" s="5"/>
      <c r="DP1482" s="5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  <c r="GV1482" s="1"/>
      <c r="GW1482" s="1"/>
      <c r="GX1482" s="1"/>
      <c r="GY1482" s="1"/>
      <c r="GZ1482" s="1"/>
      <c r="HA1482" s="1"/>
      <c r="HB1482" s="1"/>
      <c r="HC1482" s="1"/>
      <c r="HD1482" s="1"/>
      <c r="HE1482" s="1"/>
      <c r="HF1482" s="1"/>
      <c r="HG1482" s="1"/>
      <c r="HH1482" s="1"/>
      <c r="HI1482" s="1"/>
      <c r="HJ1482" s="1"/>
      <c r="HK1482" s="1"/>
      <c r="HL1482" s="1"/>
      <c r="HM1482" s="1"/>
      <c r="HN1482" s="1"/>
      <c r="HO1482" s="1"/>
      <c r="HP1482" s="1"/>
      <c r="HQ1482" s="1"/>
      <c r="HR1482" s="1"/>
      <c r="HS1482" s="1"/>
      <c r="HT1482" s="1"/>
      <c r="HU1482" s="1"/>
      <c r="HV1482" s="1"/>
      <c r="HW1482" s="1"/>
      <c r="HX1482" s="1"/>
      <c r="HY1482" s="1"/>
      <c r="HZ1482" s="1"/>
      <c r="IA1482" s="1"/>
      <c r="IB1482" s="1"/>
      <c r="IC1482" s="1"/>
      <c r="ID1482" s="1"/>
      <c r="IE1482" s="1"/>
      <c r="IF1482" s="1"/>
      <c r="IG1482" s="1"/>
      <c r="IH1482" s="1"/>
      <c r="II1482" s="1"/>
      <c r="IJ1482" s="1"/>
      <c r="IK1482" s="1"/>
      <c r="IL1482" s="1"/>
      <c r="IM1482" s="1"/>
      <c r="IN1482" s="1"/>
      <c r="IO1482" s="1"/>
      <c r="IP1482" s="1"/>
      <c r="IQ1482" s="1"/>
      <c r="IR1482" s="1"/>
      <c r="IS1482" s="1"/>
      <c r="IT1482" s="1"/>
      <c r="IU1482" s="1"/>
      <c r="IV1482" s="1"/>
      <c r="IW1482" s="1"/>
      <c r="IX1482" s="1"/>
      <c r="IY1482" s="1"/>
      <c r="IZ1482" s="1"/>
      <c r="JA1482" s="1"/>
      <c r="JB1482" s="1"/>
      <c r="JC1482" s="1"/>
      <c r="JD1482" s="1"/>
    </row>
    <row r="1483" s="504" customFormat="true" ht="12.75" hidden="false" customHeight="true" outlineLevel="0" collapsed="false">
      <c r="A1483" s="5"/>
      <c r="B1483" s="5"/>
      <c r="C1483" s="5"/>
      <c r="D1483" s="8"/>
      <c r="E1483" s="8"/>
      <c r="F1483" s="8"/>
      <c r="G1483" s="5"/>
      <c r="H1483" s="5"/>
      <c r="I1483" s="5"/>
      <c r="J1483" s="8"/>
      <c r="K1483" s="8"/>
      <c r="L1483" s="5"/>
      <c r="M1483" s="8"/>
      <c r="N1483" s="8"/>
      <c r="O1483" s="8"/>
      <c r="P1483" s="8"/>
      <c r="Q1483" s="5"/>
      <c r="R1483" s="5"/>
      <c r="S1483" s="5"/>
      <c r="T1483" s="5"/>
      <c r="U1483" s="5"/>
      <c r="V1483" s="10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02"/>
      <c r="AU1483" s="502"/>
      <c r="AV1483" s="606"/>
      <c r="AW1483" s="502"/>
      <c r="AX1483" s="502"/>
      <c r="AY1483" s="502"/>
      <c r="AZ1483" s="502"/>
      <c r="BA1483" s="502"/>
      <c r="BB1483" s="502"/>
      <c r="BC1483" s="502"/>
      <c r="BD1483" s="502"/>
      <c r="BE1483" s="502"/>
      <c r="BF1483" s="502"/>
      <c r="BG1483" s="502"/>
      <c r="BH1483" s="502"/>
      <c r="BI1483" s="502"/>
      <c r="BJ1483" s="502"/>
      <c r="BK1483" s="502"/>
      <c r="BL1483" s="502"/>
      <c r="BM1483" s="502"/>
      <c r="BN1483" s="502"/>
      <c r="BO1483" s="502"/>
      <c r="BP1483" s="5"/>
      <c r="BQ1483" s="5"/>
      <c r="BR1483" s="5"/>
      <c r="BS1483" s="5"/>
      <c r="BT1483" s="5"/>
      <c r="BU1483" s="5"/>
      <c r="BV1483" s="5"/>
      <c r="BW1483" s="5"/>
      <c r="BX1483" s="5"/>
      <c r="BY1483" s="5"/>
      <c r="BZ1483" s="5"/>
      <c r="CA1483" s="5"/>
      <c r="CB1483" s="5"/>
      <c r="CC1483" s="5"/>
      <c r="CD1483" s="5"/>
      <c r="CE1483" s="5"/>
      <c r="CF1483" s="5"/>
      <c r="CG1483" s="5"/>
      <c r="CH1483" s="5"/>
      <c r="CI1483" s="5"/>
      <c r="CJ1483" s="5"/>
      <c r="CK1483" s="5"/>
      <c r="CL1483" s="5"/>
      <c r="CM1483" s="5"/>
      <c r="CN1483" s="5"/>
      <c r="CO1483" s="5"/>
      <c r="CP1483" s="5"/>
      <c r="CQ1483" s="5"/>
      <c r="CR1483" s="5"/>
      <c r="CS1483" s="5"/>
      <c r="CT1483" s="5"/>
      <c r="CU1483" s="5"/>
      <c r="CV1483" s="5"/>
      <c r="CW1483" s="5"/>
      <c r="CX1483" s="5"/>
      <c r="CY1483" s="5"/>
      <c r="CZ1483" s="5"/>
      <c r="DA1483" s="5"/>
      <c r="DB1483" s="5"/>
      <c r="DC1483" s="5"/>
      <c r="DD1483" s="5"/>
      <c r="DE1483" s="5"/>
      <c r="DF1483" s="5"/>
      <c r="DG1483" s="5"/>
      <c r="DH1483" s="5"/>
      <c r="DI1483" s="5"/>
      <c r="DJ1483" s="5"/>
      <c r="DK1483" s="5"/>
      <c r="DL1483" s="5"/>
      <c r="DM1483" s="5"/>
      <c r="DN1483" s="5"/>
      <c r="DO1483" s="5"/>
      <c r="DP1483" s="5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  <c r="GV1483" s="1"/>
      <c r="GW1483" s="1"/>
      <c r="GX1483" s="1"/>
      <c r="GY1483" s="1"/>
      <c r="GZ1483" s="1"/>
      <c r="HA1483" s="1"/>
      <c r="HB1483" s="1"/>
      <c r="HC1483" s="1"/>
      <c r="HD1483" s="1"/>
      <c r="HE1483" s="1"/>
      <c r="HF1483" s="1"/>
      <c r="HG1483" s="1"/>
      <c r="HH1483" s="1"/>
      <c r="HI1483" s="1"/>
      <c r="HJ1483" s="1"/>
      <c r="HK1483" s="1"/>
      <c r="HL1483" s="1"/>
      <c r="HM1483" s="1"/>
      <c r="HN1483" s="1"/>
      <c r="HO1483" s="1"/>
      <c r="HP1483" s="1"/>
      <c r="HQ1483" s="1"/>
      <c r="HR1483" s="1"/>
      <c r="HS1483" s="1"/>
      <c r="HT1483" s="1"/>
      <c r="HU1483" s="1"/>
      <c r="HV1483" s="1"/>
      <c r="HW1483" s="1"/>
      <c r="HX1483" s="1"/>
      <c r="HY1483" s="1"/>
      <c r="HZ1483" s="1"/>
      <c r="IA1483" s="1"/>
      <c r="IB1483" s="1"/>
      <c r="IC1483" s="1"/>
      <c r="ID1483" s="1"/>
      <c r="IE1483" s="1"/>
      <c r="IF1483" s="1"/>
      <c r="IG1483" s="1"/>
      <c r="IH1483" s="1"/>
      <c r="II1483" s="1"/>
      <c r="IJ1483" s="1"/>
      <c r="IK1483" s="1"/>
      <c r="IL1483" s="1"/>
      <c r="IM1483" s="1"/>
      <c r="IN1483" s="1"/>
      <c r="IO1483" s="1"/>
      <c r="IP1483" s="1"/>
      <c r="IQ1483" s="1"/>
      <c r="IR1483" s="1"/>
      <c r="IS1483" s="1"/>
      <c r="IT1483" s="1"/>
      <c r="IU1483" s="1"/>
      <c r="IV1483" s="1"/>
      <c r="IW1483" s="1"/>
      <c r="IX1483" s="1"/>
      <c r="IY1483" s="1"/>
      <c r="IZ1483" s="1"/>
      <c r="JA1483" s="1"/>
      <c r="JB1483" s="1"/>
      <c r="JC1483" s="1"/>
      <c r="JD1483" s="1"/>
    </row>
    <row r="1484" s="504" customFormat="true" ht="12.75" hidden="false" customHeight="true" outlineLevel="0" collapsed="false">
      <c r="A1484" s="5"/>
      <c r="B1484" s="5"/>
      <c r="C1484" s="5"/>
      <c r="D1484" s="8"/>
      <c r="E1484" s="8"/>
      <c r="F1484" s="8"/>
      <c r="G1484" s="5"/>
      <c r="H1484" s="5"/>
      <c r="I1484" s="5"/>
      <c r="J1484" s="8"/>
      <c r="K1484" s="8"/>
      <c r="L1484" s="5"/>
      <c r="M1484" s="8"/>
      <c r="N1484" s="8"/>
      <c r="O1484" s="8"/>
      <c r="P1484" s="8"/>
      <c r="Q1484" s="5"/>
      <c r="R1484" s="5"/>
      <c r="S1484" s="5"/>
      <c r="T1484" s="5"/>
      <c r="U1484" s="5"/>
      <c r="V1484" s="10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/>
      <c r="AS1484" s="5"/>
      <c r="AT1484" s="502"/>
      <c r="AU1484" s="502"/>
      <c r="AV1484" s="606"/>
      <c r="AW1484" s="502"/>
      <c r="AX1484" s="502"/>
      <c r="AY1484" s="502"/>
      <c r="AZ1484" s="502"/>
      <c r="BA1484" s="502"/>
      <c r="BB1484" s="502"/>
      <c r="BC1484" s="502"/>
      <c r="BD1484" s="502"/>
      <c r="BE1484" s="502"/>
      <c r="BF1484" s="502"/>
      <c r="BG1484" s="502"/>
      <c r="BH1484" s="502"/>
      <c r="BI1484" s="502"/>
      <c r="BJ1484" s="502"/>
      <c r="BK1484" s="502"/>
      <c r="BL1484" s="502"/>
      <c r="BM1484" s="502"/>
      <c r="BN1484" s="502"/>
      <c r="BO1484" s="502"/>
      <c r="BP1484" s="5"/>
      <c r="BQ1484" s="5"/>
      <c r="BR1484" s="5"/>
      <c r="BS1484" s="5"/>
      <c r="BT1484" s="5"/>
      <c r="BU1484" s="5"/>
      <c r="BV1484" s="5"/>
      <c r="BW1484" s="5"/>
      <c r="BX1484" s="5"/>
      <c r="BY1484" s="5"/>
      <c r="BZ1484" s="5"/>
      <c r="CA1484" s="5"/>
      <c r="CB1484" s="5"/>
      <c r="CC1484" s="5"/>
      <c r="CD1484" s="5"/>
      <c r="CE1484" s="5"/>
      <c r="CF1484" s="5"/>
      <c r="CG1484" s="5"/>
      <c r="CH1484" s="5"/>
      <c r="CI1484" s="5"/>
      <c r="CJ1484" s="5"/>
      <c r="CK1484" s="5"/>
      <c r="CL1484" s="5"/>
      <c r="CM1484" s="5"/>
      <c r="CN1484" s="5"/>
      <c r="CO1484" s="5"/>
      <c r="CP1484" s="5"/>
      <c r="CQ1484" s="5"/>
      <c r="CR1484" s="5"/>
      <c r="CS1484" s="5"/>
      <c r="CT1484" s="5"/>
      <c r="CU1484" s="5"/>
      <c r="CV1484" s="5"/>
      <c r="CW1484" s="5"/>
      <c r="CX1484" s="5"/>
      <c r="CY1484" s="5"/>
      <c r="CZ1484" s="5"/>
      <c r="DA1484" s="5"/>
      <c r="DB1484" s="5"/>
      <c r="DC1484" s="5"/>
      <c r="DD1484" s="5"/>
      <c r="DE1484" s="5"/>
      <c r="DF1484" s="5"/>
      <c r="DG1484" s="5"/>
      <c r="DH1484" s="5"/>
      <c r="DI1484" s="5"/>
      <c r="DJ1484" s="5"/>
      <c r="DK1484" s="5"/>
      <c r="DL1484" s="5"/>
      <c r="DM1484" s="5"/>
      <c r="DN1484" s="5"/>
      <c r="DO1484" s="5"/>
      <c r="DP1484" s="5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  <c r="GV1484" s="1"/>
      <c r="GW1484" s="1"/>
      <c r="GX1484" s="1"/>
      <c r="GY1484" s="1"/>
      <c r="GZ1484" s="1"/>
      <c r="HA1484" s="1"/>
      <c r="HB1484" s="1"/>
      <c r="HC1484" s="1"/>
      <c r="HD1484" s="1"/>
      <c r="HE1484" s="1"/>
      <c r="HF1484" s="1"/>
      <c r="HG1484" s="1"/>
      <c r="HH1484" s="1"/>
      <c r="HI1484" s="1"/>
      <c r="HJ1484" s="1"/>
      <c r="HK1484" s="1"/>
      <c r="HL1484" s="1"/>
      <c r="HM1484" s="1"/>
      <c r="HN1484" s="1"/>
      <c r="HO1484" s="1"/>
      <c r="HP1484" s="1"/>
      <c r="HQ1484" s="1"/>
      <c r="HR1484" s="1"/>
      <c r="HS1484" s="1"/>
      <c r="HT1484" s="1"/>
      <c r="HU1484" s="1"/>
      <c r="HV1484" s="1"/>
      <c r="HW1484" s="1"/>
      <c r="HX1484" s="1"/>
      <c r="HY1484" s="1"/>
      <c r="HZ1484" s="1"/>
      <c r="IA1484" s="1"/>
      <c r="IB1484" s="1"/>
      <c r="IC1484" s="1"/>
      <c r="ID1484" s="1"/>
      <c r="IE1484" s="1"/>
      <c r="IF1484" s="1"/>
      <c r="IG1484" s="1"/>
      <c r="IH1484" s="1"/>
      <c r="II1484" s="1"/>
      <c r="IJ1484" s="1"/>
      <c r="IK1484" s="1"/>
      <c r="IL1484" s="1"/>
      <c r="IM1484" s="1"/>
      <c r="IN1484" s="1"/>
      <c r="IO1484" s="1"/>
      <c r="IP1484" s="1"/>
      <c r="IQ1484" s="1"/>
      <c r="IR1484" s="1"/>
      <c r="IS1484" s="1"/>
      <c r="IT1484" s="1"/>
      <c r="IU1484" s="1"/>
      <c r="IV1484" s="1"/>
      <c r="IW1484" s="1"/>
      <c r="IX1484" s="1"/>
      <c r="IY1484" s="1"/>
      <c r="IZ1484" s="1"/>
      <c r="JA1484" s="1"/>
      <c r="JB1484" s="1"/>
      <c r="JC1484" s="1"/>
      <c r="JD1484" s="1"/>
    </row>
    <row r="1485" s="504" customFormat="true" ht="12.75" hidden="false" customHeight="true" outlineLevel="0" collapsed="false">
      <c r="A1485" s="5"/>
      <c r="B1485" s="5"/>
      <c r="C1485" s="5"/>
      <c r="D1485" s="8"/>
      <c r="E1485" s="8"/>
      <c r="F1485" s="8"/>
      <c r="G1485" s="5"/>
      <c r="H1485" s="5"/>
      <c r="I1485" s="5"/>
      <c r="J1485" s="8"/>
      <c r="K1485" s="8"/>
      <c r="L1485" s="5"/>
      <c r="M1485" s="8"/>
      <c r="N1485" s="8"/>
      <c r="O1485" s="8"/>
      <c r="P1485" s="8"/>
      <c r="Q1485" s="5"/>
      <c r="R1485" s="5"/>
      <c r="S1485" s="5"/>
      <c r="T1485" s="5"/>
      <c r="U1485" s="5"/>
      <c r="V1485" s="10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02"/>
      <c r="AU1485" s="502"/>
      <c r="AV1485" s="606"/>
      <c r="AW1485" s="502"/>
      <c r="AX1485" s="502"/>
      <c r="AY1485" s="502"/>
      <c r="AZ1485" s="502"/>
      <c r="BA1485" s="502"/>
      <c r="BB1485" s="502"/>
      <c r="BC1485" s="502"/>
      <c r="BD1485" s="502"/>
      <c r="BE1485" s="502"/>
      <c r="BF1485" s="502"/>
      <c r="BG1485" s="502"/>
      <c r="BH1485" s="502"/>
      <c r="BI1485" s="502"/>
      <c r="BJ1485" s="502"/>
      <c r="BK1485" s="502"/>
      <c r="BL1485" s="502"/>
      <c r="BM1485" s="502"/>
      <c r="BN1485" s="502"/>
      <c r="BO1485" s="502"/>
      <c r="BP1485" s="5"/>
      <c r="BQ1485" s="5"/>
      <c r="BR1485" s="5"/>
      <c r="BS1485" s="5"/>
      <c r="BT1485" s="5"/>
      <c r="BU1485" s="5"/>
      <c r="BV1485" s="5"/>
      <c r="BW1485" s="5"/>
      <c r="BX1485" s="5"/>
      <c r="BY1485" s="5"/>
      <c r="BZ1485" s="5"/>
      <c r="CA1485" s="5"/>
      <c r="CB1485" s="5"/>
      <c r="CC1485" s="5"/>
      <c r="CD1485" s="5"/>
      <c r="CE1485" s="5"/>
      <c r="CF1485" s="5"/>
      <c r="CG1485" s="5"/>
      <c r="CH1485" s="5"/>
      <c r="CI1485" s="5"/>
      <c r="CJ1485" s="5"/>
      <c r="CK1485" s="5"/>
      <c r="CL1485" s="5"/>
      <c r="CM1485" s="5"/>
      <c r="CN1485" s="5"/>
      <c r="CO1485" s="5"/>
      <c r="CP1485" s="5"/>
      <c r="CQ1485" s="5"/>
      <c r="CR1485" s="5"/>
      <c r="CS1485" s="5"/>
      <c r="CT1485" s="5"/>
      <c r="CU1485" s="5"/>
      <c r="CV1485" s="5"/>
      <c r="CW1485" s="5"/>
      <c r="CX1485" s="5"/>
      <c r="CY1485" s="5"/>
      <c r="CZ1485" s="5"/>
      <c r="DA1485" s="5"/>
      <c r="DB1485" s="5"/>
      <c r="DC1485" s="5"/>
      <c r="DD1485" s="5"/>
      <c r="DE1485" s="5"/>
      <c r="DF1485" s="5"/>
      <c r="DG1485" s="5"/>
      <c r="DH1485" s="5"/>
      <c r="DI1485" s="5"/>
      <c r="DJ1485" s="5"/>
      <c r="DK1485" s="5"/>
      <c r="DL1485" s="5"/>
      <c r="DM1485" s="5"/>
      <c r="DN1485" s="5"/>
      <c r="DO1485" s="5"/>
      <c r="DP1485" s="5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  <c r="GV1485" s="1"/>
      <c r="GW1485" s="1"/>
      <c r="GX1485" s="1"/>
      <c r="GY1485" s="1"/>
      <c r="GZ1485" s="1"/>
      <c r="HA1485" s="1"/>
      <c r="HB1485" s="1"/>
      <c r="HC1485" s="1"/>
      <c r="HD1485" s="1"/>
      <c r="HE1485" s="1"/>
      <c r="HF1485" s="1"/>
      <c r="HG1485" s="1"/>
      <c r="HH1485" s="1"/>
      <c r="HI1485" s="1"/>
      <c r="HJ1485" s="1"/>
      <c r="HK1485" s="1"/>
      <c r="HL1485" s="1"/>
      <c r="HM1485" s="1"/>
      <c r="HN1485" s="1"/>
      <c r="HO1485" s="1"/>
      <c r="HP1485" s="1"/>
      <c r="HQ1485" s="1"/>
      <c r="HR1485" s="1"/>
      <c r="HS1485" s="1"/>
      <c r="HT1485" s="1"/>
      <c r="HU1485" s="1"/>
      <c r="HV1485" s="1"/>
      <c r="HW1485" s="1"/>
      <c r="HX1485" s="1"/>
      <c r="HY1485" s="1"/>
      <c r="HZ1485" s="1"/>
      <c r="IA1485" s="1"/>
      <c r="IB1485" s="1"/>
      <c r="IC1485" s="1"/>
      <c r="ID1485" s="1"/>
      <c r="IE1485" s="1"/>
      <c r="IF1485" s="1"/>
      <c r="IG1485" s="1"/>
      <c r="IH1485" s="1"/>
      <c r="II1485" s="1"/>
      <c r="IJ1485" s="1"/>
      <c r="IK1485" s="1"/>
      <c r="IL1485" s="1"/>
      <c r="IM1485" s="1"/>
      <c r="IN1485" s="1"/>
      <c r="IO1485" s="1"/>
      <c r="IP1485" s="1"/>
      <c r="IQ1485" s="1"/>
      <c r="IR1485" s="1"/>
      <c r="IS1485" s="1"/>
      <c r="IT1485" s="1"/>
      <c r="IU1485" s="1"/>
      <c r="IV1485" s="1"/>
      <c r="IW1485" s="1"/>
      <c r="IX1485" s="1"/>
      <c r="IY1485" s="1"/>
      <c r="IZ1485" s="1"/>
      <c r="JA1485" s="1"/>
      <c r="JB1485" s="1"/>
      <c r="JC1485" s="1"/>
      <c r="JD1485" s="1"/>
    </row>
    <row r="1486" s="504" customFormat="true" ht="12.75" hidden="false" customHeight="true" outlineLevel="0" collapsed="false">
      <c r="A1486" s="5"/>
      <c r="B1486" s="5"/>
      <c r="C1486" s="5"/>
      <c r="D1486" s="8"/>
      <c r="E1486" s="8"/>
      <c r="F1486" s="8"/>
      <c r="G1486" s="5"/>
      <c r="H1486" s="5"/>
      <c r="I1486" s="5"/>
      <c r="J1486" s="8"/>
      <c r="K1486" s="8"/>
      <c r="L1486" s="5"/>
      <c r="M1486" s="8"/>
      <c r="N1486" s="8"/>
      <c r="O1486" s="8"/>
      <c r="P1486" s="8"/>
      <c r="Q1486" s="5"/>
      <c r="R1486" s="5"/>
      <c r="S1486" s="5"/>
      <c r="T1486" s="5"/>
      <c r="U1486" s="5"/>
      <c r="V1486" s="10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02"/>
      <c r="AU1486" s="502"/>
      <c r="AV1486" s="606"/>
      <c r="AW1486" s="502"/>
      <c r="AX1486" s="502"/>
      <c r="AY1486" s="502"/>
      <c r="AZ1486" s="502"/>
      <c r="BA1486" s="502"/>
      <c r="BB1486" s="502"/>
      <c r="BC1486" s="502"/>
      <c r="BD1486" s="502"/>
      <c r="BE1486" s="502"/>
      <c r="BF1486" s="502"/>
      <c r="BG1486" s="502"/>
      <c r="BH1486" s="502"/>
      <c r="BI1486" s="502"/>
      <c r="BJ1486" s="502"/>
      <c r="BK1486" s="502"/>
      <c r="BL1486" s="502"/>
      <c r="BM1486" s="502"/>
      <c r="BN1486" s="502"/>
      <c r="BO1486" s="502"/>
      <c r="BP1486" s="5"/>
      <c r="BQ1486" s="5"/>
      <c r="BR1486" s="5"/>
      <c r="BS1486" s="5"/>
      <c r="BT1486" s="5"/>
      <c r="BU1486" s="5"/>
      <c r="BV1486" s="5"/>
      <c r="BW1486" s="5"/>
      <c r="BX1486" s="5"/>
      <c r="BY1486" s="5"/>
      <c r="BZ1486" s="5"/>
      <c r="CA1486" s="5"/>
      <c r="CB1486" s="5"/>
      <c r="CC1486" s="5"/>
      <c r="CD1486" s="5"/>
      <c r="CE1486" s="5"/>
      <c r="CF1486" s="5"/>
      <c r="CG1486" s="5"/>
      <c r="CH1486" s="5"/>
      <c r="CI1486" s="5"/>
      <c r="CJ1486" s="5"/>
      <c r="CK1486" s="5"/>
      <c r="CL1486" s="5"/>
      <c r="CM1486" s="5"/>
      <c r="CN1486" s="5"/>
      <c r="CO1486" s="5"/>
      <c r="CP1486" s="5"/>
      <c r="CQ1486" s="5"/>
      <c r="CR1486" s="5"/>
      <c r="CS1486" s="5"/>
      <c r="CT1486" s="5"/>
      <c r="CU1486" s="5"/>
      <c r="CV1486" s="5"/>
      <c r="CW1486" s="5"/>
      <c r="CX1486" s="5"/>
      <c r="CY1486" s="5"/>
      <c r="CZ1486" s="5"/>
      <c r="DA1486" s="5"/>
      <c r="DB1486" s="5"/>
      <c r="DC1486" s="5"/>
      <c r="DD1486" s="5"/>
      <c r="DE1486" s="5"/>
      <c r="DF1486" s="5"/>
      <c r="DG1486" s="5"/>
      <c r="DH1486" s="5"/>
      <c r="DI1486" s="5"/>
      <c r="DJ1486" s="5"/>
      <c r="DK1486" s="5"/>
      <c r="DL1486" s="5"/>
      <c r="DM1486" s="5"/>
      <c r="DN1486" s="5"/>
      <c r="DO1486" s="5"/>
      <c r="DP1486" s="5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  <c r="GT1486" s="1"/>
      <c r="GU1486" s="1"/>
      <c r="GV1486" s="1"/>
      <c r="GW1486" s="1"/>
      <c r="GX1486" s="1"/>
      <c r="GY1486" s="1"/>
      <c r="GZ1486" s="1"/>
      <c r="HA1486" s="1"/>
      <c r="HB1486" s="1"/>
      <c r="HC1486" s="1"/>
      <c r="HD1486" s="1"/>
      <c r="HE1486" s="1"/>
      <c r="HF1486" s="1"/>
      <c r="HG1486" s="1"/>
      <c r="HH1486" s="1"/>
      <c r="HI1486" s="1"/>
      <c r="HJ1486" s="1"/>
      <c r="HK1486" s="1"/>
      <c r="HL1486" s="1"/>
      <c r="HM1486" s="1"/>
      <c r="HN1486" s="1"/>
      <c r="HO1486" s="1"/>
      <c r="HP1486" s="1"/>
      <c r="HQ1486" s="1"/>
      <c r="HR1486" s="1"/>
      <c r="HS1486" s="1"/>
      <c r="HT1486" s="1"/>
      <c r="HU1486" s="1"/>
      <c r="HV1486" s="1"/>
      <c r="HW1486" s="1"/>
      <c r="HX1486" s="1"/>
      <c r="HY1486" s="1"/>
      <c r="HZ1486" s="1"/>
      <c r="IA1486" s="1"/>
      <c r="IB1486" s="1"/>
      <c r="IC1486" s="1"/>
      <c r="ID1486" s="1"/>
      <c r="IE1486" s="1"/>
      <c r="IF1486" s="1"/>
      <c r="IG1486" s="1"/>
      <c r="IH1486" s="1"/>
      <c r="II1486" s="1"/>
      <c r="IJ1486" s="1"/>
      <c r="IK1486" s="1"/>
      <c r="IL1486" s="1"/>
      <c r="IM1486" s="1"/>
      <c r="IN1486" s="1"/>
      <c r="IO1486" s="1"/>
      <c r="IP1486" s="1"/>
      <c r="IQ1486" s="1"/>
      <c r="IR1486" s="1"/>
      <c r="IS1486" s="1"/>
      <c r="IT1486" s="1"/>
      <c r="IU1486" s="1"/>
      <c r="IV1486" s="1"/>
      <c r="IW1486" s="1"/>
      <c r="IX1486" s="1"/>
      <c r="IY1486" s="1"/>
      <c r="IZ1486" s="1"/>
      <c r="JA1486" s="1"/>
      <c r="JB1486" s="1"/>
      <c r="JC1486" s="1"/>
      <c r="JD1486" s="1"/>
    </row>
    <row r="1487" s="504" customFormat="true" ht="12.75" hidden="false" customHeight="true" outlineLevel="0" collapsed="false">
      <c r="A1487" s="5"/>
      <c r="B1487" s="5"/>
      <c r="C1487" s="5"/>
      <c r="D1487" s="8"/>
      <c r="E1487" s="8"/>
      <c r="F1487" s="8"/>
      <c r="G1487" s="5"/>
      <c r="H1487" s="5"/>
      <c r="I1487" s="5"/>
      <c r="J1487" s="8"/>
      <c r="K1487" s="8"/>
      <c r="L1487" s="5"/>
      <c r="M1487" s="8"/>
      <c r="N1487" s="8"/>
      <c r="O1487" s="8"/>
      <c r="P1487" s="8"/>
      <c r="Q1487" s="5"/>
      <c r="R1487" s="5"/>
      <c r="S1487" s="5"/>
      <c r="T1487" s="5"/>
      <c r="U1487" s="5"/>
      <c r="V1487" s="10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02"/>
      <c r="AU1487" s="502"/>
      <c r="AV1487" s="606"/>
      <c r="AW1487" s="502"/>
      <c r="AX1487" s="502"/>
      <c r="AY1487" s="502"/>
      <c r="AZ1487" s="502"/>
      <c r="BA1487" s="502"/>
      <c r="BB1487" s="502"/>
      <c r="BC1487" s="502"/>
      <c r="BD1487" s="502"/>
      <c r="BE1487" s="502"/>
      <c r="BF1487" s="502"/>
      <c r="BG1487" s="502"/>
      <c r="BH1487" s="502"/>
      <c r="BI1487" s="502"/>
      <c r="BJ1487" s="502"/>
      <c r="BK1487" s="502"/>
      <c r="BL1487" s="502"/>
      <c r="BM1487" s="502"/>
      <c r="BN1487" s="502"/>
      <c r="BO1487" s="502"/>
      <c r="BP1487" s="5"/>
      <c r="BQ1487" s="5"/>
      <c r="BR1487" s="5"/>
      <c r="BS1487" s="5"/>
      <c r="BT1487" s="5"/>
      <c r="BU1487" s="5"/>
      <c r="BV1487" s="5"/>
      <c r="BW1487" s="5"/>
      <c r="BX1487" s="5"/>
      <c r="BY1487" s="5"/>
      <c r="BZ1487" s="5"/>
      <c r="CA1487" s="5"/>
      <c r="CB1487" s="5"/>
      <c r="CC1487" s="5"/>
      <c r="CD1487" s="5"/>
      <c r="CE1487" s="5"/>
      <c r="CF1487" s="5"/>
      <c r="CG1487" s="5"/>
      <c r="CH1487" s="5"/>
      <c r="CI1487" s="5"/>
      <c r="CJ1487" s="5"/>
      <c r="CK1487" s="5"/>
      <c r="CL1487" s="5"/>
      <c r="CM1487" s="5"/>
      <c r="CN1487" s="5"/>
      <c r="CO1487" s="5"/>
      <c r="CP1487" s="5"/>
      <c r="CQ1487" s="5"/>
      <c r="CR1487" s="5"/>
      <c r="CS1487" s="5"/>
      <c r="CT1487" s="5"/>
      <c r="CU1487" s="5"/>
      <c r="CV1487" s="5"/>
      <c r="CW1487" s="5"/>
      <c r="CX1487" s="5"/>
      <c r="CY1487" s="5"/>
      <c r="CZ1487" s="5"/>
      <c r="DA1487" s="5"/>
      <c r="DB1487" s="5"/>
      <c r="DC1487" s="5"/>
      <c r="DD1487" s="5"/>
      <c r="DE1487" s="5"/>
      <c r="DF1487" s="5"/>
      <c r="DG1487" s="5"/>
      <c r="DH1487" s="5"/>
      <c r="DI1487" s="5"/>
      <c r="DJ1487" s="5"/>
      <c r="DK1487" s="5"/>
      <c r="DL1487" s="5"/>
      <c r="DM1487" s="5"/>
      <c r="DN1487" s="5"/>
      <c r="DO1487" s="5"/>
      <c r="DP1487" s="5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  <c r="GV1487" s="1"/>
      <c r="GW1487" s="1"/>
      <c r="GX1487" s="1"/>
      <c r="GY1487" s="1"/>
      <c r="GZ1487" s="1"/>
      <c r="HA1487" s="1"/>
      <c r="HB1487" s="1"/>
      <c r="HC1487" s="1"/>
      <c r="HD1487" s="1"/>
      <c r="HE1487" s="1"/>
      <c r="HF1487" s="1"/>
      <c r="HG1487" s="1"/>
      <c r="HH1487" s="1"/>
      <c r="HI1487" s="1"/>
      <c r="HJ1487" s="1"/>
      <c r="HK1487" s="1"/>
      <c r="HL1487" s="1"/>
      <c r="HM1487" s="1"/>
      <c r="HN1487" s="1"/>
      <c r="HO1487" s="1"/>
      <c r="HP1487" s="1"/>
      <c r="HQ1487" s="1"/>
      <c r="HR1487" s="1"/>
      <c r="HS1487" s="1"/>
      <c r="HT1487" s="1"/>
      <c r="HU1487" s="1"/>
      <c r="HV1487" s="1"/>
      <c r="HW1487" s="1"/>
      <c r="HX1487" s="1"/>
      <c r="HY1487" s="1"/>
      <c r="HZ1487" s="1"/>
      <c r="IA1487" s="1"/>
      <c r="IB1487" s="1"/>
      <c r="IC1487" s="1"/>
      <c r="ID1487" s="1"/>
      <c r="IE1487" s="1"/>
      <c r="IF1487" s="1"/>
      <c r="IG1487" s="1"/>
      <c r="IH1487" s="1"/>
      <c r="II1487" s="1"/>
      <c r="IJ1487" s="1"/>
      <c r="IK1487" s="1"/>
      <c r="IL1487" s="1"/>
      <c r="IM1487" s="1"/>
      <c r="IN1487" s="1"/>
      <c r="IO1487" s="1"/>
      <c r="IP1487" s="1"/>
      <c r="IQ1487" s="1"/>
      <c r="IR1487" s="1"/>
      <c r="IS1487" s="1"/>
      <c r="IT1487" s="1"/>
      <c r="IU1487" s="1"/>
      <c r="IV1487" s="1"/>
      <c r="IW1487" s="1"/>
      <c r="IX1487" s="1"/>
      <c r="IY1487" s="1"/>
      <c r="IZ1487" s="1"/>
      <c r="JA1487" s="1"/>
      <c r="JB1487" s="1"/>
      <c r="JC1487" s="1"/>
      <c r="JD1487" s="1"/>
    </row>
    <row r="1488" s="504" customFormat="true" ht="12.75" hidden="false" customHeight="true" outlineLevel="0" collapsed="false">
      <c r="A1488" s="5"/>
      <c r="B1488" s="5"/>
      <c r="C1488" s="5"/>
      <c r="D1488" s="8"/>
      <c r="E1488" s="8"/>
      <c r="F1488" s="8"/>
      <c r="G1488" s="5"/>
      <c r="H1488" s="5"/>
      <c r="I1488" s="5"/>
      <c r="J1488" s="8"/>
      <c r="K1488" s="8"/>
      <c r="L1488" s="5"/>
      <c r="M1488" s="8"/>
      <c r="N1488" s="8"/>
      <c r="O1488" s="8"/>
      <c r="P1488" s="8"/>
      <c r="Q1488" s="5"/>
      <c r="R1488" s="5"/>
      <c r="S1488" s="5"/>
      <c r="T1488" s="5"/>
      <c r="U1488" s="5"/>
      <c r="V1488" s="10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02"/>
      <c r="AU1488" s="502"/>
      <c r="AV1488" s="606"/>
      <c r="AW1488" s="502"/>
      <c r="AX1488" s="502"/>
      <c r="AY1488" s="502"/>
      <c r="AZ1488" s="502"/>
      <c r="BA1488" s="502"/>
      <c r="BB1488" s="502"/>
      <c r="BC1488" s="502"/>
      <c r="BD1488" s="502"/>
      <c r="BE1488" s="502"/>
      <c r="BF1488" s="502"/>
      <c r="BG1488" s="502"/>
      <c r="BH1488" s="502"/>
      <c r="BI1488" s="502"/>
      <c r="BJ1488" s="502"/>
      <c r="BK1488" s="502"/>
      <c r="BL1488" s="502"/>
      <c r="BM1488" s="502"/>
      <c r="BN1488" s="502"/>
      <c r="BO1488" s="502"/>
      <c r="BP1488" s="5"/>
      <c r="BQ1488" s="5"/>
      <c r="BR1488" s="5"/>
      <c r="BS1488" s="5"/>
      <c r="BT1488" s="5"/>
      <c r="BU1488" s="5"/>
      <c r="BV1488" s="5"/>
      <c r="BW1488" s="5"/>
      <c r="BX1488" s="5"/>
      <c r="BY1488" s="5"/>
      <c r="BZ1488" s="5"/>
      <c r="CA1488" s="5"/>
      <c r="CB1488" s="5"/>
      <c r="CC1488" s="5"/>
      <c r="CD1488" s="5"/>
      <c r="CE1488" s="5"/>
      <c r="CF1488" s="5"/>
      <c r="CG1488" s="5"/>
      <c r="CH1488" s="5"/>
      <c r="CI1488" s="5"/>
      <c r="CJ1488" s="5"/>
      <c r="CK1488" s="5"/>
      <c r="CL1488" s="5"/>
      <c r="CM1488" s="5"/>
      <c r="CN1488" s="5"/>
      <c r="CO1488" s="5"/>
      <c r="CP1488" s="5"/>
      <c r="CQ1488" s="5"/>
      <c r="CR1488" s="5"/>
      <c r="CS1488" s="5"/>
      <c r="CT1488" s="5"/>
      <c r="CU1488" s="5"/>
      <c r="CV1488" s="5"/>
      <c r="CW1488" s="5"/>
      <c r="CX1488" s="5"/>
      <c r="CY1488" s="5"/>
      <c r="CZ1488" s="5"/>
      <c r="DA1488" s="5"/>
      <c r="DB1488" s="5"/>
      <c r="DC1488" s="5"/>
      <c r="DD1488" s="5"/>
      <c r="DE1488" s="5"/>
      <c r="DF1488" s="5"/>
      <c r="DG1488" s="5"/>
      <c r="DH1488" s="5"/>
      <c r="DI1488" s="5"/>
      <c r="DJ1488" s="5"/>
      <c r="DK1488" s="5"/>
      <c r="DL1488" s="5"/>
      <c r="DM1488" s="5"/>
      <c r="DN1488" s="5"/>
      <c r="DO1488" s="5"/>
      <c r="DP1488" s="5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  <c r="GV1488" s="1"/>
      <c r="GW1488" s="1"/>
      <c r="GX1488" s="1"/>
      <c r="GY1488" s="1"/>
      <c r="GZ1488" s="1"/>
      <c r="HA1488" s="1"/>
      <c r="HB1488" s="1"/>
      <c r="HC1488" s="1"/>
      <c r="HD1488" s="1"/>
      <c r="HE1488" s="1"/>
      <c r="HF1488" s="1"/>
      <c r="HG1488" s="1"/>
      <c r="HH1488" s="1"/>
      <c r="HI1488" s="1"/>
      <c r="HJ1488" s="1"/>
      <c r="HK1488" s="1"/>
      <c r="HL1488" s="1"/>
      <c r="HM1488" s="1"/>
      <c r="HN1488" s="1"/>
      <c r="HO1488" s="1"/>
      <c r="HP1488" s="1"/>
      <c r="HQ1488" s="1"/>
      <c r="HR1488" s="1"/>
      <c r="HS1488" s="1"/>
      <c r="HT1488" s="1"/>
      <c r="HU1488" s="1"/>
      <c r="HV1488" s="1"/>
      <c r="HW1488" s="1"/>
      <c r="HX1488" s="1"/>
      <c r="HY1488" s="1"/>
      <c r="HZ1488" s="1"/>
      <c r="IA1488" s="1"/>
      <c r="IB1488" s="1"/>
      <c r="IC1488" s="1"/>
      <c r="ID1488" s="1"/>
      <c r="IE1488" s="1"/>
      <c r="IF1488" s="1"/>
      <c r="IG1488" s="1"/>
      <c r="IH1488" s="1"/>
      <c r="II1488" s="1"/>
      <c r="IJ1488" s="1"/>
      <c r="IK1488" s="1"/>
      <c r="IL1488" s="1"/>
      <c r="IM1488" s="1"/>
      <c r="IN1488" s="1"/>
      <c r="IO1488" s="1"/>
      <c r="IP1488" s="1"/>
      <c r="IQ1488" s="1"/>
      <c r="IR1488" s="1"/>
      <c r="IS1488" s="1"/>
      <c r="IT1488" s="1"/>
      <c r="IU1488" s="1"/>
      <c r="IV1488" s="1"/>
      <c r="IW1488" s="1"/>
      <c r="IX1488" s="1"/>
      <c r="IY1488" s="1"/>
      <c r="IZ1488" s="1"/>
      <c r="JA1488" s="1"/>
      <c r="JB1488" s="1"/>
      <c r="JC1488" s="1"/>
      <c r="JD1488" s="1"/>
    </row>
    <row r="1489" s="504" customFormat="true" ht="12.75" hidden="false" customHeight="true" outlineLevel="0" collapsed="false">
      <c r="A1489" s="5"/>
      <c r="B1489" s="5"/>
      <c r="C1489" s="5"/>
      <c r="D1489" s="8"/>
      <c r="E1489" s="8"/>
      <c r="F1489" s="8"/>
      <c r="G1489" s="5"/>
      <c r="H1489" s="5"/>
      <c r="I1489" s="5"/>
      <c r="J1489" s="8"/>
      <c r="K1489" s="8"/>
      <c r="L1489" s="5"/>
      <c r="M1489" s="8"/>
      <c r="N1489" s="8"/>
      <c r="O1489" s="8"/>
      <c r="P1489" s="8"/>
      <c r="Q1489" s="5"/>
      <c r="R1489" s="5"/>
      <c r="S1489" s="5"/>
      <c r="T1489" s="5"/>
      <c r="U1489" s="5"/>
      <c r="V1489" s="10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02"/>
      <c r="AU1489" s="502"/>
      <c r="AV1489" s="606"/>
      <c r="AW1489" s="502"/>
      <c r="AX1489" s="502"/>
      <c r="AY1489" s="502"/>
      <c r="AZ1489" s="502"/>
      <c r="BA1489" s="502"/>
      <c r="BB1489" s="502"/>
      <c r="BC1489" s="502"/>
      <c r="BD1489" s="502"/>
      <c r="BE1489" s="502"/>
      <c r="BF1489" s="502"/>
      <c r="BG1489" s="502"/>
      <c r="BH1489" s="502"/>
      <c r="BI1489" s="502"/>
      <c r="BJ1489" s="502"/>
      <c r="BK1489" s="502"/>
      <c r="BL1489" s="502"/>
      <c r="BM1489" s="502"/>
      <c r="BN1489" s="502"/>
      <c r="BO1489" s="502"/>
      <c r="BP1489" s="5"/>
      <c r="BQ1489" s="5"/>
      <c r="BR1489" s="5"/>
      <c r="BS1489" s="5"/>
      <c r="BT1489" s="5"/>
      <c r="BU1489" s="5"/>
      <c r="BV1489" s="5"/>
      <c r="BW1489" s="5"/>
      <c r="BX1489" s="5"/>
      <c r="BY1489" s="5"/>
      <c r="BZ1489" s="5"/>
      <c r="CA1489" s="5"/>
      <c r="CB1489" s="5"/>
      <c r="CC1489" s="5"/>
      <c r="CD1489" s="5"/>
      <c r="CE1489" s="5"/>
      <c r="CF1489" s="5"/>
      <c r="CG1489" s="5"/>
      <c r="CH1489" s="5"/>
      <c r="CI1489" s="5"/>
      <c r="CJ1489" s="5"/>
      <c r="CK1489" s="5"/>
      <c r="CL1489" s="5"/>
      <c r="CM1489" s="5"/>
      <c r="CN1489" s="5"/>
      <c r="CO1489" s="5"/>
      <c r="CP1489" s="5"/>
      <c r="CQ1489" s="5"/>
      <c r="CR1489" s="5"/>
      <c r="CS1489" s="5"/>
      <c r="CT1489" s="5"/>
      <c r="CU1489" s="5"/>
      <c r="CV1489" s="5"/>
      <c r="CW1489" s="5"/>
      <c r="CX1489" s="5"/>
      <c r="CY1489" s="5"/>
      <c r="CZ1489" s="5"/>
      <c r="DA1489" s="5"/>
      <c r="DB1489" s="5"/>
      <c r="DC1489" s="5"/>
      <c r="DD1489" s="5"/>
      <c r="DE1489" s="5"/>
      <c r="DF1489" s="5"/>
      <c r="DG1489" s="5"/>
      <c r="DH1489" s="5"/>
      <c r="DI1489" s="5"/>
      <c r="DJ1489" s="5"/>
      <c r="DK1489" s="5"/>
      <c r="DL1489" s="5"/>
      <c r="DM1489" s="5"/>
      <c r="DN1489" s="5"/>
      <c r="DO1489" s="5"/>
      <c r="DP1489" s="5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  <c r="GV1489" s="1"/>
      <c r="GW1489" s="1"/>
      <c r="GX1489" s="1"/>
      <c r="GY1489" s="1"/>
      <c r="GZ1489" s="1"/>
      <c r="HA1489" s="1"/>
      <c r="HB1489" s="1"/>
      <c r="HC1489" s="1"/>
      <c r="HD1489" s="1"/>
      <c r="HE1489" s="1"/>
      <c r="HF1489" s="1"/>
      <c r="HG1489" s="1"/>
      <c r="HH1489" s="1"/>
      <c r="HI1489" s="1"/>
      <c r="HJ1489" s="1"/>
      <c r="HK1489" s="1"/>
      <c r="HL1489" s="1"/>
      <c r="HM1489" s="1"/>
      <c r="HN1489" s="1"/>
      <c r="HO1489" s="1"/>
      <c r="HP1489" s="1"/>
      <c r="HQ1489" s="1"/>
      <c r="HR1489" s="1"/>
      <c r="HS1489" s="1"/>
      <c r="HT1489" s="1"/>
      <c r="HU1489" s="1"/>
      <c r="HV1489" s="1"/>
      <c r="HW1489" s="1"/>
      <c r="HX1489" s="1"/>
      <c r="HY1489" s="1"/>
      <c r="HZ1489" s="1"/>
      <c r="IA1489" s="1"/>
      <c r="IB1489" s="1"/>
      <c r="IC1489" s="1"/>
      <c r="ID1489" s="1"/>
      <c r="IE1489" s="1"/>
      <c r="IF1489" s="1"/>
      <c r="IG1489" s="1"/>
      <c r="IH1489" s="1"/>
      <c r="II1489" s="1"/>
      <c r="IJ1489" s="1"/>
      <c r="IK1489" s="1"/>
      <c r="IL1489" s="1"/>
      <c r="IM1489" s="1"/>
      <c r="IN1489" s="1"/>
      <c r="IO1489" s="1"/>
      <c r="IP1489" s="1"/>
      <c r="IQ1489" s="1"/>
      <c r="IR1489" s="1"/>
      <c r="IS1489" s="1"/>
      <c r="IT1489" s="1"/>
      <c r="IU1489" s="1"/>
      <c r="IV1489" s="1"/>
      <c r="IW1489" s="1"/>
      <c r="IX1489" s="1"/>
      <c r="IY1489" s="1"/>
      <c r="IZ1489" s="1"/>
      <c r="JA1489" s="1"/>
      <c r="JB1489" s="1"/>
      <c r="JC1489" s="1"/>
      <c r="JD1489" s="1"/>
    </row>
    <row r="1490" s="504" customFormat="true" ht="12.75" hidden="false" customHeight="true" outlineLevel="0" collapsed="false">
      <c r="A1490" s="5"/>
      <c r="B1490" s="5"/>
      <c r="C1490" s="5"/>
      <c r="D1490" s="8"/>
      <c r="E1490" s="8"/>
      <c r="F1490" s="8"/>
      <c r="G1490" s="5"/>
      <c r="H1490" s="5"/>
      <c r="I1490" s="5"/>
      <c r="J1490" s="8"/>
      <c r="K1490" s="8"/>
      <c r="L1490" s="5"/>
      <c r="M1490" s="8"/>
      <c r="N1490" s="8"/>
      <c r="O1490" s="8"/>
      <c r="P1490" s="8"/>
      <c r="Q1490" s="5"/>
      <c r="R1490" s="5"/>
      <c r="S1490" s="5"/>
      <c r="T1490" s="5"/>
      <c r="U1490" s="5"/>
      <c r="V1490" s="10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02"/>
      <c r="AU1490" s="502"/>
      <c r="AV1490" s="606"/>
      <c r="AW1490" s="502"/>
      <c r="AX1490" s="502"/>
      <c r="AY1490" s="502"/>
      <c r="AZ1490" s="502"/>
      <c r="BA1490" s="502"/>
      <c r="BB1490" s="502"/>
      <c r="BC1490" s="502"/>
      <c r="BD1490" s="502"/>
      <c r="BE1490" s="502"/>
      <c r="BF1490" s="502"/>
      <c r="BG1490" s="502"/>
      <c r="BH1490" s="502"/>
      <c r="BI1490" s="502"/>
      <c r="BJ1490" s="502"/>
      <c r="BK1490" s="502"/>
      <c r="BL1490" s="502"/>
      <c r="BM1490" s="502"/>
      <c r="BN1490" s="502"/>
      <c r="BO1490" s="502"/>
      <c r="BP1490" s="5"/>
      <c r="BQ1490" s="5"/>
      <c r="BR1490" s="5"/>
      <c r="BS1490" s="5"/>
      <c r="BT1490" s="5"/>
      <c r="BU1490" s="5"/>
      <c r="BV1490" s="5"/>
      <c r="BW1490" s="5"/>
      <c r="BX1490" s="5"/>
      <c r="BY1490" s="5"/>
      <c r="BZ1490" s="5"/>
      <c r="CA1490" s="5"/>
      <c r="CB1490" s="5"/>
      <c r="CC1490" s="5"/>
      <c r="CD1490" s="5"/>
      <c r="CE1490" s="5"/>
      <c r="CF1490" s="5"/>
      <c r="CG1490" s="5"/>
      <c r="CH1490" s="5"/>
      <c r="CI1490" s="5"/>
      <c r="CJ1490" s="5"/>
      <c r="CK1490" s="5"/>
      <c r="CL1490" s="5"/>
      <c r="CM1490" s="5"/>
      <c r="CN1490" s="5"/>
      <c r="CO1490" s="5"/>
      <c r="CP1490" s="5"/>
      <c r="CQ1490" s="5"/>
      <c r="CR1490" s="5"/>
      <c r="CS1490" s="5"/>
      <c r="CT1490" s="5"/>
      <c r="CU1490" s="5"/>
      <c r="CV1490" s="5"/>
      <c r="CW1490" s="5"/>
      <c r="CX1490" s="5"/>
      <c r="CY1490" s="5"/>
      <c r="CZ1490" s="5"/>
      <c r="DA1490" s="5"/>
      <c r="DB1490" s="5"/>
      <c r="DC1490" s="5"/>
      <c r="DD1490" s="5"/>
      <c r="DE1490" s="5"/>
      <c r="DF1490" s="5"/>
      <c r="DG1490" s="5"/>
      <c r="DH1490" s="5"/>
      <c r="DI1490" s="5"/>
      <c r="DJ1490" s="5"/>
      <c r="DK1490" s="5"/>
      <c r="DL1490" s="5"/>
      <c r="DM1490" s="5"/>
      <c r="DN1490" s="5"/>
      <c r="DO1490" s="5"/>
      <c r="DP1490" s="5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  <c r="GV1490" s="1"/>
      <c r="GW1490" s="1"/>
      <c r="GX1490" s="1"/>
      <c r="GY1490" s="1"/>
      <c r="GZ1490" s="1"/>
      <c r="HA1490" s="1"/>
      <c r="HB1490" s="1"/>
      <c r="HC1490" s="1"/>
      <c r="HD1490" s="1"/>
      <c r="HE1490" s="1"/>
      <c r="HF1490" s="1"/>
      <c r="HG1490" s="1"/>
      <c r="HH1490" s="1"/>
      <c r="HI1490" s="1"/>
      <c r="HJ1490" s="1"/>
      <c r="HK1490" s="1"/>
      <c r="HL1490" s="1"/>
      <c r="HM1490" s="1"/>
      <c r="HN1490" s="1"/>
      <c r="HO1490" s="1"/>
      <c r="HP1490" s="1"/>
      <c r="HQ1490" s="1"/>
      <c r="HR1490" s="1"/>
      <c r="HS1490" s="1"/>
      <c r="HT1490" s="1"/>
      <c r="HU1490" s="1"/>
      <c r="HV1490" s="1"/>
      <c r="HW1490" s="1"/>
      <c r="HX1490" s="1"/>
      <c r="HY1490" s="1"/>
      <c r="HZ1490" s="1"/>
      <c r="IA1490" s="1"/>
      <c r="IB1490" s="1"/>
      <c r="IC1490" s="1"/>
      <c r="ID1490" s="1"/>
      <c r="IE1490" s="1"/>
      <c r="IF1490" s="1"/>
      <c r="IG1490" s="1"/>
      <c r="IH1490" s="1"/>
      <c r="II1490" s="1"/>
      <c r="IJ1490" s="1"/>
      <c r="IK1490" s="1"/>
      <c r="IL1490" s="1"/>
      <c r="IM1490" s="1"/>
      <c r="IN1490" s="1"/>
      <c r="IO1490" s="1"/>
      <c r="IP1490" s="1"/>
      <c r="IQ1490" s="1"/>
      <c r="IR1490" s="1"/>
      <c r="IS1490" s="1"/>
      <c r="IT1490" s="1"/>
      <c r="IU1490" s="1"/>
      <c r="IV1490" s="1"/>
      <c r="IW1490" s="1"/>
      <c r="IX1490" s="1"/>
      <c r="IY1490" s="1"/>
      <c r="IZ1490" s="1"/>
      <c r="JA1490" s="1"/>
      <c r="JB1490" s="1"/>
      <c r="JC1490" s="1"/>
      <c r="JD1490" s="1"/>
    </row>
    <row r="1491" s="504" customFormat="true" ht="12.75" hidden="false" customHeight="true" outlineLevel="0" collapsed="false">
      <c r="A1491" s="5"/>
      <c r="B1491" s="5"/>
      <c r="C1491" s="5"/>
      <c r="D1491" s="8"/>
      <c r="E1491" s="8"/>
      <c r="F1491" s="8"/>
      <c r="G1491" s="5"/>
      <c r="H1491" s="5"/>
      <c r="I1491" s="5"/>
      <c r="J1491" s="8"/>
      <c r="K1491" s="8"/>
      <c r="L1491" s="5"/>
      <c r="M1491" s="8"/>
      <c r="N1491" s="8"/>
      <c r="O1491" s="8"/>
      <c r="P1491" s="8"/>
      <c r="Q1491" s="5"/>
      <c r="R1491" s="5"/>
      <c r="S1491" s="5"/>
      <c r="T1491" s="5"/>
      <c r="U1491" s="5"/>
      <c r="V1491" s="10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02"/>
      <c r="AU1491" s="502"/>
      <c r="AV1491" s="606"/>
      <c r="AW1491" s="502"/>
      <c r="AX1491" s="502"/>
      <c r="AY1491" s="502"/>
      <c r="AZ1491" s="502"/>
      <c r="BA1491" s="502"/>
      <c r="BB1491" s="502"/>
      <c r="BC1491" s="502"/>
      <c r="BD1491" s="502"/>
      <c r="BE1491" s="502"/>
      <c r="BF1491" s="502"/>
      <c r="BG1491" s="502"/>
      <c r="BH1491" s="502"/>
      <c r="BI1491" s="502"/>
      <c r="BJ1491" s="502"/>
      <c r="BK1491" s="502"/>
      <c r="BL1491" s="502"/>
      <c r="BM1491" s="502"/>
      <c r="BN1491" s="502"/>
      <c r="BO1491" s="502"/>
      <c r="BP1491" s="5"/>
      <c r="BQ1491" s="5"/>
      <c r="BR1491" s="5"/>
      <c r="BS1491" s="5"/>
      <c r="BT1491" s="5"/>
      <c r="BU1491" s="5"/>
      <c r="BV1491" s="5"/>
      <c r="BW1491" s="5"/>
      <c r="BX1491" s="5"/>
      <c r="BY1491" s="5"/>
      <c r="BZ1491" s="5"/>
      <c r="CA1491" s="5"/>
      <c r="CB1491" s="5"/>
      <c r="CC1491" s="5"/>
      <c r="CD1491" s="5"/>
      <c r="CE1491" s="5"/>
      <c r="CF1491" s="5"/>
      <c r="CG1491" s="5"/>
      <c r="CH1491" s="5"/>
      <c r="CI1491" s="5"/>
      <c r="CJ1491" s="5"/>
      <c r="CK1491" s="5"/>
      <c r="CL1491" s="5"/>
      <c r="CM1491" s="5"/>
      <c r="CN1491" s="5"/>
      <c r="CO1491" s="5"/>
      <c r="CP1491" s="5"/>
      <c r="CQ1491" s="5"/>
      <c r="CR1491" s="5"/>
      <c r="CS1491" s="5"/>
      <c r="CT1491" s="5"/>
      <c r="CU1491" s="5"/>
      <c r="CV1491" s="5"/>
      <c r="CW1491" s="5"/>
      <c r="CX1491" s="5"/>
      <c r="CY1491" s="5"/>
      <c r="CZ1491" s="5"/>
      <c r="DA1491" s="5"/>
      <c r="DB1491" s="5"/>
      <c r="DC1491" s="5"/>
      <c r="DD1491" s="5"/>
      <c r="DE1491" s="5"/>
      <c r="DF1491" s="5"/>
      <c r="DG1491" s="5"/>
      <c r="DH1491" s="5"/>
      <c r="DI1491" s="5"/>
      <c r="DJ1491" s="5"/>
      <c r="DK1491" s="5"/>
      <c r="DL1491" s="5"/>
      <c r="DM1491" s="5"/>
      <c r="DN1491" s="5"/>
      <c r="DO1491" s="5"/>
      <c r="DP1491" s="5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  <c r="GV1491" s="1"/>
      <c r="GW1491" s="1"/>
      <c r="GX1491" s="1"/>
      <c r="GY1491" s="1"/>
      <c r="GZ1491" s="1"/>
      <c r="HA1491" s="1"/>
      <c r="HB1491" s="1"/>
      <c r="HC1491" s="1"/>
      <c r="HD1491" s="1"/>
      <c r="HE1491" s="1"/>
      <c r="HF1491" s="1"/>
      <c r="HG1491" s="1"/>
      <c r="HH1491" s="1"/>
      <c r="HI1491" s="1"/>
      <c r="HJ1491" s="1"/>
      <c r="HK1491" s="1"/>
      <c r="HL1491" s="1"/>
      <c r="HM1491" s="1"/>
      <c r="HN1491" s="1"/>
      <c r="HO1491" s="1"/>
      <c r="HP1491" s="1"/>
      <c r="HQ1491" s="1"/>
      <c r="HR1491" s="1"/>
      <c r="HS1491" s="1"/>
      <c r="HT1491" s="1"/>
      <c r="HU1491" s="1"/>
      <c r="HV1491" s="1"/>
      <c r="HW1491" s="1"/>
      <c r="HX1491" s="1"/>
      <c r="HY1491" s="1"/>
      <c r="HZ1491" s="1"/>
      <c r="IA1491" s="1"/>
      <c r="IB1491" s="1"/>
      <c r="IC1491" s="1"/>
      <c r="ID1491" s="1"/>
      <c r="IE1491" s="1"/>
      <c r="IF1491" s="1"/>
      <c r="IG1491" s="1"/>
      <c r="IH1491" s="1"/>
      <c r="II1491" s="1"/>
      <c r="IJ1491" s="1"/>
      <c r="IK1491" s="1"/>
      <c r="IL1491" s="1"/>
      <c r="IM1491" s="1"/>
      <c r="IN1491" s="1"/>
      <c r="IO1491" s="1"/>
      <c r="IP1491" s="1"/>
      <c r="IQ1491" s="1"/>
      <c r="IR1491" s="1"/>
      <c r="IS1491" s="1"/>
      <c r="IT1491" s="1"/>
      <c r="IU1491" s="1"/>
      <c r="IV1491" s="1"/>
      <c r="IW1491" s="1"/>
      <c r="IX1491" s="1"/>
      <c r="IY1491" s="1"/>
      <c r="IZ1491" s="1"/>
      <c r="JA1491" s="1"/>
      <c r="JB1491" s="1"/>
      <c r="JC1491" s="1"/>
      <c r="JD1491" s="1"/>
    </row>
    <row r="1492" s="504" customFormat="true" ht="12.75" hidden="false" customHeight="true" outlineLevel="0" collapsed="false">
      <c r="A1492" s="5"/>
      <c r="B1492" s="5"/>
      <c r="C1492" s="5"/>
      <c r="D1492" s="8"/>
      <c r="E1492" s="8"/>
      <c r="F1492" s="8"/>
      <c r="G1492" s="5"/>
      <c r="H1492" s="5"/>
      <c r="I1492" s="5"/>
      <c r="J1492" s="8"/>
      <c r="K1492" s="8"/>
      <c r="L1492" s="5"/>
      <c r="M1492" s="8"/>
      <c r="N1492" s="8"/>
      <c r="O1492" s="8"/>
      <c r="P1492" s="8"/>
      <c r="Q1492" s="5"/>
      <c r="R1492" s="5"/>
      <c r="S1492" s="5"/>
      <c r="T1492" s="5"/>
      <c r="U1492" s="5"/>
      <c r="V1492" s="10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02"/>
      <c r="AU1492" s="502"/>
      <c r="AV1492" s="606"/>
      <c r="AW1492" s="502"/>
      <c r="AX1492" s="502"/>
      <c r="AY1492" s="502"/>
      <c r="AZ1492" s="502"/>
      <c r="BA1492" s="502"/>
      <c r="BB1492" s="502"/>
      <c r="BC1492" s="502"/>
      <c r="BD1492" s="502"/>
      <c r="BE1492" s="502"/>
      <c r="BF1492" s="502"/>
      <c r="BG1492" s="502"/>
      <c r="BH1492" s="502"/>
      <c r="BI1492" s="502"/>
      <c r="BJ1492" s="502"/>
      <c r="BK1492" s="502"/>
      <c r="BL1492" s="502"/>
      <c r="BM1492" s="502"/>
      <c r="BN1492" s="502"/>
      <c r="BO1492" s="502"/>
      <c r="BP1492" s="5"/>
      <c r="BQ1492" s="5"/>
      <c r="BR1492" s="5"/>
      <c r="BS1492" s="5"/>
      <c r="BT1492" s="5"/>
      <c r="BU1492" s="5"/>
      <c r="BV1492" s="5"/>
      <c r="BW1492" s="5"/>
      <c r="BX1492" s="5"/>
      <c r="BY1492" s="5"/>
      <c r="BZ1492" s="5"/>
      <c r="CA1492" s="5"/>
      <c r="CB1492" s="5"/>
      <c r="CC1492" s="5"/>
      <c r="CD1492" s="5"/>
      <c r="CE1492" s="5"/>
      <c r="CF1492" s="5"/>
      <c r="CG1492" s="5"/>
      <c r="CH1492" s="5"/>
      <c r="CI1492" s="5"/>
      <c r="CJ1492" s="5"/>
      <c r="CK1492" s="5"/>
      <c r="CL1492" s="5"/>
      <c r="CM1492" s="5"/>
      <c r="CN1492" s="5"/>
      <c r="CO1492" s="5"/>
      <c r="CP1492" s="5"/>
      <c r="CQ1492" s="5"/>
      <c r="CR1492" s="5"/>
      <c r="CS1492" s="5"/>
      <c r="CT1492" s="5"/>
      <c r="CU1492" s="5"/>
      <c r="CV1492" s="5"/>
      <c r="CW1492" s="5"/>
      <c r="CX1492" s="5"/>
      <c r="CY1492" s="5"/>
      <c r="CZ1492" s="5"/>
      <c r="DA1492" s="5"/>
      <c r="DB1492" s="5"/>
      <c r="DC1492" s="5"/>
      <c r="DD1492" s="5"/>
      <c r="DE1492" s="5"/>
      <c r="DF1492" s="5"/>
      <c r="DG1492" s="5"/>
      <c r="DH1492" s="5"/>
      <c r="DI1492" s="5"/>
      <c r="DJ1492" s="5"/>
      <c r="DK1492" s="5"/>
      <c r="DL1492" s="5"/>
      <c r="DM1492" s="5"/>
      <c r="DN1492" s="5"/>
      <c r="DO1492" s="5"/>
      <c r="DP1492" s="5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  <c r="GV1492" s="1"/>
      <c r="GW1492" s="1"/>
      <c r="GX1492" s="1"/>
      <c r="GY1492" s="1"/>
      <c r="GZ1492" s="1"/>
      <c r="HA1492" s="1"/>
      <c r="HB1492" s="1"/>
      <c r="HC1492" s="1"/>
      <c r="HD1492" s="1"/>
      <c r="HE1492" s="1"/>
      <c r="HF1492" s="1"/>
      <c r="HG1492" s="1"/>
      <c r="HH1492" s="1"/>
      <c r="HI1492" s="1"/>
      <c r="HJ1492" s="1"/>
      <c r="HK1492" s="1"/>
      <c r="HL1492" s="1"/>
      <c r="HM1492" s="1"/>
      <c r="HN1492" s="1"/>
      <c r="HO1492" s="1"/>
      <c r="HP1492" s="1"/>
      <c r="HQ1492" s="1"/>
      <c r="HR1492" s="1"/>
      <c r="HS1492" s="1"/>
      <c r="HT1492" s="1"/>
      <c r="HU1492" s="1"/>
      <c r="HV1492" s="1"/>
      <c r="HW1492" s="1"/>
      <c r="HX1492" s="1"/>
      <c r="HY1492" s="1"/>
      <c r="HZ1492" s="1"/>
      <c r="IA1492" s="1"/>
      <c r="IB1492" s="1"/>
      <c r="IC1492" s="1"/>
      <c r="ID1492" s="1"/>
      <c r="IE1492" s="1"/>
      <c r="IF1492" s="1"/>
      <c r="IG1492" s="1"/>
      <c r="IH1492" s="1"/>
      <c r="II1492" s="1"/>
      <c r="IJ1492" s="1"/>
      <c r="IK1492" s="1"/>
      <c r="IL1492" s="1"/>
      <c r="IM1492" s="1"/>
      <c r="IN1492" s="1"/>
      <c r="IO1492" s="1"/>
      <c r="IP1492" s="1"/>
      <c r="IQ1492" s="1"/>
      <c r="IR1492" s="1"/>
      <c r="IS1492" s="1"/>
      <c r="IT1492" s="1"/>
      <c r="IU1492" s="1"/>
      <c r="IV1492" s="1"/>
      <c r="IW1492" s="1"/>
      <c r="IX1492" s="1"/>
      <c r="IY1492" s="1"/>
      <c r="IZ1492" s="1"/>
      <c r="JA1492" s="1"/>
      <c r="JB1492" s="1"/>
      <c r="JC1492" s="1"/>
      <c r="JD1492" s="1"/>
    </row>
    <row r="1493" s="504" customFormat="true" ht="12.75" hidden="false" customHeight="true" outlineLevel="0" collapsed="false">
      <c r="A1493" s="5"/>
      <c r="B1493" s="5"/>
      <c r="C1493" s="5"/>
      <c r="D1493" s="8"/>
      <c r="E1493" s="8"/>
      <c r="F1493" s="8"/>
      <c r="G1493" s="5"/>
      <c r="H1493" s="5"/>
      <c r="I1493" s="5"/>
      <c r="J1493" s="8"/>
      <c r="K1493" s="8"/>
      <c r="L1493" s="5"/>
      <c r="M1493" s="8"/>
      <c r="N1493" s="8"/>
      <c r="O1493" s="8"/>
      <c r="P1493" s="8"/>
      <c r="Q1493" s="5"/>
      <c r="R1493" s="5"/>
      <c r="S1493" s="5"/>
      <c r="T1493" s="5"/>
      <c r="U1493" s="5"/>
      <c r="V1493" s="10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02"/>
      <c r="AU1493" s="502"/>
      <c r="AV1493" s="606"/>
      <c r="AW1493" s="502"/>
      <c r="AX1493" s="502"/>
      <c r="AY1493" s="502"/>
      <c r="AZ1493" s="502"/>
      <c r="BA1493" s="502"/>
      <c r="BB1493" s="502"/>
      <c r="BC1493" s="502"/>
      <c r="BD1493" s="502"/>
      <c r="BE1493" s="502"/>
      <c r="BF1493" s="502"/>
      <c r="BG1493" s="502"/>
      <c r="BH1493" s="502"/>
      <c r="BI1493" s="502"/>
      <c r="BJ1493" s="502"/>
      <c r="BK1493" s="502"/>
      <c r="BL1493" s="502"/>
      <c r="BM1493" s="502"/>
      <c r="BN1493" s="502"/>
      <c r="BO1493" s="502"/>
      <c r="BP1493" s="5"/>
      <c r="BQ1493" s="5"/>
      <c r="BR1493" s="5"/>
      <c r="BS1493" s="5"/>
      <c r="BT1493" s="5"/>
      <c r="BU1493" s="5"/>
      <c r="BV1493" s="5"/>
      <c r="BW1493" s="5"/>
      <c r="BX1493" s="5"/>
      <c r="BY1493" s="5"/>
      <c r="BZ1493" s="5"/>
      <c r="CA1493" s="5"/>
      <c r="CB1493" s="5"/>
      <c r="CC1493" s="5"/>
      <c r="CD1493" s="5"/>
      <c r="CE1493" s="5"/>
      <c r="CF1493" s="5"/>
      <c r="CG1493" s="5"/>
      <c r="CH1493" s="5"/>
      <c r="CI1493" s="5"/>
      <c r="CJ1493" s="5"/>
      <c r="CK1493" s="5"/>
      <c r="CL1493" s="5"/>
      <c r="CM1493" s="5"/>
      <c r="CN1493" s="5"/>
      <c r="CO1493" s="5"/>
      <c r="CP1493" s="5"/>
      <c r="CQ1493" s="5"/>
      <c r="CR1493" s="5"/>
      <c r="CS1493" s="5"/>
      <c r="CT1493" s="5"/>
      <c r="CU1493" s="5"/>
      <c r="CV1493" s="5"/>
      <c r="CW1493" s="5"/>
      <c r="CX1493" s="5"/>
      <c r="CY1493" s="5"/>
      <c r="CZ1493" s="5"/>
      <c r="DA1493" s="5"/>
      <c r="DB1493" s="5"/>
      <c r="DC1493" s="5"/>
      <c r="DD1493" s="5"/>
      <c r="DE1493" s="5"/>
      <c r="DF1493" s="5"/>
      <c r="DG1493" s="5"/>
      <c r="DH1493" s="5"/>
      <c r="DI1493" s="5"/>
      <c r="DJ1493" s="5"/>
      <c r="DK1493" s="5"/>
      <c r="DL1493" s="5"/>
      <c r="DM1493" s="5"/>
      <c r="DN1493" s="5"/>
      <c r="DO1493" s="5"/>
      <c r="DP1493" s="5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  <c r="GV1493" s="1"/>
      <c r="GW1493" s="1"/>
      <c r="GX1493" s="1"/>
      <c r="GY1493" s="1"/>
      <c r="GZ1493" s="1"/>
      <c r="HA1493" s="1"/>
      <c r="HB1493" s="1"/>
      <c r="HC1493" s="1"/>
      <c r="HD1493" s="1"/>
      <c r="HE1493" s="1"/>
      <c r="HF1493" s="1"/>
      <c r="HG1493" s="1"/>
      <c r="HH1493" s="1"/>
      <c r="HI1493" s="1"/>
      <c r="HJ1493" s="1"/>
      <c r="HK1493" s="1"/>
      <c r="HL1493" s="1"/>
      <c r="HM1493" s="1"/>
      <c r="HN1493" s="1"/>
      <c r="HO1493" s="1"/>
      <c r="HP1493" s="1"/>
      <c r="HQ1493" s="1"/>
      <c r="HR1493" s="1"/>
      <c r="HS1493" s="1"/>
      <c r="HT1493" s="1"/>
      <c r="HU1493" s="1"/>
      <c r="HV1493" s="1"/>
      <c r="HW1493" s="1"/>
      <c r="HX1493" s="1"/>
      <c r="HY1493" s="1"/>
      <c r="HZ1493" s="1"/>
      <c r="IA1493" s="1"/>
      <c r="IB1493" s="1"/>
      <c r="IC1493" s="1"/>
      <c r="ID1493" s="1"/>
      <c r="IE1493" s="1"/>
      <c r="IF1493" s="1"/>
      <c r="IG1493" s="1"/>
      <c r="IH1493" s="1"/>
      <c r="II1493" s="1"/>
      <c r="IJ1493" s="1"/>
      <c r="IK1493" s="1"/>
      <c r="IL1493" s="1"/>
      <c r="IM1493" s="1"/>
      <c r="IN1493" s="1"/>
      <c r="IO1493" s="1"/>
      <c r="IP1493" s="1"/>
      <c r="IQ1493" s="1"/>
      <c r="IR1493" s="1"/>
      <c r="IS1493" s="1"/>
      <c r="IT1493" s="1"/>
      <c r="IU1493" s="1"/>
      <c r="IV1493" s="1"/>
      <c r="IW1493" s="1"/>
      <c r="IX1493" s="1"/>
      <c r="IY1493" s="1"/>
      <c r="IZ1493" s="1"/>
      <c r="JA1493" s="1"/>
      <c r="JB1493" s="1"/>
      <c r="JC1493" s="1"/>
      <c r="JD1493" s="1"/>
    </row>
    <row r="1494" s="504" customFormat="true" ht="12.75" hidden="false" customHeight="true" outlineLevel="0" collapsed="false">
      <c r="A1494" s="5"/>
      <c r="B1494" s="5"/>
      <c r="C1494" s="5"/>
      <c r="D1494" s="8"/>
      <c r="E1494" s="8"/>
      <c r="F1494" s="8"/>
      <c r="G1494" s="5"/>
      <c r="H1494" s="5"/>
      <c r="I1494" s="5"/>
      <c r="J1494" s="8"/>
      <c r="K1494" s="8"/>
      <c r="L1494" s="5"/>
      <c r="M1494" s="8"/>
      <c r="N1494" s="8"/>
      <c r="O1494" s="8"/>
      <c r="P1494" s="8"/>
      <c r="Q1494" s="5"/>
      <c r="R1494" s="5"/>
      <c r="S1494" s="5"/>
      <c r="T1494" s="5"/>
      <c r="U1494" s="5"/>
      <c r="V1494" s="10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02"/>
      <c r="AU1494" s="502"/>
      <c r="AV1494" s="606"/>
      <c r="AW1494" s="502"/>
      <c r="AX1494" s="502"/>
      <c r="AY1494" s="502"/>
      <c r="AZ1494" s="502"/>
      <c r="BA1494" s="502"/>
      <c r="BB1494" s="502"/>
      <c r="BC1494" s="502"/>
      <c r="BD1494" s="502"/>
      <c r="BE1494" s="502"/>
      <c r="BF1494" s="502"/>
      <c r="BG1494" s="502"/>
      <c r="BH1494" s="502"/>
      <c r="BI1494" s="502"/>
      <c r="BJ1494" s="502"/>
      <c r="BK1494" s="502"/>
      <c r="BL1494" s="502"/>
      <c r="BM1494" s="502"/>
      <c r="BN1494" s="502"/>
      <c r="BO1494" s="502"/>
      <c r="BP1494" s="5"/>
      <c r="BQ1494" s="5"/>
      <c r="BR1494" s="5"/>
      <c r="BS1494" s="5"/>
      <c r="BT1494" s="5"/>
      <c r="BU1494" s="5"/>
      <c r="BV1494" s="5"/>
      <c r="BW1494" s="5"/>
      <c r="BX1494" s="5"/>
      <c r="BY1494" s="5"/>
      <c r="BZ1494" s="5"/>
      <c r="CA1494" s="5"/>
      <c r="CB1494" s="5"/>
      <c r="CC1494" s="5"/>
      <c r="CD1494" s="5"/>
      <c r="CE1494" s="5"/>
      <c r="CF1494" s="5"/>
      <c r="CG1494" s="5"/>
      <c r="CH1494" s="5"/>
      <c r="CI1494" s="5"/>
      <c r="CJ1494" s="5"/>
      <c r="CK1494" s="5"/>
      <c r="CL1494" s="5"/>
      <c r="CM1494" s="5"/>
      <c r="CN1494" s="5"/>
      <c r="CO1494" s="5"/>
      <c r="CP1494" s="5"/>
      <c r="CQ1494" s="5"/>
      <c r="CR1494" s="5"/>
      <c r="CS1494" s="5"/>
      <c r="CT1494" s="5"/>
      <c r="CU1494" s="5"/>
      <c r="CV1494" s="5"/>
      <c r="CW1494" s="5"/>
      <c r="CX1494" s="5"/>
      <c r="CY1494" s="5"/>
      <c r="CZ1494" s="5"/>
      <c r="DA1494" s="5"/>
      <c r="DB1494" s="5"/>
      <c r="DC1494" s="5"/>
      <c r="DD1494" s="5"/>
      <c r="DE1494" s="5"/>
      <c r="DF1494" s="5"/>
      <c r="DG1494" s="5"/>
      <c r="DH1494" s="5"/>
      <c r="DI1494" s="5"/>
      <c r="DJ1494" s="5"/>
      <c r="DK1494" s="5"/>
      <c r="DL1494" s="5"/>
      <c r="DM1494" s="5"/>
      <c r="DN1494" s="5"/>
      <c r="DO1494" s="5"/>
      <c r="DP1494" s="5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  <c r="GV1494" s="1"/>
      <c r="GW1494" s="1"/>
      <c r="GX1494" s="1"/>
      <c r="GY1494" s="1"/>
      <c r="GZ1494" s="1"/>
      <c r="HA1494" s="1"/>
      <c r="HB1494" s="1"/>
      <c r="HC1494" s="1"/>
      <c r="HD1494" s="1"/>
      <c r="HE1494" s="1"/>
      <c r="HF1494" s="1"/>
      <c r="HG1494" s="1"/>
      <c r="HH1494" s="1"/>
      <c r="HI1494" s="1"/>
      <c r="HJ1494" s="1"/>
      <c r="HK1494" s="1"/>
      <c r="HL1494" s="1"/>
      <c r="HM1494" s="1"/>
      <c r="HN1494" s="1"/>
      <c r="HO1494" s="1"/>
      <c r="HP1494" s="1"/>
      <c r="HQ1494" s="1"/>
      <c r="HR1494" s="1"/>
      <c r="HS1494" s="1"/>
      <c r="HT1494" s="1"/>
      <c r="HU1494" s="1"/>
      <c r="HV1494" s="1"/>
      <c r="HW1494" s="1"/>
      <c r="HX1494" s="1"/>
      <c r="HY1494" s="1"/>
      <c r="HZ1494" s="1"/>
      <c r="IA1494" s="1"/>
      <c r="IB1494" s="1"/>
      <c r="IC1494" s="1"/>
      <c r="ID1494" s="1"/>
      <c r="IE1494" s="1"/>
      <c r="IF1494" s="1"/>
      <c r="IG1494" s="1"/>
      <c r="IH1494" s="1"/>
      <c r="II1494" s="1"/>
      <c r="IJ1494" s="1"/>
      <c r="IK1494" s="1"/>
      <c r="IL1494" s="1"/>
      <c r="IM1494" s="1"/>
      <c r="IN1494" s="1"/>
      <c r="IO1494" s="1"/>
      <c r="IP1494" s="1"/>
      <c r="IQ1494" s="1"/>
      <c r="IR1494" s="1"/>
      <c r="IS1494" s="1"/>
      <c r="IT1494" s="1"/>
      <c r="IU1494" s="1"/>
      <c r="IV1494" s="1"/>
      <c r="IW1494" s="1"/>
      <c r="IX1494" s="1"/>
      <c r="IY1494" s="1"/>
      <c r="IZ1494" s="1"/>
      <c r="JA1494" s="1"/>
      <c r="JB1494" s="1"/>
      <c r="JC1494" s="1"/>
      <c r="JD1494" s="1"/>
    </row>
    <row r="1495" s="504" customFormat="true" ht="12.75" hidden="false" customHeight="true" outlineLevel="0" collapsed="false">
      <c r="A1495" s="5"/>
      <c r="B1495" s="5"/>
      <c r="C1495" s="5"/>
      <c r="D1495" s="8"/>
      <c r="E1495" s="8"/>
      <c r="F1495" s="8"/>
      <c r="G1495" s="5"/>
      <c r="H1495" s="5"/>
      <c r="I1495" s="5"/>
      <c r="J1495" s="8"/>
      <c r="K1495" s="8"/>
      <c r="L1495" s="5"/>
      <c r="M1495" s="8"/>
      <c r="N1495" s="8"/>
      <c r="O1495" s="8"/>
      <c r="P1495" s="8"/>
      <c r="Q1495" s="5"/>
      <c r="R1495" s="5"/>
      <c r="S1495" s="5"/>
      <c r="T1495" s="5"/>
      <c r="U1495" s="5"/>
      <c r="V1495" s="10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02"/>
      <c r="AU1495" s="502"/>
      <c r="AV1495" s="606"/>
      <c r="AW1495" s="502"/>
      <c r="AX1495" s="502"/>
      <c r="AY1495" s="502"/>
      <c r="AZ1495" s="502"/>
      <c r="BA1495" s="502"/>
      <c r="BB1495" s="502"/>
      <c r="BC1495" s="502"/>
      <c r="BD1495" s="502"/>
      <c r="BE1495" s="502"/>
      <c r="BF1495" s="502"/>
      <c r="BG1495" s="502"/>
      <c r="BH1495" s="502"/>
      <c r="BI1495" s="502"/>
      <c r="BJ1495" s="502"/>
      <c r="BK1495" s="502"/>
      <c r="BL1495" s="502"/>
      <c r="BM1495" s="502"/>
      <c r="BN1495" s="502"/>
      <c r="BO1495" s="502"/>
      <c r="BP1495" s="5"/>
      <c r="BQ1495" s="5"/>
      <c r="BR1495" s="5"/>
      <c r="BS1495" s="5"/>
      <c r="BT1495" s="5"/>
      <c r="BU1495" s="5"/>
      <c r="BV1495" s="5"/>
      <c r="BW1495" s="5"/>
      <c r="BX1495" s="5"/>
      <c r="BY1495" s="5"/>
      <c r="BZ1495" s="5"/>
      <c r="CA1495" s="5"/>
      <c r="CB1495" s="5"/>
      <c r="CC1495" s="5"/>
      <c r="CD1495" s="5"/>
      <c r="CE1495" s="5"/>
      <c r="CF1495" s="5"/>
      <c r="CG1495" s="5"/>
      <c r="CH1495" s="5"/>
      <c r="CI1495" s="5"/>
      <c r="CJ1495" s="5"/>
      <c r="CK1495" s="5"/>
      <c r="CL1495" s="5"/>
      <c r="CM1495" s="5"/>
      <c r="CN1495" s="5"/>
      <c r="CO1495" s="5"/>
      <c r="CP1495" s="5"/>
      <c r="CQ1495" s="5"/>
      <c r="CR1495" s="5"/>
      <c r="CS1495" s="5"/>
      <c r="CT1495" s="5"/>
      <c r="CU1495" s="5"/>
      <c r="CV1495" s="5"/>
      <c r="CW1495" s="5"/>
      <c r="CX1495" s="5"/>
      <c r="CY1495" s="5"/>
      <c r="CZ1495" s="5"/>
      <c r="DA1495" s="5"/>
      <c r="DB1495" s="5"/>
      <c r="DC1495" s="5"/>
      <c r="DD1495" s="5"/>
      <c r="DE1495" s="5"/>
      <c r="DF1495" s="5"/>
      <c r="DG1495" s="5"/>
      <c r="DH1495" s="5"/>
      <c r="DI1495" s="5"/>
      <c r="DJ1495" s="5"/>
      <c r="DK1495" s="5"/>
      <c r="DL1495" s="5"/>
      <c r="DM1495" s="5"/>
      <c r="DN1495" s="5"/>
      <c r="DO1495" s="5"/>
      <c r="DP1495" s="5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  <c r="GV1495" s="1"/>
      <c r="GW1495" s="1"/>
      <c r="GX1495" s="1"/>
      <c r="GY1495" s="1"/>
      <c r="GZ1495" s="1"/>
      <c r="HA1495" s="1"/>
      <c r="HB1495" s="1"/>
      <c r="HC1495" s="1"/>
      <c r="HD1495" s="1"/>
      <c r="HE1495" s="1"/>
      <c r="HF1495" s="1"/>
      <c r="HG1495" s="1"/>
      <c r="HH1495" s="1"/>
      <c r="HI1495" s="1"/>
      <c r="HJ1495" s="1"/>
      <c r="HK1495" s="1"/>
      <c r="HL1495" s="1"/>
      <c r="HM1495" s="1"/>
      <c r="HN1495" s="1"/>
      <c r="HO1495" s="1"/>
      <c r="HP1495" s="1"/>
      <c r="HQ1495" s="1"/>
      <c r="HR1495" s="1"/>
      <c r="HS1495" s="1"/>
      <c r="HT1495" s="1"/>
      <c r="HU1495" s="1"/>
      <c r="HV1495" s="1"/>
      <c r="HW1495" s="1"/>
      <c r="HX1495" s="1"/>
      <c r="HY1495" s="1"/>
      <c r="HZ1495" s="1"/>
      <c r="IA1495" s="1"/>
      <c r="IB1495" s="1"/>
      <c r="IC1495" s="1"/>
      <c r="ID1495" s="1"/>
      <c r="IE1495" s="1"/>
      <c r="IF1495" s="1"/>
      <c r="IG1495" s="1"/>
      <c r="IH1495" s="1"/>
      <c r="II1495" s="1"/>
      <c r="IJ1495" s="1"/>
      <c r="IK1495" s="1"/>
      <c r="IL1495" s="1"/>
      <c r="IM1495" s="1"/>
      <c r="IN1495" s="1"/>
      <c r="IO1495" s="1"/>
      <c r="IP1495" s="1"/>
      <c r="IQ1495" s="1"/>
      <c r="IR1495" s="1"/>
      <c r="IS1495" s="1"/>
      <c r="IT1495" s="1"/>
      <c r="IU1495" s="1"/>
      <c r="IV1495" s="1"/>
      <c r="IW1495" s="1"/>
      <c r="IX1495" s="1"/>
      <c r="IY1495" s="1"/>
      <c r="IZ1495" s="1"/>
      <c r="JA1495" s="1"/>
      <c r="JB1495" s="1"/>
      <c r="JC1495" s="1"/>
      <c r="JD1495" s="1"/>
    </row>
    <row r="1496" s="504" customFormat="true" ht="12.75" hidden="false" customHeight="true" outlineLevel="0" collapsed="false">
      <c r="A1496" s="5"/>
      <c r="B1496" s="5"/>
      <c r="C1496" s="5"/>
      <c r="D1496" s="8"/>
      <c r="E1496" s="8"/>
      <c r="F1496" s="8"/>
      <c r="G1496" s="5"/>
      <c r="H1496" s="5"/>
      <c r="I1496" s="5"/>
      <c r="J1496" s="8"/>
      <c r="K1496" s="8"/>
      <c r="L1496" s="5"/>
      <c r="M1496" s="8"/>
      <c r="N1496" s="8"/>
      <c r="O1496" s="8"/>
      <c r="P1496" s="8"/>
      <c r="Q1496" s="5"/>
      <c r="R1496" s="5"/>
      <c r="S1496" s="5"/>
      <c r="T1496" s="5"/>
      <c r="U1496" s="5"/>
      <c r="V1496" s="10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02"/>
      <c r="AU1496" s="502"/>
      <c r="AV1496" s="606"/>
      <c r="AW1496" s="502"/>
      <c r="AX1496" s="502"/>
      <c r="AY1496" s="502"/>
      <c r="AZ1496" s="502"/>
      <c r="BA1496" s="502"/>
      <c r="BB1496" s="502"/>
      <c r="BC1496" s="502"/>
      <c r="BD1496" s="502"/>
      <c r="BE1496" s="502"/>
      <c r="BF1496" s="502"/>
      <c r="BG1496" s="502"/>
      <c r="BH1496" s="502"/>
      <c r="BI1496" s="502"/>
      <c r="BJ1496" s="502"/>
      <c r="BK1496" s="502"/>
      <c r="BL1496" s="502"/>
      <c r="BM1496" s="502"/>
      <c r="BN1496" s="502"/>
      <c r="BO1496" s="502"/>
      <c r="BP1496" s="5"/>
      <c r="BQ1496" s="5"/>
      <c r="BR1496" s="5"/>
      <c r="BS1496" s="5"/>
      <c r="BT1496" s="5"/>
      <c r="BU1496" s="5"/>
      <c r="BV1496" s="5"/>
      <c r="BW1496" s="5"/>
      <c r="BX1496" s="5"/>
      <c r="BY1496" s="5"/>
      <c r="BZ1496" s="5"/>
      <c r="CA1496" s="5"/>
      <c r="CB1496" s="5"/>
      <c r="CC1496" s="5"/>
      <c r="CD1496" s="5"/>
      <c r="CE1496" s="5"/>
      <c r="CF1496" s="5"/>
      <c r="CG1496" s="5"/>
      <c r="CH1496" s="5"/>
      <c r="CI1496" s="5"/>
      <c r="CJ1496" s="5"/>
      <c r="CK1496" s="5"/>
      <c r="CL1496" s="5"/>
      <c r="CM1496" s="5"/>
      <c r="CN1496" s="5"/>
      <c r="CO1496" s="5"/>
      <c r="CP1496" s="5"/>
      <c r="CQ1496" s="5"/>
      <c r="CR1496" s="5"/>
      <c r="CS1496" s="5"/>
      <c r="CT1496" s="5"/>
      <c r="CU1496" s="5"/>
      <c r="CV1496" s="5"/>
      <c r="CW1496" s="5"/>
      <c r="CX1496" s="5"/>
      <c r="CY1496" s="5"/>
      <c r="CZ1496" s="5"/>
      <c r="DA1496" s="5"/>
      <c r="DB1496" s="5"/>
      <c r="DC1496" s="5"/>
      <c r="DD1496" s="5"/>
      <c r="DE1496" s="5"/>
      <c r="DF1496" s="5"/>
      <c r="DG1496" s="5"/>
      <c r="DH1496" s="5"/>
      <c r="DI1496" s="5"/>
      <c r="DJ1496" s="5"/>
      <c r="DK1496" s="5"/>
      <c r="DL1496" s="5"/>
      <c r="DM1496" s="5"/>
      <c r="DN1496" s="5"/>
      <c r="DO1496" s="5"/>
      <c r="DP1496" s="5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  <c r="GV1496" s="1"/>
      <c r="GW1496" s="1"/>
      <c r="GX1496" s="1"/>
      <c r="GY1496" s="1"/>
      <c r="GZ1496" s="1"/>
      <c r="HA1496" s="1"/>
      <c r="HB1496" s="1"/>
      <c r="HC1496" s="1"/>
      <c r="HD1496" s="1"/>
      <c r="HE1496" s="1"/>
      <c r="HF1496" s="1"/>
      <c r="HG1496" s="1"/>
      <c r="HH1496" s="1"/>
      <c r="HI1496" s="1"/>
      <c r="HJ1496" s="1"/>
      <c r="HK1496" s="1"/>
      <c r="HL1496" s="1"/>
      <c r="HM1496" s="1"/>
      <c r="HN1496" s="1"/>
      <c r="HO1496" s="1"/>
      <c r="HP1496" s="1"/>
      <c r="HQ1496" s="1"/>
      <c r="HR1496" s="1"/>
      <c r="HS1496" s="1"/>
      <c r="HT1496" s="1"/>
      <c r="HU1496" s="1"/>
      <c r="HV1496" s="1"/>
      <c r="HW1496" s="1"/>
      <c r="HX1496" s="1"/>
      <c r="HY1496" s="1"/>
      <c r="HZ1496" s="1"/>
      <c r="IA1496" s="1"/>
      <c r="IB1496" s="1"/>
      <c r="IC1496" s="1"/>
      <c r="ID1496" s="1"/>
      <c r="IE1496" s="1"/>
      <c r="IF1496" s="1"/>
      <c r="IG1496" s="1"/>
      <c r="IH1496" s="1"/>
      <c r="II1496" s="1"/>
      <c r="IJ1496" s="1"/>
      <c r="IK1496" s="1"/>
      <c r="IL1496" s="1"/>
      <c r="IM1496" s="1"/>
      <c r="IN1496" s="1"/>
      <c r="IO1496" s="1"/>
      <c r="IP1496" s="1"/>
      <c r="IQ1496" s="1"/>
      <c r="IR1496" s="1"/>
      <c r="IS1496" s="1"/>
      <c r="IT1496" s="1"/>
      <c r="IU1496" s="1"/>
      <c r="IV1496" s="1"/>
      <c r="IW1496" s="1"/>
      <c r="IX1496" s="1"/>
      <c r="IY1496" s="1"/>
      <c r="IZ1496" s="1"/>
      <c r="JA1496" s="1"/>
      <c r="JB1496" s="1"/>
      <c r="JC1496" s="1"/>
      <c r="JD1496" s="1"/>
    </row>
    <row r="1497" s="504" customFormat="true" ht="12.75" hidden="false" customHeight="true" outlineLevel="0" collapsed="false">
      <c r="A1497" s="5"/>
      <c r="B1497" s="5"/>
      <c r="C1497" s="5"/>
      <c r="D1497" s="8"/>
      <c r="E1497" s="8"/>
      <c r="F1497" s="8"/>
      <c r="G1497" s="5"/>
      <c r="H1497" s="5"/>
      <c r="I1497" s="5"/>
      <c r="J1497" s="8"/>
      <c r="K1497" s="8"/>
      <c r="L1497" s="5"/>
      <c r="M1497" s="8"/>
      <c r="N1497" s="8"/>
      <c r="O1497" s="8"/>
      <c r="P1497" s="8"/>
      <c r="Q1497" s="5"/>
      <c r="R1497" s="5"/>
      <c r="S1497" s="5"/>
      <c r="T1497" s="5"/>
      <c r="U1497" s="5"/>
      <c r="V1497" s="10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02"/>
      <c r="AU1497" s="502"/>
      <c r="AV1497" s="606"/>
      <c r="AW1497" s="502"/>
      <c r="AX1497" s="502"/>
      <c r="AY1497" s="502"/>
      <c r="AZ1497" s="502"/>
      <c r="BA1497" s="502"/>
      <c r="BB1497" s="502"/>
      <c r="BC1497" s="502"/>
      <c r="BD1497" s="502"/>
      <c r="BE1497" s="502"/>
      <c r="BF1497" s="502"/>
      <c r="BG1497" s="502"/>
      <c r="BH1497" s="502"/>
      <c r="BI1497" s="502"/>
      <c r="BJ1497" s="502"/>
      <c r="BK1497" s="502"/>
      <c r="BL1497" s="502"/>
      <c r="BM1497" s="502"/>
      <c r="BN1497" s="502"/>
      <c r="BO1497" s="502"/>
      <c r="BP1497" s="5"/>
      <c r="BQ1497" s="5"/>
      <c r="BR1497" s="5"/>
      <c r="BS1497" s="5"/>
      <c r="BT1497" s="5"/>
      <c r="BU1497" s="5"/>
      <c r="BV1497" s="5"/>
      <c r="BW1497" s="5"/>
      <c r="BX1497" s="5"/>
      <c r="BY1497" s="5"/>
      <c r="BZ1497" s="5"/>
      <c r="CA1497" s="5"/>
      <c r="CB1497" s="5"/>
      <c r="CC1497" s="5"/>
      <c r="CD1497" s="5"/>
      <c r="CE1497" s="5"/>
      <c r="CF1497" s="5"/>
      <c r="CG1497" s="5"/>
      <c r="CH1497" s="5"/>
      <c r="CI1497" s="5"/>
      <c r="CJ1497" s="5"/>
      <c r="CK1497" s="5"/>
      <c r="CL1497" s="5"/>
      <c r="CM1497" s="5"/>
      <c r="CN1497" s="5"/>
      <c r="CO1497" s="5"/>
      <c r="CP1497" s="5"/>
      <c r="CQ1497" s="5"/>
      <c r="CR1497" s="5"/>
      <c r="CS1497" s="5"/>
      <c r="CT1497" s="5"/>
      <c r="CU1497" s="5"/>
      <c r="CV1497" s="5"/>
      <c r="CW1497" s="5"/>
      <c r="CX1497" s="5"/>
      <c r="CY1497" s="5"/>
      <c r="CZ1497" s="5"/>
      <c r="DA1497" s="5"/>
      <c r="DB1497" s="5"/>
      <c r="DC1497" s="5"/>
      <c r="DD1497" s="5"/>
      <c r="DE1497" s="5"/>
      <c r="DF1497" s="5"/>
      <c r="DG1497" s="5"/>
      <c r="DH1497" s="5"/>
      <c r="DI1497" s="5"/>
      <c r="DJ1497" s="5"/>
      <c r="DK1497" s="5"/>
      <c r="DL1497" s="5"/>
      <c r="DM1497" s="5"/>
      <c r="DN1497" s="5"/>
      <c r="DO1497" s="5"/>
      <c r="DP1497" s="5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  <c r="GV1497" s="1"/>
      <c r="GW1497" s="1"/>
      <c r="GX1497" s="1"/>
      <c r="GY1497" s="1"/>
      <c r="GZ1497" s="1"/>
      <c r="HA1497" s="1"/>
      <c r="HB1497" s="1"/>
      <c r="HC1497" s="1"/>
      <c r="HD1497" s="1"/>
      <c r="HE1497" s="1"/>
      <c r="HF1497" s="1"/>
      <c r="HG1497" s="1"/>
      <c r="HH1497" s="1"/>
      <c r="HI1497" s="1"/>
      <c r="HJ1497" s="1"/>
      <c r="HK1497" s="1"/>
      <c r="HL1497" s="1"/>
      <c r="HM1497" s="1"/>
      <c r="HN1497" s="1"/>
      <c r="HO1497" s="1"/>
      <c r="HP1497" s="1"/>
      <c r="HQ1497" s="1"/>
      <c r="HR1497" s="1"/>
      <c r="HS1497" s="1"/>
      <c r="HT1497" s="1"/>
      <c r="HU1497" s="1"/>
      <c r="HV1497" s="1"/>
      <c r="HW1497" s="1"/>
      <c r="HX1497" s="1"/>
      <c r="HY1497" s="1"/>
      <c r="HZ1497" s="1"/>
      <c r="IA1497" s="1"/>
      <c r="IB1497" s="1"/>
      <c r="IC1497" s="1"/>
      <c r="ID1497" s="1"/>
      <c r="IE1497" s="1"/>
      <c r="IF1497" s="1"/>
      <c r="IG1497" s="1"/>
      <c r="IH1497" s="1"/>
      <c r="II1497" s="1"/>
      <c r="IJ1497" s="1"/>
      <c r="IK1497" s="1"/>
      <c r="IL1497" s="1"/>
      <c r="IM1497" s="1"/>
      <c r="IN1497" s="1"/>
      <c r="IO1497" s="1"/>
      <c r="IP1497" s="1"/>
      <c r="IQ1497" s="1"/>
      <c r="IR1497" s="1"/>
      <c r="IS1497" s="1"/>
      <c r="IT1497" s="1"/>
      <c r="IU1497" s="1"/>
      <c r="IV1497" s="1"/>
      <c r="IW1497" s="1"/>
      <c r="IX1497" s="1"/>
      <c r="IY1497" s="1"/>
      <c r="IZ1497" s="1"/>
      <c r="JA1497" s="1"/>
      <c r="JB1497" s="1"/>
      <c r="JC1497" s="1"/>
      <c r="JD1497" s="1"/>
    </row>
    <row r="1498" s="504" customFormat="true" ht="12.75" hidden="false" customHeight="true" outlineLevel="0" collapsed="false">
      <c r="A1498" s="5"/>
      <c r="B1498" s="5"/>
      <c r="C1498" s="5"/>
      <c r="D1498" s="8"/>
      <c r="E1498" s="8"/>
      <c r="F1498" s="8"/>
      <c r="G1498" s="5"/>
      <c r="H1498" s="5"/>
      <c r="I1498" s="5"/>
      <c r="J1498" s="8"/>
      <c r="K1498" s="8"/>
      <c r="L1498" s="5"/>
      <c r="M1498" s="8"/>
      <c r="N1498" s="8"/>
      <c r="O1498" s="8"/>
      <c r="P1498" s="8"/>
      <c r="Q1498" s="5"/>
      <c r="R1498" s="5"/>
      <c r="S1498" s="5"/>
      <c r="T1498" s="5"/>
      <c r="U1498" s="5"/>
      <c r="V1498" s="10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02"/>
      <c r="AU1498" s="502"/>
      <c r="AV1498" s="606"/>
      <c r="AW1498" s="502"/>
      <c r="AX1498" s="502"/>
      <c r="AY1498" s="502"/>
      <c r="AZ1498" s="502"/>
      <c r="BA1498" s="502"/>
      <c r="BB1498" s="502"/>
      <c r="BC1498" s="502"/>
      <c r="BD1498" s="502"/>
      <c r="BE1498" s="502"/>
      <c r="BF1498" s="502"/>
      <c r="BG1498" s="502"/>
      <c r="BH1498" s="502"/>
      <c r="BI1498" s="502"/>
      <c r="BJ1498" s="502"/>
      <c r="BK1498" s="502"/>
      <c r="BL1498" s="502"/>
      <c r="BM1498" s="502"/>
      <c r="BN1498" s="502"/>
      <c r="BO1498" s="502"/>
      <c r="BP1498" s="5"/>
      <c r="BQ1498" s="5"/>
      <c r="BR1498" s="5"/>
      <c r="BS1498" s="5"/>
      <c r="BT1498" s="5"/>
      <c r="BU1498" s="5"/>
      <c r="BV1498" s="5"/>
      <c r="BW1498" s="5"/>
      <c r="BX1498" s="5"/>
      <c r="BY1498" s="5"/>
      <c r="BZ1498" s="5"/>
      <c r="CA1498" s="5"/>
      <c r="CB1498" s="5"/>
      <c r="CC1498" s="5"/>
      <c r="CD1498" s="5"/>
      <c r="CE1498" s="5"/>
      <c r="CF1498" s="5"/>
      <c r="CG1498" s="5"/>
      <c r="CH1498" s="5"/>
      <c r="CI1498" s="5"/>
      <c r="CJ1498" s="5"/>
      <c r="CK1498" s="5"/>
      <c r="CL1498" s="5"/>
      <c r="CM1498" s="5"/>
      <c r="CN1498" s="5"/>
      <c r="CO1498" s="5"/>
      <c r="CP1498" s="5"/>
      <c r="CQ1498" s="5"/>
      <c r="CR1498" s="5"/>
      <c r="CS1498" s="5"/>
      <c r="CT1498" s="5"/>
      <c r="CU1498" s="5"/>
      <c r="CV1498" s="5"/>
      <c r="CW1498" s="5"/>
      <c r="CX1498" s="5"/>
      <c r="CY1498" s="5"/>
      <c r="CZ1498" s="5"/>
      <c r="DA1498" s="5"/>
      <c r="DB1498" s="5"/>
      <c r="DC1498" s="5"/>
      <c r="DD1498" s="5"/>
      <c r="DE1498" s="5"/>
      <c r="DF1498" s="5"/>
      <c r="DG1498" s="5"/>
      <c r="DH1498" s="5"/>
      <c r="DI1498" s="5"/>
      <c r="DJ1498" s="5"/>
      <c r="DK1498" s="5"/>
      <c r="DL1498" s="5"/>
      <c r="DM1498" s="5"/>
      <c r="DN1498" s="5"/>
      <c r="DO1498" s="5"/>
      <c r="DP1498" s="5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  <c r="GV1498" s="1"/>
      <c r="GW1498" s="1"/>
      <c r="GX1498" s="1"/>
      <c r="GY1498" s="1"/>
      <c r="GZ1498" s="1"/>
      <c r="HA1498" s="1"/>
      <c r="HB1498" s="1"/>
      <c r="HC1498" s="1"/>
      <c r="HD1498" s="1"/>
      <c r="HE1498" s="1"/>
      <c r="HF1498" s="1"/>
      <c r="HG1498" s="1"/>
      <c r="HH1498" s="1"/>
      <c r="HI1498" s="1"/>
      <c r="HJ1498" s="1"/>
      <c r="HK1498" s="1"/>
      <c r="HL1498" s="1"/>
      <c r="HM1498" s="1"/>
      <c r="HN1498" s="1"/>
      <c r="HO1498" s="1"/>
      <c r="HP1498" s="1"/>
      <c r="HQ1498" s="1"/>
      <c r="HR1498" s="1"/>
      <c r="HS1498" s="1"/>
      <c r="HT1498" s="1"/>
      <c r="HU1498" s="1"/>
      <c r="HV1498" s="1"/>
      <c r="HW1498" s="1"/>
      <c r="HX1498" s="1"/>
      <c r="HY1498" s="1"/>
      <c r="HZ1498" s="1"/>
      <c r="IA1498" s="1"/>
      <c r="IB1498" s="1"/>
      <c r="IC1498" s="1"/>
      <c r="ID1498" s="1"/>
      <c r="IE1498" s="1"/>
      <c r="IF1498" s="1"/>
      <c r="IG1498" s="1"/>
      <c r="IH1498" s="1"/>
      <c r="II1498" s="1"/>
      <c r="IJ1498" s="1"/>
      <c r="IK1498" s="1"/>
      <c r="IL1498" s="1"/>
      <c r="IM1498" s="1"/>
      <c r="IN1498" s="1"/>
      <c r="IO1498" s="1"/>
      <c r="IP1498" s="1"/>
      <c r="IQ1498" s="1"/>
      <c r="IR1498" s="1"/>
      <c r="IS1498" s="1"/>
      <c r="IT1498" s="1"/>
      <c r="IU1498" s="1"/>
      <c r="IV1498" s="1"/>
      <c r="IW1498" s="1"/>
      <c r="IX1498" s="1"/>
      <c r="IY1498" s="1"/>
      <c r="IZ1498" s="1"/>
      <c r="JA1498" s="1"/>
      <c r="JB1498" s="1"/>
      <c r="JC1498" s="1"/>
      <c r="JD1498" s="1"/>
    </row>
    <row r="1499" s="504" customFormat="true" ht="12.75" hidden="false" customHeight="true" outlineLevel="0" collapsed="false">
      <c r="A1499" s="5"/>
      <c r="B1499" s="5"/>
      <c r="C1499" s="5"/>
      <c r="D1499" s="8"/>
      <c r="E1499" s="8"/>
      <c r="F1499" s="8"/>
      <c r="G1499" s="5"/>
      <c r="H1499" s="5"/>
      <c r="I1499" s="5"/>
      <c r="J1499" s="8"/>
      <c r="K1499" s="8"/>
      <c r="L1499" s="5"/>
      <c r="M1499" s="8"/>
      <c r="N1499" s="8"/>
      <c r="O1499" s="8"/>
      <c r="P1499" s="8"/>
      <c r="Q1499" s="5"/>
      <c r="R1499" s="5"/>
      <c r="S1499" s="5"/>
      <c r="T1499" s="5"/>
      <c r="U1499" s="5"/>
      <c r="V1499" s="10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02"/>
      <c r="AU1499" s="502"/>
      <c r="AV1499" s="606"/>
      <c r="AW1499" s="502"/>
      <c r="AX1499" s="502"/>
      <c r="AY1499" s="502"/>
      <c r="AZ1499" s="502"/>
      <c r="BA1499" s="502"/>
      <c r="BB1499" s="502"/>
      <c r="BC1499" s="502"/>
      <c r="BD1499" s="502"/>
      <c r="BE1499" s="502"/>
      <c r="BF1499" s="502"/>
      <c r="BG1499" s="502"/>
      <c r="BH1499" s="502"/>
      <c r="BI1499" s="502"/>
      <c r="BJ1499" s="502"/>
      <c r="BK1499" s="502"/>
      <c r="BL1499" s="502"/>
      <c r="BM1499" s="502"/>
      <c r="BN1499" s="502"/>
      <c r="BO1499" s="502"/>
      <c r="BP1499" s="5"/>
      <c r="BQ1499" s="5"/>
      <c r="BR1499" s="5"/>
      <c r="BS1499" s="5"/>
      <c r="BT1499" s="5"/>
      <c r="BU1499" s="5"/>
      <c r="BV1499" s="5"/>
      <c r="BW1499" s="5"/>
      <c r="BX1499" s="5"/>
      <c r="BY1499" s="5"/>
      <c r="BZ1499" s="5"/>
      <c r="CA1499" s="5"/>
      <c r="CB1499" s="5"/>
      <c r="CC1499" s="5"/>
      <c r="CD1499" s="5"/>
      <c r="CE1499" s="5"/>
      <c r="CF1499" s="5"/>
      <c r="CG1499" s="5"/>
      <c r="CH1499" s="5"/>
      <c r="CI1499" s="5"/>
      <c r="CJ1499" s="5"/>
      <c r="CK1499" s="5"/>
      <c r="CL1499" s="5"/>
      <c r="CM1499" s="5"/>
      <c r="CN1499" s="5"/>
      <c r="CO1499" s="5"/>
      <c r="CP1499" s="5"/>
      <c r="CQ1499" s="5"/>
      <c r="CR1499" s="5"/>
      <c r="CS1499" s="5"/>
      <c r="CT1499" s="5"/>
      <c r="CU1499" s="5"/>
      <c r="CV1499" s="5"/>
      <c r="CW1499" s="5"/>
      <c r="CX1499" s="5"/>
      <c r="CY1499" s="5"/>
      <c r="CZ1499" s="5"/>
      <c r="DA1499" s="5"/>
      <c r="DB1499" s="5"/>
      <c r="DC1499" s="5"/>
      <c r="DD1499" s="5"/>
      <c r="DE1499" s="5"/>
      <c r="DF1499" s="5"/>
      <c r="DG1499" s="5"/>
      <c r="DH1499" s="5"/>
      <c r="DI1499" s="5"/>
      <c r="DJ1499" s="5"/>
      <c r="DK1499" s="5"/>
      <c r="DL1499" s="5"/>
      <c r="DM1499" s="5"/>
      <c r="DN1499" s="5"/>
      <c r="DO1499" s="5"/>
      <c r="DP1499" s="5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  <c r="GV1499" s="1"/>
      <c r="GW1499" s="1"/>
      <c r="GX1499" s="1"/>
      <c r="GY1499" s="1"/>
      <c r="GZ1499" s="1"/>
      <c r="HA1499" s="1"/>
      <c r="HB1499" s="1"/>
      <c r="HC1499" s="1"/>
      <c r="HD1499" s="1"/>
      <c r="HE1499" s="1"/>
      <c r="HF1499" s="1"/>
      <c r="HG1499" s="1"/>
      <c r="HH1499" s="1"/>
      <c r="HI1499" s="1"/>
      <c r="HJ1499" s="1"/>
      <c r="HK1499" s="1"/>
      <c r="HL1499" s="1"/>
      <c r="HM1499" s="1"/>
      <c r="HN1499" s="1"/>
      <c r="HO1499" s="1"/>
      <c r="HP1499" s="1"/>
      <c r="HQ1499" s="1"/>
      <c r="HR1499" s="1"/>
      <c r="HS1499" s="1"/>
      <c r="HT1499" s="1"/>
      <c r="HU1499" s="1"/>
      <c r="HV1499" s="1"/>
      <c r="HW1499" s="1"/>
      <c r="HX1499" s="1"/>
      <c r="HY1499" s="1"/>
      <c r="HZ1499" s="1"/>
      <c r="IA1499" s="1"/>
      <c r="IB1499" s="1"/>
      <c r="IC1499" s="1"/>
      <c r="ID1499" s="1"/>
      <c r="IE1499" s="1"/>
      <c r="IF1499" s="1"/>
      <c r="IG1499" s="1"/>
      <c r="IH1499" s="1"/>
      <c r="II1499" s="1"/>
      <c r="IJ1499" s="1"/>
      <c r="IK1499" s="1"/>
      <c r="IL1499" s="1"/>
      <c r="IM1499" s="1"/>
      <c r="IN1499" s="1"/>
      <c r="IO1499" s="1"/>
      <c r="IP1499" s="1"/>
      <c r="IQ1499" s="1"/>
      <c r="IR1499" s="1"/>
      <c r="IS1499" s="1"/>
      <c r="IT1499" s="1"/>
      <c r="IU1499" s="1"/>
      <c r="IV1499" s="1"/>
      <c r="IW1499" s="1"/>
      <c r="IX1499" s="1"/>
      <c r="IY1499" s="1"/>
      <c r="IZ1499" s="1"/>
      <c r="JA1499" s="1"/>
      <c r="JB1499" s="1"/>
      <c r="JC1499" s="1"/>
      <c r="JD1499" s="1"/>
    </row>
    <row r="1500" s="504" customFormat="true" ht="12.75" hidden="false" customHeight="true" outlineLevel="0" collapsed="false">
      <c r="A1500" s="5"/>
      <c r="B1500" s="5"/>
      <c r="C1500" s="5"/>
      <c r="D1500" s="8"/>
      <c r="E1500" s="8"/>
      <c r="F1500" s="8"/>
      <c r="G1500" s="5"/>
      <c r="H1500" s="5"/>
      <c r="I1500" s="5"/>
      <c r="J1500" s="8"/>
      <c r="K1500" s="8"/>
      <c r="L1500" s="5"/>
      <c r="M1500" s="8"/>
      <c r="N1500" s="8"/>
      <c r="O1500" s="8"/>
      <c r="P1500" s="8"/>
      <c r="Q1500" s="5"/>
      <c r="R1500" s="5"/>
      <c r="S1500" s="5"/>
      <c r="T1500" s="5"/>
      <c r="U1500" s="5"/>
      <c r="V1500" s="10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02"/>
      <c r="AU1500" s="502"/>
      <c r="AV1500" s="606"/>
      <c r="AW1500" s="502"/>
      <c r="AX1500" s="502"/>
      <c r="AY1500" s="502"/>
      <c r="AZ1500" s="502"/>
      <c r="BA1500" s="502"/>
      <c r="BB1500" s="502"/>
      <c r="BC1500" s="502"/>
      <c r="BD1500" s="502"/>
      <c r="BE1500" s="502"/>
      <c r="BF1500" s="502"/>
      <c r="BG1500" s="502"/>
      <c r="BH1500" s="502"/>
      <c r="BI1500" s="502"/>
      <c r="BJ1500" s="502"/>
      <c r="BK1500" s="502"/>
      <c r="BL1500" s="502"/>
      <c r="BM1500" s="502"/>
      <c r="BN1500" s="502"/>
      <c r="BO1500" s="502"/>
      <c r="BP1500" s="5"/>
      <c r="BQ1500" s="5"/>
      <c r="BR1500" s="5"/>
      <c r="BS1500" s="5"/>
      <c r="BT1500" s="5"/>
      <c r="BU1500" s="5"/>
      <c r="BV1500" s="5"/>
      <c r="BW1500" s="5"/>
      <c r="BX1500" s="5"/>
      <c r="BY1500" s="5"/>
      <c r="BZ1500" s="5"/>
      <c r="CA1500" s="5"/>
      <c r="CB1500" s="5"/>
      <c r="CC1500" s="5"/>
      <c r="CD1500" s="5"/>
      <c r="CE1500" s="5"/>
      <c r="CF1500" s="5"/>
      <c r="CG1500" s="5"/>
      <c r="CH1500" s="5"/>
      <c r="CI1500" s="5"/>
      <c r="CJ1500" s="5"/>
      <c r="CK1500" s="5"/>
      <c r="CL1500" s="5"/>
      <c r="CM1500" s="5"/>
      <c r="CN1500" s="5"/>
      <c r="CO1500" s="5"/>
      <c r="CP1500" s="5"/>
      <c r="CQ1500" s="5"/>
      <c r="CR1500" s="5"/>
      <c r="CS1500" s="5"/>
      <c r="CT1500" s="5"/>
      <c r="CU1500" s="5"/>
      <c r="CV1500" s="5"/>
      <c r="CW1500" s="5"/>
      <c r="CX1500" s="5"/>
      <c r="CY1500" s="5"/>
      <c r="CZ1500" s="5"/>
      <c r="DA1500" s="5"/>
      <c r="DB1500" s="5"/>
      <c r="DC1500" s="5"/>
      <c r="DD1500" s="5"/>
      <c r="DE1500" s="5"/>
      <c r="DF1500" s="5"/>
      <c r="DG1500" s="5"/>
      <c r="DH1500" s="5"/>
      <c r="DI1500" s="5"/>
      <c r="DJ1500" s="5"/>
      <c r="DK1500" s="5"/>
      <c r="DL1500" s="5"/>
      <c r="DM1500" s="5"/>
      <c r="DN1500" s="5"/>
      <c r="DO1500" s="5"/>
      <c r="DP1500" s="5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  <c r="GV1500" s="1"/>
      <c r="GW1500" s="1"/>
      <c r="GX1500" s="1"/>
      <c r="GY1500" s="1"/>
      <c r="GZ1500" s="1"/>
      <c r="HA1500" s="1"/>
      <c r="HB1500" s="1"/>
      <c r="HC1500" s="1"/>
      <c r="HD1500" s="1"/>
      <c r="HE1500" s="1"/>
      <c r="HF1500" s="1"/>
      <c r="HG1500" s="1"/>
      <c r="HH1500" s="1"/>
      <c r="HI1500" s="1"/>
      <c r="HJ1500" s="1"/>
      <c r="HK1500" s="1"/>
      <c r="HL1500" s="1"/>
      <c r="HM1500" s="1"/>
      <c r="HN1500" s="1"/>
      <c r="HO1500" s="1"/>
      <c r="HP1500" s="1"/>
      <c r="HQ1500" s="1"/>
      <c r="HR1500" s="1"/>
      <c r="HS1500" s="1"/>
      <c r="HT1500" s="1"/>
      <c r="HU1500" s="1"/>
      <c r="HV1500" s="1"/>
      <c r="HW1500" s="1"/>
      <c r="HX1500" s="1"/>
      <c r="HY1500" s="1"/>
      <c r="HZ1500" s="1"/>
      <c r="IA1500" s="1"/>
      <c r="IB1500" s="1"/>
      <c r="IC1500" s="1"/>
      <c r="ID1500" s="1"/>
      <c r="IE1500" s="1"/>
      <c r="IF1500" s="1"/>
      <c r="IG1500" s="1"/>
      <c r="IH1500" s="1"/>
      <c r="II1500" s="1"/>
      <c r="IJ1500" s="1"/>
      <c r="IK1500" s="1"/>
      <c r="IL1500" s="1"/>
      <c r="IM1500" s="1"/>
      <c r="IN1500" s="1"/>
      <c r="IO1500" s="1"/>
      <c r="IP1500" s="1"/>
      <c r="IQ1500" s="1"/>
      <c r="IR1500" s="1"/>
      <c r="IS1500" s="1"/>
      <c r="IT1500" s="1"/>
      <c r="IU1500" s="1"/>
      <c r="IV1500" s="1"/>
      <c r="IW1500" s="1"/>
      <c r="IX1500" s="1"/>
      <c r="IY1500" s="1"/>
      <c r="IZ1500" s="1"/>
      <c r="JA1500" s="1"/>
      <c r="JB1500" s="1"/>
      <c r="JC1500" s="1"/>
      <c r="JD1500" s="1"/>
    </row>
    <row r="1501" s="504" customFormat="true" ht="12.75" hidden="false" customHeight="true" outlineLevel="0" collapsed="false">
      <c r="A1501" s="5"/>
      <c r="B1501" s="5"/>
      <c r="C1501" s="5"/>
      <c r="D1501" s="8"/>
      <c r="E1501" s="8"/>
      <c r="F1501" s="8"/>
      <c r="G1501" s="5"/>
      <c r="H1501" s="5"/>
      <c r="I1501" s="5"/>
      <c r="J1501" s="8"/>
      <c r="K1501" s="8"/>
      <c r="L1501" s="5"/>
      <c r="M1501" s="8"/>
      <c r="N1501" s="8"/>
      <c r="O1501" s="8"/>
      <c r="P1501" s="8"/>
      <c r="Q1501" s="5"/>
      <c r="R1501" s="5"/>
      <c r="S1501" s="5"/>
      <c r="T1501" s="5"/>
      <c r="U1501" s="5"/>
      <c r="V1501" s="10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02"/>
      <c r="AU1501" s="502"/>
      <c r="AV1501" s="606"/>
      <c r="AW1501" s="502"/>
      <c r="AX1501" s="502"/>
      <c r="AY1501" s="502"/>
      <c r="AZ1501" s="502"/>
      <c r="BA1501" s="502"/>
      <c r="BB1501" s="502"/>
      <c r="BC1501" s="502"/>
      <c r="BD1501" s="502"/>
      <c r="BE1501" s="502"/>
      <c r="BF1501" s="502"/>
      <c r="BG1501" s="502"/>
      <c r="BH1501" s="502"/>
      <c r="BI1501" s="502"/>
      <c r="BJ1501" s="502"/>
      <c r="BK1501" s="502"/>
      <c r="BL1501" s="502"/>
      <c r="BM1501" s="502"/>
      <c r="BN1501" s="502"/>
      <c r="BO1501" s="502"/>
      <c r="BP1501" s="5"/>
      <c r="BQ1501" s="5"/>
      <c r="BR1501" s="5"/>
      <c r="BS1501" s="5"/>
      <c r="BT1501" s="5"/>
      <c r="BU1501" s="5"/>
      <c r="BV1501" s="5"/>
      <c r="BW1501" s="5"/>
      <c r="BX1501" s="5"/>
      <c r="BY1501" s="5"/>
      <c r="BZ1501" s="5"/>
      <c r="CA1501" s="5"/>
      <c r="CB1501" s="5"/>
      <c r="CC1501" s="5"/>
      <c r="CD1501" s="5"/>
      <c r="CE1501" s="5"/>
      <c r="CF1501" s="5"/>
      <c r="CG1501" s="5"/>
      <c r="CH1501" s="5"/>
      <c r="CI1501" s="5"/>
      <c r="CJ1501" s="5"/>
      <c r="CK1501" s="5"/>
      <c r="CL1501" s="5"/>
      <c r="CM1501" s="5"/>
      <c r="CN1501" s="5"/>
      <c r="CO1501" s="5"/>
      <c r="CP1501" s="5"/>
      <c r="CQ1501" s="5"/>
      <c r="CR1501" s="5"/>
      <c r="CS1501" s="5"/>
      <c r="CT1501" s="5"/>
      <c r="CU1501" s="5"/>
      <c r="CV1501" s="5"/>
      <c r="CW1501" s="5"/>
      <c r="CX1501" s="5"/>
      <c r="CY1501" s="5"/>
      <c r="CZ1501" s="5"/>
      <c r="DA1501" s="5"/>
      <c r="DB1501" s="5"/>
      <c r="DC1501" s="5"/>
      <c r="DD1501" s="5"/>
      <c r="DE1501" s="5"/>
      <c r="DF1501" s="5"/>
      <c r="DG1501" s="5"/>
      <c r="DH1501" s="5"/>
      <c r="DI1501" s="5"/>
      <c r="DJ1501" s="5"/>
      <c r="DK1501" s="5"/>
      <c r="DL1501" s="5"/>
      <c r="DM1501" s="5"/>
      <c r="DN1501" s="5"/>
      <c r="DO1501" s="5"/>
      <c r="DP1501" s="5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  <c r="GV1501" s="1"/>
      <c r="GW1501" s="1"/>
      <c r="GX1501" s="1"/>
      <c r="GY1501" s="1"/>
      <c r="GZ1501" s="1"/>
      <c r="HA1501" s="1"/>
      <c r="HB1501" s="1"/>
      <c r="HC1501" s="1"/>
      <c r="HD1501" s="1"/>
      <c r="HE1501" s="1"/>
      <c r="HF1501" s="1"/>
      <c r="HG1501" s="1"/>
      <c r="HH1501" s="1"/>
      <c r="HI1501" s="1"/>
      <c r="HJ1501" s="1"/>
      <c r="HK1501" s="1"/>
      <c r="HL1501" s="1"/>
      <c r="HM1501" s="1"/>
      <c r="HN1501" s="1"/>
      <c r="HO1501" s="1"/>
      <c r="HP1501" s="1"/>
      <c r="HQ1501" s="1"/>
      <c r="HR1501" s="1"/>
      <c r="HS1501" s="1"/>
      <c r="HT1501" s="1"/>
      <c r="HU1501" s="1"/>
      <c r="HV1501" s="1"/>
      <c r="HW1501" s="1"/>
      <c r="HX1501" s="1"/>
      <c r="HY1501" s="1"/>
      <c r="HZ1501" s="1"/>
      <c r="IA1501" s="1"/>
      <c r="IB1501" s="1"/>
      <c r="IC1501" s="1"/>
      <c r="ID1501" s="1"/>
      <c r="IE1501" s="1"/>
      <c r="IF1501" s="1"/>
      <c r="IG1501" s="1"/>
      <c r="IH1501" s="1"/>
      <c r="II1501" s="1"/>
      <c r="IJ1501" s="1"/>
      <c r="IK1501" s="1"/>
      <c r="IL1501" s="1"/>
      <c r="IM1501" s="1"/>
      <c r="IN1501" s="1"/>
      <c r="IO1501" s="1"/>
      <c r="IP1501" s="1"/>
      <c r="IQ1501" s="1"/>
      <c r="IR1501" s="1"/>
      <c r="IS1501" s="1"/>
      <c r="IT1501" s="1"/>
      <c r="IU1501" s="1"/>
      <c r="IV1501" s="1"/>
      <c r="IW1501" s="1"/>
      <c r="IX1501" s="1"/>
      <c r="IY1501" s="1"/>
      <c r="IZ1501" s="1"/>
      <c r="JA1501" s="1"/>
      <c r="JB1501" s="1"/>
      <c r="JC1501" s="1"/>
      <c r="JD1501" s="1"/>
    </row>
    <row r="1502" s="504" customFormat="true" ht="12.75" hidden="false" customHeight="true" outlineLevel="0" collapsed="false">
      <c r="A1502" s="5"/>
      <c r="B1502" s="5"/>
      <c r="C1502" s="5"/>
      <c r="D1502" s="8"/>
      <c r="E1502" s="8"/>
      <c r="F1502" s="8"/>
      <c r="G1502" s="5"/>
      <c r="H1502" s="5"/>
      <c r="I1502" s="5"/>
      <c r="J1502" s="8"/>
      <c r="K1502" s="8"/>
      <c r="L1502" s="5"/>
      <c r="M1502" s="8"/>
      <c r="N1502" s="8"/>
      <c r="O1502" s="8"/>
      <c r="P1502" s="8"/>
      <c r="Q1502" s="5"/>
      <c r="R1502" s="5"/>
      <c r="S1502" s="5"/>
      <c r="T1502" s="5"/>
      <c r="U1502" s="5"/>
      <c r="V1502" s="10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02"/>
      <c r="AU1502" s="502"/>
      <c r="AV1502" s="606"/>
      <c r="AW1502" s="502"/>
      <c r="AX1502" s="502"/>
      <c r="AY1502" s="502"/>
      <c r="AZ1502" s="502"/>
      <c r="BA1502" s="502"/>
      <c r="BB1502" s="502"/>
      <c r="BC1502" s="502"/>
      <c r="BD1502" s="502"/>
      <c r="BE1502" s="502"/>
      <c r="BF1502" s="502"/>
      <c r="BG1502" s="502"/>
      <c r="BH1502" s="502"/>
      <c r="BI1502" s="502"/>
      <c r="BJ1502" s="502"/>
      <c r="BK1502" s="502"/>
      <c r="BL1502" s="502"/>
      <c r="BM1502" s="502"/>
      <c r="BN1502" s="502"/>
      <c r="BO1502" s="502"/>
      <c r="BP1502" s="5"/>
      <c r="BQ1502" s="5"/>
      <c r="BR1502" s="5"/>
      <c r="BS1502" s="5"/>
      <c r="BT1502" s="5"/>
      <c r="BU1502" s="5"/>
      <c r="BV1502" s="5"/>
      <c r="BW1502" s="5"/>
      <c r="BX1502" s="5"/>
      <c r="BY1502" s="5"/>
      <c r="BZ1502" s="5"/>
      <c r="CA1502" s="5"/>
      <c r="CB1502" s="5"/>
      <c r="CC1502" s="5"/>
      <c r="CD1502" s="5"/>
      <c r="CE1502" s="5"/>
      <c r="CF1502" s="5"/>
      <c r="CG1502" s="5"/>
      <c r="CH1502" s="5"/>
      <c r="CI1502" s="5"/>
      <c r="CJ1502" s="5"/>
      <c r="CK1502" s="5"/>
      <c r="CL1502" s="5"/>
      <c r="CM1502" s="5"/>
      <c r="CN1502" s="5"/>
      <c r="CO1502" s="5"/>
      <c r="CP1502" s="5"/>
      <c r="CQ1502" s="5"/>
      <c r="CR1502" s="5"/>
      <c r="CS1502" s="5"/>
      <c r="CT1502" s="5"/>
      <c r="CU1502" s="5"/>
      <c r="CV1502" s="5"/>
      <c r="CW1502" s="5"/>
      <c r="CX1502" s="5"/>
      <c r="CY1502" s="5"/>
      <c r="CZ1502" s="5"/>
      <c r="DA1502" s="5"/>
      <c r="DB1502" s="5"/>
      <c r="DC1502" s="5"/>
      <c r="DD1502" s="5"/>
      <c r="DE1502" s="5"/>
      <c r="DF1502" s="5"/>
      <c r="DG1502" s="5"/>
      <c r="DH1502" s="5"/>
      <c r="DI1502" s="5"/>
      <c r="DJ1502" s="5"/>
      <c r="DK1502" s="5"/>
      <c r="DL1502" s="5"/>
      <c r="DM1502" s="5"/>
      <c r="DN1502" s="5"/>
      <c r="DO1502" s="5"/>
      <c r="DP1502" s="5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  <c r="GV1502" s="1"/>
      <c r="GW1502" s="1"/>
      <c r="GX1502" s="1"/>
      <c r="GY1502" s="1"/>
      <c r="GZ1502" s="1"/>
      <c r="HA1502" s="1"/>
      <c r="HB1502" s="1"/>
      <c r="HC1502" s="1"/>
      <c r="HD1502" s="1"/>
      <c r="HE1502" s="1"/>
      <c r="HF1502" s="1"/>
      <c r="HG1502" s="1"/>
      <c r="HH1502" s="1"/>
      <c r="HI1502" s="1"/>
      <c r="HJ1502" s="1"/>
      <c r="HK1502" s="1"/>
      <c r="HL1502" s="1"/>
      <c r="HM1502" s="1"/>
      <c r="HN1502" s="1"/>
      <c r="HO1502" s="1"/>
      <c r="HP1502" s="1"/>
      <c r="HQ1502" s="1"/>
      <c r="HR1502" s="1"/>
      <c r="HS1502" s="1"/>
      <c r="HT1502" s="1"/>
      <c r="HU1502" s="1"/>
      <c r="HV1502" s="1"/>
      <c r="HW1502" s="1"/>
      <c r="HX1502" s="1"/>
      <c r="HY1502" s="1"/>
      <c r="HZ1502" s="1"/>
      <c r="IA1502" s="1"/>
      <c r="IB1502" s="1"/>
      <c r="IC1502" s="1"/>
      <c r="ID1502" s="1"/>
      <c r="IE1502" s="1"/>
      <c r="IF1502" s="1"/>
      <c r="IG1502" s="1"/>
      <c r="IH1502" s="1"/>
      <c r="II1502" s="1"/>
      <c r="IJ1502" s="1"/>
      <c r="IK1502" s="1"/>
      <c r="IL1502" s="1"/>
      <c r="IM1502" s="1"/>
      <c r="IN1502" s="1"/>
      <c r="IO1502" s="1"/>
      <c r="IP1502" s="1"/>
      <c r="IQ1502" s="1"/>
      <c r="IR1502" s="1"/>
      <c r="IS1502" s="1"/>
      <c r="IT1502" s="1"/>
      <c r="IU1502" s="1"/>
      <c r="IV1502" s="1"/>
      <c r="IW1502" s="1"/>
      <c r="IX1502" s="1"/>
      <c r="IY1502" s="1"/>
      <c r="IZ1502" s="1"/>
      <c r="JA1502" s="1"/>
      <c r="JB1502" s="1"/>
      <c r="JC1502" s="1"/>
      <c r="JD1502" s="1"/>
    </row>
    <row r="1503" s="504" customFormat="true" ht="12.75" hidden="false" customHeight="true" outlineLevel="0" collapsed="false">
      <c r="A1503" s="5"/>
      <c r="B1503" s="5"/>
      <c r="C1503" s="5"/>
      <c r="D1503" s="8"/>
      <c r="E1503" s="8"/>
      <c r="F1503" s="8"/>
      <c r="G1503" s="5"/>
      <c r="H1503" s="5"/>
      <c r="I1503" s="5"/>
      <c r="J1503" s="8"/>
      <c r="K1503" s="8"/>
      <c r="L1503" s="5"/>
      <c r="M1503" s="8"/>
      <c r="N1503" s="8"/>
      <c r="O1503" s="8"/>
      <c r="P1503" s="8"/>
      <c r="Q1503" s="5"/>
      <c r="R1503" s="5"/>
      <c r="S1503" s="5"/>
      <c r="T1503" s="5"/>
      <c r="U1503" s="5"/>
      <c r="V1503" s="10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02"/>
      <c r="AU1503" s="502"/>
      <c r="AV1503" s="606"/>
      <c r="AW1503" s="502"/>
      <c r="AX1503" s="502"/>
      <c r="AY1503" s="502"/>
      <c r="AZ1503" s="502"/>
      <c r="BA1503" s="502"/>
      <c r="BB1503" s="502"/>
      <c r="BC1503" s="502"/>
      <c r="BD1503" s="502"/>
      <c r="BE1503" s="502"/>
      <c r="BF1503" s="502"/>
      <c r="BG1503" s="502"/>
      <c r="BH1503" s="502"/>
      <c r="BI1503" s="502"/>
      <c r="BJ1503" s="502"/>
      <c r="BK1503" s="502"/>
      <c r="BL1503" s="502"/>
      <c r="BM1503" s="502"/>
      <c r="BN1503" s="502"/>
      <c r="BO1503" s="502"/>
      <c r="BP1503" s="5"/>
      <c r="BQ1503" s="5"/>
      <c r="BR1503" s="5"/>
      <c r="BS1503" s="5"/>
      <c r="BT1503" s="5"/>
      <c r="BU1503" s="5"/>
      <c r="BV1503" s="5"/>
      <c r="BW1503" s="5"/>
      <c r="BX1503" s="5"/>
      <c r="BY1503" s="5"/>
      <c r="BZ1503" s="5"/>
      <c r="CA1503" s="5"/>
      <c r="CB1503" s="5"/>
      <c r="CC1503" s="5"/>
      <c r="CD1503" s="5"/>
      <c r="CE1503" s="5"/>
      <c r="CF1503" s="5"/>
      <c r="CG1503" s="5"/>
      <c r="CH1503" s="5"/>
      <c r="CI1503" s="5"/>
      <c r="CJ1503" s="5"/>
      <c r="CK1503" s="5"/>
      <c r="CL1503" s="5"/>
      <c r="CM1503" s="5"/>
      <c r="CN1503" s="5"/>
      <c r="CO1503" s="5"/>
      <c r="CP1503" s="5"/>
      <c r="CQ1503" s="5"/>
      <c r="CR1503" s="5"/>
      <c r="CS1503" s="5"/>
      <c r="CT1503" s="5"/>
      <c r="CU1503" s="5"/>
      <c r="CV1503" s="5"/>
      <c r="CW1503" s="5"/>
      <c r="CX1503" s="5"/>
      <c r="CY1503" s="5"/>
      <c r="CZ1503" s="5"/>
      <c r="DA1503" s="5"/>
      <c r="DB1503" s="5"/>
      <c r="DC1503" s="5"/>
      <c r="DD1503" s="5"/>
      <c r="DE1503" s="5"/>
      <c r="DF1503" s="5"/>
      <c r="DG1503" s="5"/>
      <c r="DH1503" s="5"/>
      <c r="DI1503" s="5"/>
      <c r="DJ1503" s="5"/>
      <c r="DK1503" s="5"/>
      <c r="DL1503" s="5"/>
      <c r="DM1503" s="5"/>
      <c r="DN1503" s="5"/>
      <c r="DO1503" s="5"/>
      <c r="DP1503" s="5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  <c r="GV1503" s="1"/>
      <c r="GW1503" s="1"/>
      <c r="GX1503" s="1"/>
      <c r="GY1503" s="1"/>
      <c r="GZ1503" s="1"/>
      <c r="HA1503" s="1"/>
      <c r="HB1503" s="1"/>
      <c r="HC1503" s="1"/>
      <c r="HD1503" s="1"/>
      <c r="HE1503" s="1"/>
      <c r="HF1503" s="1"/>
      <c r="HG1503" s="1"/>
      <c r="HH1503" s="1"/>
      <c r="HI1503" s="1"/>
      <c r="HJ1503" s="1"/>
      <c r="HK1503" s="1"/>
      <c r="HL1503" s="1"/>
      <c r="HM1503" s="1"/>
      <c r="HN1503" s="1"/>
      <c r="HO1503" s="1"/>
      <c r="HP1503" s="1"/>
      <c r="HQ1503" s="1"/>
      <c r="HR1503" s="1"/>
      <c r="HS1503" s="1"/>
      <c r="HT1503" s="1"/>
      <c r="HU1503" s="1"/>
      <c r="HV1503" s="1"/>
      <c r="HW1503" s="1"/>
      <c r="HX1503" s="1"/>
      <c r="HY1503" s="1"/>
      <c r="HZ1503" s="1"/>
      <c r="IA1503" s="1"/>
      <c r="IB1503" s="1"/>
      <c r="IC1503" s="1"/>
      <c r="ID1503" s="1"/>
      <c r="IE1503" s="1"/>
      <c r="IF1503" s="1"/>
      <c r="IG1503" s="1"/>
      <c r="IH1503" s="1"/>
      <c r="II1503" s="1"/>
      <c r="IJ1503" s="1"/>
      <c r="IK1503" s="1"/>
      <c r="IL1503" s="1"/>
      <c r="IM1503" s="1"/>
      <c r="IN1503" s="1"/>
      <c r="IO1503" s="1"/>
      <c r="IP1503" s="1"/>
      <c r="IQ1503" s="1"/>
      <c r="IR1503" s="1"/>
      <c r="IS1503" s="1"/>
      <c r="IT1503" s="1"/>
      <c r="IU1503" s="1"/>
      <c r="IV1503" s="1"/>
      <c r="IW1503" s="1"/>
      <c r="IX1503" s="1"/>
      <c r="IY1503" s="1"/>
      <c r="IZ1503" s="1"/>
      <c r="JA1503" s="1"/>
      <c r="JB1503" s="1"/>
      <c r="JC1503" s="1"/>
      <c r="JD1503" s="1"/>
    </row>
    <row r="1504" s="504" customFormat="true" ht="12.75" hidden="false" customHeight="true" outlineLevel="0" collapsed="false">
      <c r="A1504" s="5"/>
      <c r="B1504" s="5"/>
      <c r="C1504" s="5"/>
      <c r="D1504" s="8"/>
      <c r="E1504" s="8"/>
      <c r="F1504" s="8"/>
      <c r="G1504" s="5"/>
      <c r="H1504" s="5"/>
      <c r="I1504" s="5"/>
      <c r="J1504" s="8"/>
      <c r="K1504" s="8"/>
      <c r="L1504" s="5"/>
      <c r="M1504" s="8"/>
      <c r="N1504" s="8"/>
      <c r="O1504" s="8"/>
      <c r="P1504" s="8"/>
      <c r="Q1504" s="5"/>
      <c r="R1504" s="5"/>
      <c r="S1504" s="5"/>
      <c r="T1504" s="5"/>
      <c r="U1504" s="5"/>
      <c r="V1504" s="10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02"/>
      <c r="AU1504" s="502"/>
      <c r="AV1504" s="606"/>
      <c r="AW1504" s="502"/>
      <c r="AX1504" s="502"/>
      <c r="AY1504" s="502"/>
      <c r="AZ1504" s="502"/>
      <c r="BA1504" s="502"/>
      <c r="BB1504" s="502"/>
      <c r="BC1504" s="502"/>
      <c r="BD1504" s="502"/>
      <c r="BE1504" s="502"/>
      <c r="BF1504" s="502"/>
      <c r="BG1504" s="502"/>
      <c r="BH1504" s="502"/>
      <c r="BI1504" s="502"/>
      <c r="BJ1504" s="502"/>
      <c r="BK1504" s="502"/>
      <c r="BL1504" s="502"/>
      <c r="BM1504" s="502"/>
      <c r="BN1504" s="502"/>
      <c r="BO1504" s="502"/>
      <c r="BP1504" s="5"/>
      <c r="BQ1504" s="5"/>
      <c r="BR1504" s="5"/>
      <c r="BS1504" s="5"/>
      <c r="BT1504" s="5"/>
      <c r="BU1504" s="5"/>
      <c r="BV1504" s="5"/>
      <c r="BW1504" s="5"/>
      <c r="BX1504" s="5"/>
      <c r="BY1504" s="5"/>
      <c r="BZ1504" s="5"/>
      <c r="CA1504" s="5"/>
      <c r="CB1504" s="5"/>
      <c r="CC1504" s="5"/>
      <c r="CD1504" s="5"/>
      <c r="CE1504" s="5"/>
      <c r="CF1504" s="5"/>
      <c r="CG1504" s="5"/>
      <c r="CH1504" s="5"/>
      <c r="CI1504" s="5"/>
      <c r="CJ1504" s="5"/>
      <c r="CK1504" s="5"/>
      <c r="CL1504" s="5"/>
      <c r="CM1504" s="5"/>
      <c r="CN1504" s="5"/>
      <c r="CO1504" s="5"/>
      <c r="CP1504" s="5"/>
      <c r="CQ1504" s="5"/>
      <c r="CR1504" s="5"/>
      <c r="CS1504" s="5"/>
      <c r="CT1504" s="5"/>
      <c r="CU1504" s="5"/>
      <c r="CV1504" s="5"/>
      <c r="CW1504" s="5"/>
      <c r="CX1504" s="5"/>
      <c r="CY1504" s="5"/>
      <c r="CZ1504" s="5"/>
      <c r="DA1504" s="5"/>
      <c r="DB1504" s="5"/>
      <c r="DC1504" s="5"/>
      <c r="DD1504" s="5"/>
      <c r="DE1504" s="5"/>
      <c r="DF1504" s="5"/>
      <c r="DG1504" s="5"/>
      <c r="DH1504" s="5"/>
      <c r="DI1504" s="5"/>
      <c r="DJ1504" s="5"/>
      <c r="DK1504" s="5"/>
      <c r="DL1504" s="5"/>
      <c r="DM1504" s="5"/>
      <c r="DN1504" s="5"/>
      <c r="DO1504" s="5"/>
      <c r="DP1504" s="5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  <c r="GV1504" s="1"/>
      <c r="GW1504" s="1"/>
      <c r="GX1504" s="1"/>
      <c r="GY1504" s="1"/>
      <c r="GZ1504" s="1"/>
      <c r="HA1504" s="1"/>
      <c r="HB1504" s="1"/>
      <c r="HC1504" s="1"/>
      <c r="HD1504" s="1"/>
      <c r="HE1504" s="1"/>
      <c r="HF1504" s="1"/>
      <c r="HG1504" s="1"/>
      <c r="HH1504" s="1"/>
      <c r="HI1504" s="1"/>
      <c r="HJ1504" s="1"/>
      <c r="HK1504" s="1"/>
      <c r="HL1504" s="1"/>
      <c r="HM1504" s="1"/>
      <c r="HN1504" s="1"/>
      <c r="HO1504" s="1"/>
      <c r="HP1504" s="1"/>
      <c r="HQ1504" s="1"/>
      <c r="HR1504" s="1"/>
      <c r="HS1504" s="1"/>
      <c r="HT1504" s="1"/>
      <c r="HU1504" s="1"/>
      <c r="HV1504" s="1"/>
      <c r="HW1504" s="1"/>
      <c r="HX1504" s="1"/>
      <c r="HY1504" s="1"/>
      <c r="HZ1504" s="1"/>
      <c r="IA1504" s="1"/>
      <c r="IB1504" s="1"/>
      <c r="IC1504" s="1"/>
      <c r="ID1504" s="1"/>
      <c r="IE1504" s="1"/>
      <c r="IF1504" s="1"/>
      <c r="IG1504" s="1"/>
      <c r="IH1504" s="1"/>
      <c r="II1504" s="1"/>
      <c r="IJ1504" s="1"/>
      <c r="IK1504" s="1"/>
      <c r="IL1504" s="1"/>
      <c r="IM1504" s="1"/>
      <c r="IN1504" s="1"/>
      <c r="IO1504" s="1"/>
      <c r="IP1504" s="1"/>
      <c r="IQ1504" s="1"/>
      <c r="IR1504" s="1"/>
      <c r="IS1504" s="1"/>
      <c r="IT1504" s="1"/>
      <c r="IU1504" s="1"/>
      <c r="IV1504" s="1"/>
      <c r="IW1504" s="1"/>
      <c r="IX1504" s="1"/>
      <c r="IY1504" s="1"/>
      <c r="IZ1504" s="1"/>
      <c r="JA1504" s="1"/>
      <c r="JB1504" s="1"/>
      <c r="JC1504" s="1"/>
      <c r="JD1504" s="1"/>
    </row>
    <row r="1505" s="504" customFormat="true" ht="12.75" hidden="false" customHeight="true" outlineLevel="0" collapsed="false">
      <c r="A1505" s="5"/>
      <c r="B1505" s="5"/>
      <c r="C1505" s="5"/>
      <c r="D1505" s="8"/>
      <c r="E1505" s="8"/>
      <c r="F1505" s="8"/>
      <c r="G1505" s="5"/>
      <c r="H1505" s="5"/>
      <c r="I1505" s="5"/>
      <c r="J1505" s="8"/>
      <c r="K1505" s="8"/>
      <c r="L1505" s="5"/>
      <c r="M1505" s="8"/>
      <c r="N1505" s="8"/>
      <c r="O1505" s="8"/>
      <c r="P1505" s="8"/>
      <c r="Q1505" s="5"/>
      <c r="R1505" s="5"/>
      <c r="S1505" s="5"/>
      <c r="T1505" s="5"/>
      <c r="U1505" s="5"/>
      <c r="V1505" s="10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02"/>
      <c r="AU1505" s="502"/>
      <c r="AV1505" s="606"/>
      <c r="AW1505" s="502"/>
      <c r="AX1505" s="502"/>
      <c r="AY1505" s="502"/>
      <c r="AZ1505" s="502"/>
      <c r="BA1505" s="502"/>
      <c r="BB1505" s="502"/>
      <c r="BC1505" s="502"/>
      <c r="BD1505" s="502"/>
      <c r="BE1505" s="502"/>
      <c r="BF1505" s="502"/>
      <c r="BG1505" s="502"/>
      <c r="BH1505" s="502"/>
      <c r="BI1505" s="502"/>
      <c r="BJ1505" s="502"/>
      <c r="BK1505" s="502"/>
      <c r="BL1505" s="502"/>
      <c r="BM1505" s="502"/>
      <c r="BN1505" s="502"/>
      <c r="BO1505" s="502"/>
      <c r="BP1505" s="5"/>
      <c r="BQ1505" s="5"/>
      <c r="BR1505" s="5"/>
      <c r="BS1505" s="5"/>
      <c r="BT1505" s="5"/>
      <c r="BU1505" s="5"/>
      <c r="BV1505" s="5"/>
      <c r="BW1505" s="5"/>
      <c r="BX1505" s="5"/>
      <c r="BY1505" s="5"/>
      <c r="BZ1505" s="5"/>
      <c r="CA1505" s="5"/>
      <c r="CB1505" s="5"/>
      <c r="CC1505" s="5"/>
      <c r="CD1505" s="5"/>
      <c r="CE1505" s="5"/>
      <c r="CF1505" s="5"/>
      <c r="CG1505" s="5"/>
      <c r="CH1505" s="5"/>
      <c r="CI1505" s="5"/>
      <c r="CJ1505" s="5"/>
      <c r="CK1505" s="5"/>
      <c r="CL1505" s="5"/>
      <c r="CM1505" s="5"/>
      <c r="CN1505" s="5"/>
      <c r="CO1505" s="5"/>
      <c r="CP1505" s="5"/>
      <c r="CQ1505" s="5"/>
      <c r="CR1505" s="5"/>
      <c r="CS1505" s="5"/>
      <c r="CT1505" s="5"/>
      <c r="CU1505" s="5"/>
      <c r="CV1505" s="5"/>
      <c r="CW1505" s="5"/>
      <c r="CX1505" s="5"/>
      <c r="CY1505" s="5"/>
      <c r="CZ1505" s="5"/>
      <c r="DA1505" s="5"/>
      <c r="DB1505" s="5"/>
      <c r="DC1505" s="5"/>
      <c r="DD1505" s="5"/>
      <c r="DE1505" s="5"/>
      <c r="DF1505" s="5"/>
      <c r="DG1505" s="5"/>
      <c r="DH1505" s="5"/>
      <c r="DI1505" s="5"/>
      <c r="DJ1505" s="5"/>
      <c r="DK1505" s="5"/>
      <c r="DL1505" s="5"/>
      <c r="DM1505" s="5"/>
      <c r="DN1505" s="5"/>
      <c r="DO1505" s="5"/>
      <c r="DP1505" s="5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  <c r="GV1505" s="1"/>
      <c r="GW1505" s="1"/>
      <c r="GX1505" s="1"/>
      <c r="GY1505" s="1"/>
      <c r="GZ1505" s="1"/>
      <c r="HA1505" s="1"/>
      <c r="HB1505" s="1"/>
      <c r="HC1505" s="1"/>
      <c r="HD1505" s="1"/>
      <c r="HE1505" s="1"/>
      <c r="HF1505" s="1"/>
      <c r="HG1505" s="1"/>
      <c r="HH1505" s="1"/>
      <c r="HI1505" s="1"/>
      <c r="HJ1505" s="1"/>
      <c r="HK1505" s="1"/>
      <c r="HL1505" s="1"/>
      <c r="HM1505" s="1"/>
      <c r="HN1505" s="1"/>
      <c r="HO1505" s="1"/>
      <c r="HP1505" s="1"/>
      <c r="HQ1505" s="1"/>
      <c r="HR1505" s="1"/>
      <c r="HS1505" s="1"/>
      <c r="HT1505" s="1"/>
      <c r="HU1505" s="1"/>
      <c r="HV1505" s="1"/>
      <c r="HW1505" s="1"/>
      <c r="HX1505" s="1"/>
      <c r="HY1505" s="1"/>
      <c r="HZ1505" s="1"/>
      <c r="IA1505" s="1"/>
      <c r="IB1505" s="1"/>
      <c r="IC1505" s="1"/>
      <c r="ID1505" s="1"/>
      <c r="IE1505" s="1"/>
      <c r="IF1505" s="1"/>
      <c r="IG1505" s="1"/>
      <c r="IH1505" s="1"/>
      <c r="II1505" s="1"/>
      <c r="IJ1505" s="1"/>
      <c r="IK1505" s="1"/>
      <c r="IL1505" s="1"/>
      <c r="IM1505" s="1"/>
      <c r="IN1505" s="1"/>
      <c r="IO1505" s="1"/>
      <c r="IP1505" s="1"/>
      <c r="IQ1505" s="1"/>
      <c r="IR1505" s="1"/>
      <c r="IS1505" s="1"/>
      <c r="IT1505" s="1"/>
      <c r="IU1505" s="1"/>
      <c r="IV1505" s="1"/>
      <c r="IW1505" s="1"/>
      <c r="IX1505" s="1"/>
      <c r="IY1505" s="1"/>
      <c r="IZ1505" s="1"/>
      <c r="JA1505" s="1"/>
      <c r="JB1505" s="1"/>
      <c r="JC1505" s="1"/>
      <c r="JD1505" s="1"/>
    </row>
    <row r="1506" s="504" customFormat="true" ht="12.75" hidden="false" customHeight="true" outlineLevel="0" collapsed="false">
      <c r="A1506" s="5"/>
      <c r="B1506" s="5"/>
      <c r="C1506" s="5"/>
      <c r="D1506" s="8"/>
      <c r="E1506" s="8"/>
      <c r="F1506" s="8"/>
      <c r="G1506" s="5"/>
      <c r="H1506" s="5"/>
      <c r="I1506" s="5"/>
      <c r="J1506" s="8"/>
      <c r="K1506" s="8"/>
      <c r="L1506" s="5"/>
      <c r="M1506" s="8"/>
      <c r="N1506" s="8"/>
      <c r="O1506" s="8"/>
      <c r="P1506" s="8"/>
      <c r="Q1506" s="5"/>
      <c r="R1506" s="5"/>
      <c r="S1506" s="5"/>
      <c r="T1506" s="5"/>
      <c r="U1506" s="5"/>
      <c r="V1506" s="10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02"/>
      <c r="AU1506" s="502"/>
      <c r="AV1506" s="606"/>
      <c r="AW1506" s="502"/>
      <c r="AX1506" s="502"/>
      <c r="AY1506" s="502"/>
      <c r="AZ1506" s="502"/>
      <c r="BA1506" s="502"/>
      <c r="BB1506" s="502"/>
      <c r="BC1506" s="502"/>
      <c r="BD1506" s="502"/>
      <c r="BE1506" s="502"/>
      <c r="BF1506" s="502"/>
      <c r="BG1506" s="502"/>
      <c r="BH1506" s="502"/>
      <c r="BI1506" s="502"/>
      <c r="BJ1506" s="502"/>
      <c r="BK1506" s="502"/>
      <c r="BL1506" s="502"/>
      <c r="BM1506" s="502"/>
      <c r="BN1506" s="502"/>
      <c r="BO1506" s="502"/>
      <c r="BP1506" s="5"/>
      <c r="BQ1506" s="5"/>
      <c r="BR1506" s="5"/>
      <c r="BS1506" s="5"/>
      <c r="BT1506" s="5"/>
      <c r="BU1506" s="5"/>
      <c r="BV1506" s="5"/>
      <c r="BW1506" s="5"/>
      <c r="BX1506" s="5"/>
      <c r="BY1506" s="5"/>
      <c r="BZ1506" s="5"/>
      <c r="CA1506" s="5"/>
      <c r="CB1506" s="5"/>
      <c r="CC1506" s="5"/>
      <c r="CD1506" s="5"/>
      <c r="CE1506" s="5"/>
      <c r="CF1506" s="5"/>
      <c r="CG1506" s="5"/>
      <c r="CH1506" s="5"/>
      <c r="CI1506" s="5"/>
      <c r="CJ1506" s="5"/>
      <c r="CK1506" s="5"/>
      <c r="CL1506" s="5"/>
      <c r="CM1506" s="5"/>
      <c r="CN1506" s="5"/>
      <c r="CO1506" s="5"/>
      <c r="CP1506" s="5"/>
      <c r="CQ1506" s="5"/>
      <c r="CR1506" s="5"/>
      <c r="CS1506" s="5"/>
      <c r="CT1506" s="5"/>
      <c r="CU1506" s="5"/>
      <c r="CV1506" s="5"/>
      <c r="CW1506" s="5"/>
      <c r="CX1506" s="5"/>
      <c r="CY1506" s="5"/>
      <c r="CZ1506" s="5"/>
      <c r="DA1506" s="5"/>
      <c r="DB1506" s="5"/>
      <c r="DC1506" s="5"/>
      <c r="DD1506" s="5"/>
      <c r="DE1506" s="5"/>
      <c r="DF1506" s="5"/>
      <c r="DG1506" s="5"/>
      <c r="DH1506" s="5"/>
      <c r="DI1506" s="5"/>
      <c r="DJ1506" s="5"/>
      <c r="DK1506" s="5"/>
      <c r="DL1506" s="5"/>
      <c r="DM1506" s="5"/>
      <c r="DN1506" s="5"/>
      <c r="DO1506" s="5"/>
      <c r="DP1506" s="5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  <c r="GV1506" s="1"/>
      <c r="GW1506" s="1"/>
      <c r="GX1506" s="1"/>
      <c r="GY1506" s="1"/>
      <c r="GZ1506" s="1"/>
      <c r="HA1506" s="1"/>
      <c r="HB1506" s="1"/>
      <c r="HC1506" s="1"/>
      <c r="HD1506" s="1"/>
      <c r="HE1506" s="1"/>
      <c r="HF1506" s="1"/>
      <c r="HG1506" s="1"/>
      <c r="HH1506" s="1"/>
      <c r="HI1506" s="1"/>
      <c r="HJ1506" s="1"/>
      <c r="HK1506" s="1"/>
      <c r="HL1506" s="1"/>
      <c r="HM1506" s="1"/>
      <c r="HN1506" s="1"/>
      <c r="HO1506" s="1"/>
      <c r="HP1506" s="1"/>
      <c r="HQ1506" s="1"/>
      <c r="HR1506" s="1"/>
      <c r="HS1506" s="1"/>
      <c r="HT1506" s="1"/>
      <c r="HU1506" s="1"/>
      <c r="HV1506" s="1"/>
      <c r="HW1506" s="1"/>
      <c r="HX1506" s="1"/>
      <c r="HY1506" s="1"/>
      <c r="HZ1506" s="1"/>
      <c r="IA1506" s="1"/>
      <c r="IB1506" s="1"/>
      <c r="IC1506" s="1"/>
      <c r="ID1506" s="1"/>
      <c r="IE1506" s="1"/>
      <c r="IF1506" s="1"/>
      <c r="IG1506" s="1"/>
      <c r="IH1506" s="1"/>
      <c r="II1506" s="1"/>
      <c r="IJ1506" s="1"/>
      <c r="IK1506" s="1"/>
      <c r="IL1506" s="1"/>
      <c r="IM1506" s="1"/>
      <c r="IN1506" s="1"/>
      <c r="IO1506" s="1"/>
      <c r="IP1506" s="1"/>
      <c r="IQ1506" s="1"/>
      <c r="IR1506" s="1"/>
      <c r="IS1506" s="1"/>
      <c r="IT1506" s="1"/>
      <c r="IU1506" s="1"/>
      <c r="IV1506" s="1"/>
      <c r="IW1506" s="1"/>
      <c r="IX1506" s="1"/>
      <c r="IY1506" s="1"/>
      <c r="IZ1506" s="1"/>
      <c r="JA1506" s="1"/>
      <c r="JB1506" s="1"/>
      <c r="JC1506" s="1"/>
      <c r="JD1506" s="1"/>
    </row>
    <row r="1507" s="504" customFormat="true" ht="12.75" hidden="false" customHeight="true" outlineLevel="0" collapsed="false">
      <c r="A1507" s="5"/>
      <c r="B1507" s="5"/>
      <c r="C1507" s="5"/>
      <c r="D1507" s="8"/>
      <c r="E1507" s="8"/>
      <c r="F1507" s="8"/>
      <c r="G1507" s="5"/>
      <c r="H1507" s="5"/>
      <c r="I1507" s="5"/>
      <c r="J1507" s="8"/>
      <c r="K1507" s="8"/>
      <c r="L1507" s="5"/>
      <c r="M1507" s="8"/>
      <c r="N1507" s="8"/>
      <c r="O1507" s="8"/>
      <c r="P1507" s="8"/>
      <c r="Q1507" s="5"/>
      <c r="R1507" s="5"/>
      <c r="S1507" s="5"/>
      <c r="T1507" s="5"/>
      <c r="U1507" s="5"/>
      <c r="V1507" s="10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02"/>
      <c r="AU1507" s="502"/>
      <c r="AV1507" s="606"/>
      <c r="AW1507" s="502"/>
      <c r="AX1507" s="502"/>
      <c r="AY1507" s="502"/>
      <c r="AZ1507" s="502"/>
      <c r="BA1507" s="502"/>
      <c r="BB1507" s="502"/>
      <c r="BC1507" s="502"/>
      <c r="BD1507" s="502"/>
      <c r="BE1507" s="502"/>
      <c r="BF1507" s="502"/>
      <c r="BG1507" s="502"/>
      <c r="BH1507" s="502"/>
      <c r="BI1507" s="502"/>
      <c r="BJ1507" s="502"/>
      <c r="BK1507" s="502"/>
      <c r="BL1507" s="502"/>
      <c r="BM1507" s="502"/>
      <c r="BN1507" s="502"/>
      <c r="BO1507" s="502"/>
      <c r="BP1507" s="5"/>
      <c r="BQ1507" s="5"/>
      <c r="BR1507" s="5"/>
      <c r="BS1507" s="5"/>
      <c r="BT1507" s="5"/>
      <c r="BU1507" s="5"/>
      <c r="BV1507" s="5"/>
      <c r="BW1507" s="5"/>
      <c r="BX1507" s="5"/>
      <c r="BY1507" s="5"/>
      <c r="BZ1507" s="5"/>
      <c r="CA1507" s="5"/>
      <c r="CB1507" s="5"/>
      <c r="CC1507" s="5"/>
      <c r="CD1507" s="5"/>
      <c r="CE1507" s="5"/>
      <c r="CF1507" s="5"/>
      <c r="CG1507" s="5"/>
      <c r="CH1507" s="5"/>
      <c r="CI1507" s="5"/>
      <c r="CJ1507" s="5"/>
      <c r="CK1507" s="5"/>
      <c r="CL1507" s="5"/>
      <c r="CM1507" s="5"/>
      <c r="CN1507" s="5"/>
      <c r="CO1507" s="5"/>
      <c r="CP1507" s="5"/>
      <c r="CQ1507" s="5"/>
      <c r="CR1507" s="5"/>
      <c r="CS1507" s="5"/>
      <c r="CT1507" s="5"/>
      <c r="CU1507" s="5"/>
      <c r="CV1507" s="5"/>
      <c r="CW1507" s="5"/>
      <c r="CX1507" s="5"/>
      <c r="CY1507" s="5"/>
      <c r="CZ1507" s="5"/>
      <c r="DA1507" s="5"/>
      <c r="DB1507" s="5"/>
      <c r="DC1507" s="5"/>
      <c r="DD1507" s="5"/>
      <c r="DE1507" s="5"/>
      <c r="DF1507" s="5"/>
      <c r="DG1507" s="5"/>
      <c r="DH1507" s="5"/>
      <c r="DI1507" s="5"/>
      <c r="DJ1507" s="5"/>
      <c r="DK1507" s="5"/>
      <c r="DL1507" s="5"/>
      <c r="DM1507" s="5"/>
      <c r="DN1507" s="5"/>
      <c r="DO1507" s="5"/>
      <c r="DP1507" s="5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  <c r="GV1507" s="1"/>
      <c r="GW1507" s="1"/>
      <c r="GX1507" s="1"/>
      <c r="GY1507" s="1"/>
      <c r="GZ1507" s="1"/>
      <c r="HA1507" s="1"/>
      <c r="HB1507" s="1"/>
      <c r="HC1507" s="1"/>
      <c r="HD1507" s="1"/>
      <c r="HE1507" s="1"/>
      <c r="HF1507" s="1"/>
      <c r="HG1507" s="1"/>
      <c r="HH1507" s="1"/>
      <c r="HI1507" s="1"/>
      <c r="HJ1507" s="1"/>
      <c r="HK1507" s="1"/>
      <c r="HL1507" s="1"/>
      <c r="HM1507" s="1"/>
      <c r="HN1507" s="1"/>
      <c r="HO1507" s="1"/>
      <c r="HP1507" s="1"/>
      <c r="HQ1507" s="1"/>
      <c r="HR1507" s="1"/>
      <c r="HS1507" s="1"/>
      <c r="HT1507" s="1"/>
      <c r="HU1507" s="1"/>
      <c r="HV1507" s="1"/>
      <c r="HW1507" s="1"/>
      <c r="HX1507" s="1"/>
      <c r="HY1507" s="1"/>
      <c r="HZ1507" s="1"/>
      <c r="IA1507" s="1"/>
      <c r="IB1507" s="1"/>
      <c r="IC1507" s="1"/>
      <c r="ID1507" s="1"/>
      <c r="IE1507" s="1"/>
      <c r="IF1507" s="1"/>
      <c r="IG1507" s="1"/>
      <c r="IH1507" s="1"/>
      <c r="II1507" s="1"/>
      <c r="IJ1507" s="1"/>
      <c r="IK1507" s="1"/>
      <c r="IL1507" s="1"/>
      <c r="IM1507" s="1"/>
      <c r="IN1507" s="1"/>
      <c r="IO1507" s="1"/>
      <c r="IP1507" s="1"/>
      <c r="IQ1507" s="1"/>
      <c r="IR1507" s="1"/>
      <c r="IS1507" s="1"/>
      <c r="IT1507" s="1"/>
      <c r="IU1507" s="1"/>
      <c r="IV1507" s="1"/>
      <c r="IW1507" s="1"/>
      <c r="IX1507" s="1"/>
      <c r="IY1507" s="1"/>
      <c r="IZ1507" s="1"/>
      <c r="JA1507" s="1"/>
      <c r="JB1507" s="1"/>
      <c r="JC1507" s="1"/>
      <c r="JD1507" s="1"/>
    </row>
    <row r="1508" s="504" customFormat="true" ht="12.75" hidden="false" customHeight="true" outlineLevel="0" collapsed="false">
      <c r="A1508" s="5"/>
      <c r="B1508" s="5"/>
      <c r="C1508" s="5"/>
      <c r="D1508" s="8"/>
      <c r="E1508" s="8"/>
      <c r="F1508" s="8"/>
      <c r="G1508" s="5"/>
      <c r="H1508" s="5"/>
      <c r="I1508" s="5"/>
      <c r="J1508" s="8"/>
      <c r="K1508" s="8"/>
      <c r="L1508" s="5"/>
      <c r="M1508" s="8"/>
      <c r="N1508" s="8"/>
      <c r="O1508" s="8"/>
      <c r="P1508" s="8"/>
      <c r="Q1508" s="5"/>
      <c r="R1508" s="5"/>
      <c r="S1508" s="5"/>
      <c r="T1508" s="5"/>
      <c r="U1508" s="5"/>
      <c r="V1508" s="10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02"/>
      <c r="AU1508" s="502"/>
      <c r="AV1508" s="606"/>
      <c r="AW1508" s="502"/>
      <c r="AX1508" s="502"/>
      <c r="AY1508" s="502"/>
      <c r="AZ1508" s="502"/>
      <c r="BA1508" s="502"/>
      <c r="BB1508" s="502"/>
      <c r="BC1508" s="502"/>
      <c r="BD1508" s="502"/>
      <c r="BE1508" s="502"/>
      <c r="BF1508" s="502"/>
      <c r="BG1508" s="502"/>
      <c r="BH1508" s="502"/>
      <c r="BI1508" s="502"/>
      <c r="BJ1508" s="502"/>
      <c r="BK1508" s="502"/>
      <c r="BL1508" s="502"/>
      <c r="BM1508" s="502"/>
      <c r="BN1508" s="502"/>
      <c r="BO1508" s="502"/>
      <c r="BP1508" s="5"/>
      <c r="BQ1508" s="5"/>
      <c r="BR1508" s="5"/>
      <c r="BS1508" s="5"/>
      <c r="BT1508" s="5"/>
      <c r="BU1508" s="5"/>
      <c r="BV1508" s="5"/>
      <c r="BW1508" s="5"/>
      <c r="BX1508" s="5"/>
      <c r="BY1508" s="5"/>
      <c r="BZ1508" s="5"/>
      <c r="CA1508" s="5"/>
      <c r="CB1508" s="5"/>
      <c r="CC1508" s="5"/>
      <c r="CD1508" s="5"/>
      <c r="CE1508" s="5"/>
      <c r="CF1508" s="5"/>
      <c r="CG1508" s="5"/>
      <c r="CH1508" s="5"/>
      <c r="CI1508" s="5"/>
      <c r="CJ1508" s="5"/>
      <c r="CK1508" s="5"/>
      <c r="CL1508" s="5"/>
      <c r="CM1508" s="5"/>
      <c r="CN1508" s="5"/>
      <c r="CO1508" s="5"/>
      <c r="CP1508" s="5"/>
      <c r="CQ1508" s="5"/>
      <c r="CR1508" s="5"/>
      <c r="CS1508" s="5"/>
      <c r="CT1508" s="5"/>
      <c r="CU1508" s="5"/>
      <c r="CV1508" s="5"/>
      <c r="CW1508" s="5"/>
      <c r="CX1508" s="5"/>
      <c r="CY1508" s="5"/>
      <c r="CZ1508" s="5"/>
      <c r="DA1508" s="5"/>
      <c r="DB1508" s="5"/>
      <c r="DC1508" s="5"/>
      <c r="DD1508" s="5"/>
      <c r="DE1508" s="5"/>
      <c r="DF1508" s="5"/>
      <c r="DG1508" s="5"/>
      <c r="DH1508" s="5"/>
      <c r="DI1508" s="5"/>
      <c r="DJ1508" s="5"/>
      <c r="DK1508" s="5"/>
      <c r="DL1508" s="5"/>
      <c r="DM1508" s="5"/>
      <c r="DN1508" s="5"/>
      <c r="DO1508" s="5"/>
      <c r="DP1508" s="5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  <c r="GV1508" s="1"/>
      <c r="GW1508" s="1"/>
      <c r="GX1508" s="1"/>
      <c r="GY1508" s="1"/>
      <c r="GZ1508" s="1"/>
      <c r="HA1508" s="1"/>
      <c r="HB1508" s="1"/>
      <c r="HC1508" s="1"/>
      <c r="HD1508" s="1"/>
      <c r="HE1508" s="1"/>
      <c r="HF1508" s="1"/>
      <c r="HG1508" s="1"/>
      <c r="HH1508" s="1"/>
      <c r="HI1508" s="1"/>
      <c r="HJ1508" s="1"/>
      <c r="HK1508" s="1"/>
      <c r="HL1508" s="1"/>
      <c r="HM1508" s="1"/>
      <c r="HN1508" s="1"/>
      <c r="HO1508" s="1"/>
      <c r="HP1508" s="1"/>
      <c r="HQ1508" s="1"/>
      <c r="HR1508" s="1"/>
      <c r="HS1508" s="1"/>
      <c r="HT1508" s="1"/>
      <c r="HU1508" s="1"/>
      <c r="HV1508" s="1"/>
      <c r="HW1508" s="1"/>
      <c r="HX1508" s="1"/>
      <c r="HY1508" s="1"/>
      <c r="HZ1508" s="1"/>
      <c r="IA1508" s="1"/>
      <c r="IB1508" s="1"/>
      <c r="IC1508" s="1"/>
      <c r="ID1508" s="1"/>
      <c r="IE1508" s="1"/>
      <c r="IF1508" s="1"/>
      <c r="IG1508" s="1"/>
      <c r="IH1508" s="1"/>
      <c r="II1508" s="1"/>
      <c r="IJ1508" s="1"/>
      <c r="IK1508" s="1"/>
      <c r="IL1508" s="1"/>
      <c r="IM1508" s="1"/>
      <c r="IN1508" s="1"/>
      <c r="IO1508" s="1"/>
      <c r="IP1508" s="1"/>
      <c r="IQ1508" s="1"/>
      <c r="IR1508" s="1"/>
      <c r="IS1508" s="1"/>
      <c r="IT1508" s="1"/>
      <c r="IU1508" s="1"/>
      <c r="IV1508" s="1"/>
      <c r="IW1508" s="1"/>
      <c r="IX1508" s="1"/>
      <c r="IY1508" s="1"/>
      <c r="IZ1508" s="1"/>
      <c r="JA1508" s="1"/>
      <c r="JB1508" s="1"/>
      <c r="JC1508" s="1"/>
      <c r="JD1508" s="1"/>
    </row>
    <row r="1509" s="504" customFormat="true" ht="12.75" hidden="false" customHeight="true" outlineLevel="0" collapsed="false">
      <c r="A1509" s="5"/>
      <c r="B1509" s="5"/>
      <c r="C1509" s="5"/>
      <c r="D1509" s="8"/>
      <c r="E1509" s="8"/>
      <c r="F1509" s="8"/>
      <c r="G1509" s="5"/>
      <c r="H1509" s="5"/>
      <c r="I1509" s="5"/>
      <c r="J1509" s="8"/>
      <c r="K1509" s="8"/>
      <c r="L1509" s="5"/>
      <c r="M1509" s="8"/>
      <c r="N1509" s="8"/>
      <c r="O1509" s="8"/>
      <c r="P1509" s="8"/>
      <c r="Q1509" s="5"/>
      <c r="R1509" s="5"/>
      <c r="S1509" s="5"/>
      <c r="T1509" s="5"/>
      <c r="U1509" s="5"/>
      <c r="V1509" s="10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02"/>
      <c r="AU1509" s="502"/>
      <c r="AV1509" s="606"/>
      <c r="AW1509" s="502"/>
      <c r="AX1509" s="502"/>
      <c r="AY1509" s="502"/>
      <c r="AZ1509" s="502"/>
      <c r="BA1509" s="502"/>
      <c r="BB1509" s="502"/>
      <c r="BC1509" s="502"/>
      <c r="BD1509" s="502"/>
      <c r="BE1509" s="502"/>
      <c r="BF1509" s="502"/>
      <c r="BG1509" s="502"/>
      <c r="BH1509" s="502"/>
      <c r="BI1509" s="502"/>
      <c r="BJ1509" s="502"/>
      <c r="BK1509" s="502"/>
      <c r="BL1509" s="502"/>
      <c r="BM1509" s="502"/>
      <c r="BN1509" s="502"/>
      <c r="BO1509" s="502"/>
      <c r="BP1509" s="5"/>
      <c r="BQ1509" s="5"/>
      <c r="BR1509" s="5"/>
      <c r="BS1509" s="5"/>
      <c r="BT1509" s="5"/>
      <c r="BU1509" s="5"/>
      <c r="BV1509" s="5"/>
      <c r="BW1509" s="5"/>
      <c r="BX1509" s="5"/>
      <c r="BY1509" s="5"/>
      <c r="BZ1509" s="5"/>
      <c r="CA1509" s="5"/>
      <c r="CB1509" s="5"/>
      <c r="CC1509" s="5"/>
      <c r="CD1509" s="5"/>
      <c r="CE1509" s="5"/>
      <c r="CF1509" s="5"/>
      <c r="CG1509" s="5"/>
      <c r="CH1509" s="5"/>
      <c r="CI1509" s="5"/>
      <c r="CJ1509" s="5"/>
      <c r="CK1509" s="5"/>
      <c r="CL1509" s="5"/>
      <c r="CM1509" s="5"/>
      <c r="CN1509" s="5"/>
      <c r="CO1509" s="5"/>
      <c r="CP1509" s="5"/>
      <c r="CQ1509" s="5"/>
      <c r="CR1509" s="5"/>
      <c r="CS1509" s="5"/>
      <c r="CT1509" s="5"/>
      <c r="CU1509" s="5"/>
      <c r="CV1509" s="5"/>
      <c r="CW1509" s="5"/>
      <c r="CX1509" s="5"/>
      <c r="CY1509" s="5"/>
      <c r="CZ1509" s="5"/>
      <c r="DA1509" s="5"/>
      <c r="DB1509" s="5"/>
      <c r="DC1509" s="5"/>
      <c r="DD1509" s="5"/>
      <c r="DE1509" s="5"/>
      <c r="DF1509" s="5"/>
      <c r="DG1509" s="5"/>
      <c r="DH1509" s="5"/>
      <c r="DI1509" s="5"/>
      <c r="DJ1509" s="5"/>
      <c r="DK1509" s="5"/>
      <c r="DL1509" s="5"/>
      <c r="DM1509" s="5"/>
      <c r="DN1509" s="5"/>
      <c r="DO1509" s="5"/>
      <c r="DP1509" s="5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  <c r="GV1509" s="1"/>
      <c r="GW1509" s="1"/>
      <c r="GX1509" s="1"/>
      <c r="GY1509" s="1"/>
      <c r="GZ1509" s="1"/>
      <c r="HA1509" s="1"/>
      <c r="HB1509" s="1"/>
      <c r="HC1509" s="1"/>
      <c r="HD1509" s="1"/>
      <c r="HE1509" s="1"/>
      <c r="HF1509" s="1"/>
      <c r="HG1509" s="1"/>
      <c r="HH1509" s="1"/>
      <c r="HI1509" s="1"/>
      <c r="HJ1509" s="1"/>
      <c r="HK1509" s="1"/>
      <c r="HL1509" s="1"/>
      <c r="HM1509" s="1"/>
      <c r="HN1509" s="1"/>
      <c r="HO1509" s="1"/>
      <c r="HP1509" s="1"/>
      <c r="HQ1509" s="1"/>
      <c r="HR1509" s="1"/>
      <c r="HS1509" s="1"/>
      <c r="HT1509" s="1"/>
      <c r="HU1509" s="1"/>
      <c r="HV1509" s="1"/>
      <c r="HW1509" s="1"/>
      <c r="HX1509" s="1"/>
      <c r="HY1509" s="1"/>
      <c r="HZ1509" s="1"/>
      <c r="IA1509" s="1"/>
      <c r="IB1509" s="1"/>
      <c r="IC1509" s="1"/>
      <c r="ID1509" s="1"/>
      <c r="IE1509" s="1"/>
      <c r="IF1509" s="1"/>
      <c r="IG1509" s="1"/>
      <c r="IH1509" s="1"/>
      <c r="II1509" s="1"/>
      <c r="IJ1509" s="1"/>
      <c r="IK1509" s="1"/>
      <c r="IL1509" s="1"/>
      <c r="IM1509" s="1"/>
      <c r="IN1509" s="1"/>
      <c r="IO1509" s="1"/>
      <c r="IP1509" s="1"/>
      <c r="IQ1509" s="1"/>
      <c r="IR1509" s="1"/>
      <c r="IS1509" s="1"/>
      <c r="IT1509" s="1"/>
      <c r="IU1509" s="1"/>
      <c r="IV1509" s="1"/>
      <c r="IW1509" s="1"/>
      <c r="IX1509" s="1"/>
      <c r="IY1509" s="1"/>
      <c r="IZ1509" s="1"/>
      <c r="JA1509" s="1"/>
      <c r="JB1509" s="1"/>
      <c r="JC1509" s="1"/>
      <c r="JD1509" s="1"/>
    </row>
    <row r="1510" s="504" customFormat="true" ht="12.75" hidden="false" customHeight="true" outlineLevel="0" collapsed="false">
      <c r="A1510" s="5"/>
      <c r="B1510" s="5"/>
      <c r="C1510" s="5"/>
      <c r="D1510" s="8"/>
      <c r="E1510" s="8"/>
      <c r="F1510" s="8"/>
      <c r="G1510" s="5"/>
      <c r="H1510" s="5"/>
      <c r="I1510" s="5"/>
      <c r="J1510" s="8"/>
      <c r="K1510" s="8"/>
      <c r="L1510" s="5"/>
      <c r="M1510" s="8"/>
      <c r="N1510" s="8"/>
      <c r="O1510" s="8"/>
      <c r="P1510" s="8"/>
      <c r="Q1510" s="5"/>
      <c r="R1510" s="5"/>
      <c r="S1510" s="5"/>
      <c r="T1510" s="5"/>
      <c r="U1510" s="5"/>
      <c r="V1510" s="10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02"/>
      <c r="AU1510" s="502"/>
      <c r="AV1510" s="606"/>
      <c r="AW1510" s="502"/>
      <c r="AX1510" s="502"/>
      <c r="AY1510" s="502"/>
      <c r="AZ1510" s="502"/>
      <c r="BA1510" s="502"/>
      <c r="BB1510" s="502"/>
      <c r="BC1510" s="502"/>
      <c r="BD1510" s="502"/>
      <c r="BE1510" s="502"/>
      <c r="BF1510" s="502"/>
      <c r="BG1510" s="502"/>
      <c r="BH1510" s="502"/>
      <c r="BI1510" s="502"/>
      <c r="BJ1510" s="502"/>
      <c r="BK1510" s="502"/>
      <c r="BL1510" s="502"/>
      <c r="BM1510" s="502"/>
      <c r="BN1510" s="502"/>
      <c r="BO1510" s="502"/>
      <c r="BP1510" s="5"/>
      <c r="BQ1510" s="5"/>
      <c r="BR1510" s="5"/>
      <c r="BS1510" s="5"/>
      <c r="BT1510" s="5"/>
      <c r="BU1510" s="5"/>
      <c r="BV1510" s="5"/>
      <c r="BW1510" s="5"/>
      <c r="BX1510" s="5"/>
      <c r="BY1510" s="5"/>
      <c r="BZ1510" s="5"/>
      <c r="CA1510" s="5"/>
      <c r="CB1510" s="5"/>
      <c r="CC1510" s="5"/>
      <c r="CD1510" s="5"/>
      <c r="CE1510" s="5"/>
      <c r="CF1510" s="5"/>
      <c r="CG1510" s="5"/>
      <c r="CH1510" s="5"/>
      <c r="CI1510" s="5"/>
      <c r="CJ1510" s="5"/>
      <c r="CK1510" s="5"/>
      <c r="CL1510" s="5"/>
      <c r="CM1510" s="5"/>
      <c r="CN1510" s="5"/>
      <c r="CO1510" s="5"/>
      <c r="CP1510" s="5"/>
      <c r="CQ1510" s="5"/>
      <c r="CR1510" s="5"/>
      <c r="CS1510" s="5"/>
      <c r="CT1510" s="5"/>
      <c r="CU1510" s="5"/>
      <c r="CV1510" s="5"/>
      <c r="CW1510" s="5"/>
      <c r="CX1510" s="5"/>
      <c r="CY1510" s="5"/>
      <c r="CZ1510" s="5"/>
      <c r="DA1510" s="5"/>
      <c r="DB1510" s="5"/>
      <c r="DC1510" s="5"/>
      <c r="DD1510" s="5"/>
      <c r="DE1510" s="5"/>
      <c r="DF1510" s="5"/>
      <c r="DG1510" s="5"/>
      <c r="DH1510" s="5"/>
      <c r="DI1510" s="5"/>
      <c r="DJ1510" s="5"/>
      <c r="DK1510" s="5"/>
      <c r="DL1510" s="5"/>
      <c r="DM1510" s="5"/>
      <c r="DN1510" s="5"/>
      <c r="DO1510" s="5"/>
      <c r="DP1510" s="5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  <c r="GV1510" s="1"/>
      <c r="GW1510" s="1"/>
      <c r="GX1510" s="1"/>
      <c r="GY1510" s="1"/>
      <c r="GZ1510" s="1"/>
      <c r="HA1510" s="1"/>
      <c r="HB1510" s="1"/>
      <c r="HC1510" s="1"/>
      <c r="HD1510" s="1"/>
      <c r="HE1510" s="1"/>
      <c r="HF1510" s="1"/>
      <c r="HG1510" s="1"/>
      <c r="HH1510" s="1"/>
      <c r="HI1510" s="1"/>
      <c r="HJ1510" s="1"/>
      <c r="HK1510" s="1"/>
      <c r="HL1510" s="1"/>
      <c r="HM1510" s="1"/>
      <c r="HN1510" s="1"/>
      <c r="HO1510" s="1"/>
      <c r="HP1510" s="1"/>
      <c r="HQ1510" s="1"/>
      <c r="HR1510" s="1"/>
      <c r="HS1510" s="1"/>
      <c r="HT1510" s="1"/>
      <c r="HU1510" s="1"/>
      <c r="HV1510" s="1"/>
      <c r="HW1510" s="1"/>
      <c r="HX1510" s="1"/>
      <c r="HY1510" s="1"/>
      <c r="HZ1510" s="1"/>
      <c r="IA1510" s="1"/>
      <c r="IB1510" s="1"/>
      <c r="IC1510" s="1"/>
      <c r="ID1510" s="1"/>
      <c r="IE1510" s="1"/>
      <c r="IF1510" s="1"/>
      <c r="IG1510" s="1"/>
      <c r="IH1510" s="1"/>
      <c r="II1510" s="1"/>
      <c r="IJ1510" s="1"/>
      <c r="IK1510" s="1"/>
      <c r="IL1510" s="1"/>
      <c r="IM1510" s="1"/>
      <c r="IN1510" s="1"/>
      <c r="IO1510" s="1"/>
      <c r="IP1510" s="1"/>
      <c r="IQ1510" s="1"/>
      <c r="IR1510" s="1"/>
      <c r="IS1510" s="1"/>
      <c r="IT1510" s="1"/>
      <c r="IU1510" s="1"/>
      <c r="IV1510" s="1"/>
      <c r="IW1510" s="1"/>
      <c r="IX1510" s="1"/>
      <c r="IY1510" s="1"/>
      <c r="IZ1510" s="1"/>
      <c r="JA1510" s="1"/>
      <c r="JB1510" s="1"/>
      <c r="JC1510" s="1"/>
      <c r="JD1510" s="1"/>
    </row>
    <row r="1511" s="504" customFormat="true" ht="12.75" hidden="false" customHeight="true" outlineLevel="0" collapsed="false">
      <c r="A1511" s="5"/>
      <c r="B1511" s="5"/>
      <c r="C1511" s="5"/>
      <c r="D1511" s="8"/>
      <c r="E1511" s="8"/>
      <c r="F1511" s="8"/>
      <c r="G1511" s="5"/>
      <c r="H1511" s="5"/>
      <c r="I1511" s="5"/>
      <c r="J1511" s="8"/>
      <c r="K1511" s="8"/>
      <c r="L1511" s="5"/>
      <c r="M1511" s="8"/>
      <c r="N1511" s="8"/>
      <c r="O1511" s="8"/>
      <c r="P1511" s="8"/>
      <c r="Q1511" s="5"/>
      <c r="R1511" s="5"/>
      <c r="S1511" s="5"/>
      <c r="T1511" s="5"/>
      <c r="U1511" s="5"/>
      <c r="V1511" s="10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02"/>
      <c r="AU1511" s="502"/>
      <c r="AV1511" s="606"/>
      <c r="AW1511" s="502"/>
      <c r="AX1511" s="502"/>
      <c r="AY1511" s="502"/>
      <c r="AZ1511" s="502"/>
      <c r="BA1511" s="502"/>
      <c r="BB1511" s="502"/>
      <c r="BC1511" s="502"/>
      <c r="BD1511" s="502"/>
      <c r="BE1511" s="502"/>
      <c r="BF1511" s="502"/>
      <c r="BG1511" s="502"/>
      <c r="BH1511" s="502"/>
      <c r="BI1511" s="502"/>
      <c r="BJ1511" s="502"/>
      <c r="BK1511" s="502"/>
      <c r="BL1511" s="502"/>
      <c r="BM1511" s="502"/>
      <c r="BN1511" s="502"/>
      <c r="BO1511" s="502"/>
      <c r="BP1511" s="5"/>
      <c r="BQ1511" s="5"/>
      <c r="BR1511" s="5"/>
      <c r="BS1511" s="5"/>
      <c r="BT1511" s="5"/>
      <c r="BU1511" s="5"/>
      <c r="BV1511" s="5"/>
      <c r="BW1511" s="5"/>
      <c r="BX1511" s="5"/>
      <c r="BY1511" s="5"/>
      <c r="BZ1511" s="5"/>
      <c r="CA1511" s="5"/>
      <c r="CB1511" s="5"/>
      <c r="CC1511" s="5"/>
      <c r="CD1511" s="5"/>
      <c r="CE1511" s="5"/>
      <c r="CF1511" s="5"/>
      <c r="CG1511" s="5"/>
      <c r="CH1511" s="5"/>
      <c r="CI1511" s="5"/>
      <c r="CJ1511" s="5"/>
      <c r="CK1511" s="5"/>
      <c r="CL1511" s="5"/>
      <c r="CM1511" s="5"/>
      <c r="CN1511" s="5"/>
      <c r="CO1511" s="5"/>
      <c r="CP1511" s="5"/>
      <c r="CQ1511" s="5"/>
      <c r="CR1511" s="5"/>
      <c r="CS1511" s="5"/>
      <c r="CT1511" s="5"/>
      <c r="CU1511" s="5"/>
      <c r="CV1511" s="5"/>
      <c r="CW1511" s="5"/>
      <c r="CX1511" s="5"/>
      <c r="CY1511" s="5"/>
      <c r="CZ1511" s="5"/>
      <c r="DA1511" s="5"/>
      <c r="DB1511" s="5"/>
      <c r="DC1511" s="5"/>
      <c r="DD1511" s="5"/>
      <c r="DE1511" s="5"/>
      <c r="DF1511" s="5"/>
      <c r="DG1511" s="5"/>
      <c r="DH1511" s="5"/>
      <c r="DI1511" s="5"/>
      <c r="DJ1511" s="5"/>
      <c r="DK1511" s="5"/>
      <c r="DL1511" s="5"/>
      <c r="DM1511" s="5"/>
      <c r="DN1511" s="5"/>
      <c r="DO1511" s="5"/>
      <c r="DP1511" s="5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  <c r="GV1511" s="1"/>
      <c r="GW1511" s="1"/>
      <c r="GX1511" s="1"/>
      <c r="GY1511" s="1"/>
      <c r="GZ1511" s="1"/>
      <c r="HA1511" s="1"/>
      <c r="HB1511" s="1"/>
      <c r="HC1511" s="1"/>
      <c r="HD1511" s="1"/>
      <c r="HE1511" s="1"/>
      <c r="HF1511" s="1"/>
      <c r="HG1511" s="1"/>
      <c r="HH1511" s="1"/>
      <c r="HI1511" s="1"/>
      <c r="HJ1511" s="1"/>
      <c r="HK1511" s="1"/>
      <c r="HL1511" s="1"/>
      <c r="HM1511" s="1"/>
      <c r="HN1511" s="1"/>
      <c r="HO1511" s="1"/>
      <c r="HP1511" s="1"/>
      <c r="HQ1511" s="1"/>
      <c r="HR1511" s="1"/>
      <c r="HS1511" s="1"/>
      <c r="HT1511" s="1"/>
      <c r="HU1511" s="1"/>
      <c r="HV1511" s="1"/>
      <c r="HW1511" s="1"/>
      <c r="HX1511" s="1"/>
      <c r="HY1511" s="1"/>
      <c r="HZ1511" s="1"/>
      <c r="IA1511" s="1"/>
      <c r="IB1511" s="1"/>
      <c r="IC1511" s="1"/>
      <c r="ID1511" s="1"/>
      <c r="IE1511" s="1"/>
      <c r="IF1511" s="1"/>
      <c r="IG1511" s="1"/>
      <c r="IH1511" s="1"/>
      <c r="II1511" s="1"/>
      <c r="IJ1511" s="1"/>
      <c r="IK1511" s="1"/>
      <c r="IL1511" s="1"/>
      <c r="IM1511" s="1"/>
      <c r="IN1511" s="1"/>
      <c r="IO1511" s="1"/>
      <c r="IP1511" s="1"/>
      <c r="IQ1511" s="1"/>
      <c r="IR1511" s="1"/>
      <c r="IS1511" s="1"/>
      <c r="IT1511" s="1"/>
      <c r="IU1511" s="1"/>
      <c r="IV1511" s="1"/>
      <c r="IW1511" s="1"/>
      <c r="IX1511" s="1"/>
      <c r="IY1511" s="1"/>
      <c r="IZ1511" s="1"/>
      <c r="JA1511" s="1"/>
      <c r="JB1511" s="1"/>
      <c r="JC1511" s="1"/>
      <c r="JD1511" s="1"/>
    </row>
    <row r="1512" s="504" customFormat="true" ht="12.75" hidden="false" customHeight="true" outlineLevel="0" collapsed="false">
      <c r="A1512" s="5"/>
      <c r="B1512" s="5"/>
      <c r="C1512" s="5"/>
      <c r="D1512" s="8"/>
      <c r="E1512" s="8"/>
      <c r="F1512" s="8"/>
      <c r="G1512" s="5"/>
      <c r="H1512" s="5"/>
      <c r="I1512" s="5"/>
      <c r="J1512" s="8"/>
      <c r="K1512" s="8"/>
      <c r="L1512" s="5"/>
      <c r="M1512" s="8"/>
      <c r="N1512" s="8"/>
      <c r="O1512" s="8"/>
      <c r="P1512" s="8"/>
      <c r="Q1512" s="5"/>
      <c r="R1512" s="5"/>
      <c r="S1512" s="5"/>
      <c r="T1512" s="5"/>
      <c r="U1512" s="5"/>
      <c r="V1512" s="10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02"/>
      <c r="AU1512" s="502"/>
      <c r="AV1512" s="606"/>
      <c r="AW1512" s="502"/>
      <c r="AX1512" s="502"/>
      <c r="AY1512" s="502"/>
      <c r="AZ1512" s="502"/>
      <c r="BA1512" s="502"/>
      <c r="BB1512" s="502"/>
      <c r="BC1512" s="502"/>
      <c r="BD1512" s="502"/>
      <c r="BE1512" s="502"/>
      <c r="BF1512" s="502"/>
      <c r="BG1512" s="502"/>
      <c r="BH1512" s="502"/>
      <c r="BI1512" s="502"/>
      <c r="BJ1512" s="502"/>
      <c r="BK1512" s="502"/>
      <c r="BL1512" s="502"/>
      <c r="BM1512" s="502"/>
      <c r="BN1512" s="502"/>
      <c r="BO1512" s="502"/>
      <c r="BP1512" s="5"/>
      <c r="BQ1512" s="5"/>
      <c r="BR1512" s="5"/>
      <c r="BS1512" s="5"/>
      <c r="BT1512" s="5"/>
      <c r="BU1512" s="5"/>
      <c r="BV1512" s="5"/>
      <c r="BW1512" s="5"/>
      <c r="BX1512" s="5"/>
      <c r="BY1512" s="5"/>
      <c r="BZ1512" s="5"/>
      <c r="CA1512" s="5"/>
      <c r="CB1512" s="5"/>
      <c r="CC1512" s="5"/>
      <c r="CD1512" s="5"/>
      <c r="CE1512" s="5"/>
      <c r="CF1512" s="5"/>
      <c r="CG1512" s="5"/>
      <c r="CH1512" s="5"/>
      <c r="CI1512" s="5"/>
      <c r="CJ1512" s="5"/>
      <c r="CK1512" s="5"/>
      <c r="CL1512" s="5"/>
      <c r="CM1512" s="5"/>
      <c r="CN1512" s="5"/>
      <c r="CO1512" s="5"/>
      <c r="CP1512" s="5"/>
      <c r="CQ1512" s="5"/>
      <c r="CR1512" s="5"/>
      <c r="CS1512" s="5"/>
      <c r="CT1512" s="5"/>
      <c r="CU1512" s="5"/>
      <c r="CV1512" s="5"/>
      <c r="CW1512" s="5"/>
      <c r="CX1512" s="5"/>
      <c r="CY1512" s="5"/>
      <c r="CZ1512" s="5"/>
      <c r="DA1512" s="5"/>
      <c r="DB1512" s="5"/>
      <c r="DC1512" s="5"/>
      <c r="DD1512" s="5"/>
      <c r="DE1512" s="5"/>
      <c r="DF1512" s="5"/>
      <c r="DG1512" s="5"/>
      <c r="DH1512" s="5"/>
      <c r="DI1512" s="5"/>
      <c r="DJ1512" s="5"/>
      <c r="DK1512" s="5"/>
      <c r="DL1512" s="5"/>
      <c r="DM1512" s="5"/>
      <c r="DN1512" s="5"/>
      <c r="DO1512" s="5"/>
      <c r="DP1512" s="5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  <c r="GV1512" s="1"/>
      <c r="GW1512" s="1"/>
      <c r="GX1512" s="1"/>
      <c r="GY1512" s="1"/>
      <c r="GZ1512" s="1"/>
      <c r="HA1512" s="1"/>
      <c r="HB1512" s="1"/>
      <c r="HC1512" s="1"/>
      <c r="HD1512" s="1"/>
      <c r="HE1512" s="1"/>
      <c r="HF1512" s="1"/>
      <c r="HG1512" s="1"/>
      <c r="HH1512" s="1"/>
      <c r="HI1512" s="1"/>
      <c r="HJ1512" s="1"/>
      <c r="HK1512" s="1"/>
      <c r="HL1512" s="1"/>
      <c r="HM1512" s="1"/>
      <c r="HN1512" s="1"/>
      <c r="HO1512" s="1"/>
      <c r="HP1512" s="1"/>
      <c r="HQ1512" s="1"/>
      <c r="HR1512" s="1"/>
      <c r="HS1512" s="1"/>
      <c r="HT1512" s="1"/>
      <c r="HU1512" s="1"/>
      <c r="HV1512" s="1"/>
      <c r="HW1512" s="1"/>
      <c r="HX1512" s="1"/>
      <c r="HY1512" s="1"/>
      <c r="HZ1512" s="1"/>
      <c r="IA1512" s="1"/>
      <c r="IB1512" s="1"/>
      <c r="IC1512" s="1"/>
      <c r="ID1512" s="1"/>
      <c r="IE1512" s="1"/>
      <c r="IF1512" s="1"/>
      <c r="IG1512" s="1"/>
      <c r="IH1512" s="1"/>
      <c r="II1512" s="1"/>
      <c r="IJ1512" s="1"/>
      <c r="IK1512" s="1"/>
      <c r="IL1512" s="1"/>
      <c r="IM1512" s="1"/>
      <c r="IN1512" s="1"/>
      <c r="IO1512" s="1"/>
      <c r="IP1512" s="1"/>
      <c r="IQ1512" s="1"/>
      <c r="IR1512" s="1"/>
      <c r="IS1512" s="1"/>
      <c r="IT1512" s="1"/>
      <c r="IU1512" s="1"/>
      <c r="IV1512" s="1"/>
      <c r="IW1512" s="1"/>
      <c r="IX1512" s="1"/>
      <c r="IY1512" s="1"/>
      <c r="IZ1512" s="1"/>
      <c r="JA1512" s="1"/>
      <c r="JB1512" s="1"/>
      <c r="JC1512" s="1"/>
      <c r="JD1512" s="1"/>
    </row>
    <row r="1513" s="504" customFormat="true" ht="12.75" hidden="false" customHeight="true" outlineLevel="0" collapsed="false">
      <c r="A1513" s="5"/>
      <c r="B1513" s="5"/>
      <c r="C1513" s="5"/>
      <c r="D1513" s="8"/>
      <c r="E1513" s="8"/>
      <c r="F1513" s="8"/>
      <c r="G1513" s="5"/>
      <c r="H1513" s="5"/>
      <c r="I1513" s="5"/>
      <c r="J1513" s="8"/>
      <c r="K1513" s="8"/>
      <c r="L1513" s="5"/>
      <c r="M1513" s="8"/>
      <c r="N1513" s="8"/>
      <c r="O1513" s="8"/>
      <c r="P1513" s="8"/>
      <c r="Q1513" s="5"/>
      <c r="R1513" s="5"/>
      <c r="S1513" s="5"/>
      <c r="T1513" s="5"/>
      <c r="U1513" s="5"/>
      <c r="V1513" s="10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02"/>
      <c r="AU1513" s="502"/>
      <c r="AV1513" s="606"/>
      <c r="AW1513" s="502"/>
      <c r="AX1513" s="502"/>
      <c r="AY1513" s="502"/>
      <c r="AZ1513" s="502"/>
      <c r="BA1513" s="502"/>
      <c r="BB1513" s="502"/>
      <c r="BC1513" s="502"/>
      <c r="BD1513" s="502"/>
      <c r="BE1513" s="502"/>
      <c r="BF1513" s="502"/>
      <c r="BG1513" s="502"/>
      <c r="BH1513" s="502"/>
      <c r="BI1513" s="502"/>
      <c r="BJ1513" s="502"/>
      <c r="BK1513" s="502"/>
      <c r="BL1513" s="502"/>
      <c r="BM1513" s="502"/>
      <c r="BN1513" s="502"/>
      <c r="BO1513" s="502"/>
      <c r="BP1513" s="5"/>
      <c r="BQ1513" s="5"/>
      <c r="BR1513" s="5"/>
      <c r="BS1513" s="5"/>
      <c r="BT1513" s="5"/>
      <c r="BU1513" s="5"/>
      <c r="BV1513" s="5"/>
      <c r="BW1513" s="5"/>
      <c r="BX1513" s="5"/>
      <c r="BY1513" s="5"/>
      <c r="BZ1513" s="5"/>
      <c r="CA1513" s="5"/>
      <c r="CB1513" s="5"/>
      <c r="CC1513" s="5"/>
      <c r="CD1513" s="5"/>
      <c r="CE1513" s="5"/>
      <c r="CF1513" s="5"/>
      <c r="CG1513" s="5"/>
      <c r="CH1513" s="5"/>
      <c r="CI1513" s="5"/>
      <c r="CJ1513" s="5"/>
      <c r="CK1513" s="5"/>
      <c r="CL1513" s="5"/>
      <c r="CM1513" s="5"/>
      <c r="CN1513" s="5"/>
      <c r="CO1513" s="5"/>
      <c r="CP1513" s="5"/>
      <c r="CQ1513" s="5"/>
      <c r="CR1513" s="5"/>
      <c r="CS1513" s="5"/>
      <c r="CT1513" s="5"/>
      <c r="CU1513" s="5"/>
      <c r="CV1513" s="5"/>
      <c r="CW1513" s="5"/>
      <c r="CX1513" s="5"/>
      <c r="CY1513" s="5"/>
      <c r="CZ1513" s="5"/>
      <c r="DA1513" s="5"/>
      <c r="DB1513" s="5"/>
      <c r="DC1513" s="5"/>
      <c r="DD1513" s="5"/>
      <c r="DE1513" s="5"/>
      <c r="DF1513" s="5"/>
      <c r="DG1513" s="5"/>
      <c r="DH1513" s="5"/>
      <c r="DI1513" s="5"/>
      <c r="DJ1513" s="5"/>
      <c r="DK1513" s="5"/>
      <c r="DL1513" s="5"/>
      <c r="DM1513" s="5"/>
      <c r="DN1513" s="5"/>
      <c r="DO1513" s="5"/>
      <c r="DP1513" s="5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  <c r="GV1513" s="1"/>
      <c r="GW1513" s="1"/>
      <c r="GX1513" s="1"/>
      <c r="GY1513" s="1"/>
      <c r="GZ1513" s="1"/>
      <c r="HA1513" s="1"/>
      <c r="HB1513" s="1"/>
      <c r="HC1513" s="1"/>
      <c r="HD1513" s="1"/>
      <c r="HE1513" s="1"/>
      <c r="HF1513" s="1"/>
      <c r="HG1513" s="1"/>
      <c r="HH1513" s="1"/>
      <c r="HI1513" s="1"/>
      <c r="HJ1513" s="1"/>
      <c r="HK1513" s="1"/>
      <c r="HL1513" s="1"/>
      <c r="HM1513" s="1"/>
      <c r="HN1513" s="1"/>
      <c r="HO1513" s="1"/>
      <c r="HP1513" s="1"/>
      <c r="HQ1513" s="1"/>
      <c r="HR1513" s="1"/>
      <c r="HS1513" s="1"/>
      <c r="HT1513" s="1"/>
      <c r="HU1513" s="1"/>
      <c r="HV1513" s="1"/>
      <c r="HW1513" s="1"/>
      <c r="HX1513" s="1"/>
      <c r="HY1513" s="1"/>
      <c r="HZ1513" s="1"/>
      <c r="IA1513" s="1"/>
      <c r="IB1513" s="1"/>
      <c r="IC1513" s="1"/>
      <c r="ID1513" s="1"/>
      <c r="IE1513" s="1"/>
      <c r="IF1513" s="1"/>
      <c r="IG1513" s="1"/>
      <c r="IH1513" s="1"/>
      <c r="II1513" s="1"/>
      <c r="IJ1513" s="1"/>
      <c r="IK1513" s="1"/>
      <c r="IL1513" s="1"/>
      <c r="IM1513" s="1"/>
      <c r="IN1513" s="1"/>
      <c r="IO1513" s="1"/>
      <c r="IP1513" s="1"/>
      <c r="IQ1513" s="1"/>
      <c r="IR1513" s="1"/>
      <c r="IS1513" s="1"/>
      <c r="IT1513" s="1"/>
      <c r="IU1513" s="1"/>
      <c r="IV1513" s="1"/>
      <c r="IW1513" s="1"/>
      <c r="IX1513" s="1"/>
      <c r="IY1513" s="1"/>
      <c r="IZ1513" s="1"/>
      <c r="JA1513" s="1"/>
      <c r="JB1513" s="1"/>
      <c r="JC1513" s="1"/>
      <c r="JD1513" s="1"/>
    </row>
    <row r="1514" s="504" customFormat="true" ht="12.75" hidden="false" customHeight="true" outlineLevel="0" collapsed="false">
      <c r="A1514" s="5" t="s">
        <v>338</v>
      </c>
      <c r="B1514" s="5"/>
      <c r="C1514" s="5"/>
      <c r="D1514" s="8"/>
      <c r="E1514" s="8"/>
      <c r="F1514" s="8"/>
      <c r="G1514" s="5"/>
      <c r="H1514" s="5"/>
      <c r="I1514" s="5"/>
      <c r="J1514" s="8"/>
      <c r="K1514" s="8"/>
      <c r="L1514" s="5"/>
      <c r="M1514" s="8"/>
      <c r="N1514" s="8"/>
      <c r="O1514" s="8"/>
      <c r="P1514" s="8"/>
      <c r="Q1514" s="5"/>
      <c r="R1514" s="5"/>
      <c r="S1514" s="5"/>
      <c r="T1514" s="5"/>
      <c r="U1514" s="5"/>
      <c r="V1514" s="10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02"/>
      <c r="AU1514" s="502"/>
      <c r="AV1514" s="606"/>
      <c r="AW1514" s="502"/>
      <c r="AX1514" s="502"/>
      <c r="AY1514" s="502"/>
      <c r="AZ1514" s="502"/>
      <c r="BA1514" s="502"/>
      <c r="BB1514" s="502"/>
      <c r="BC1514" s="502"/>
      <c r="BD1514" s="502"/>
      <c r="BE1514" s="502"/>
      <c r="BF1514" s="502"/>
      <c r="BG1514" s="502"/>
      <c r="BH1514" s="502"/>
      <c r="BI1514" s="502"/>
      <c r="BJ1514" s="502"/>
      <c r="BK1514" s="502"/>
      <c r="BL1514" s="502"/>
      <c r="BM1514" s="502"/>
      <c r="BN1514" s="502"/>
      <c r="BO1514" s="502"/>
      <c r="BP1514" s="5"/>
      <c r="BQ1514" s="5"/>
      <c r="BR1514" s="5"/>
      <c r="BS1514" s="5"/>
      <c r="BT1514" s="5"/>
      <c r="BU1514" s="5"/>
      <c r="BV1514" s="5"/>
      <c r="BW1514" s="5"/>
      <c r="BX1514" s="5"/>
      <c r="BY1514" s="5"/>
      <c r="BZ1514" s="5"/>
      <c r="CA1514" s="5"/>
      <c r="CB1514" s="5"/>
      <c r="CC1514" s="5"/>
      <c r="CD1514" s="5"/>
      <c r="CE1514" s="5"/>
      <c r="CF1514" s="5"/>
      <c r="CG1514" s="5"/>
      <c r="CH1514" s="5"/>
      <c r="CI1514" s="5"/>
      <c r="CJ1514" s="5"/>
      <c r="CK1514" s="5"/>
      <c r="CL1514" s="5"/>
      <c r="CM1514" s="5"/>
      <c r="CN1514" s="5"/>
      <c r="CO1514" s="5"/>
      <c r="CP1514" s="5"/>
      <c r="CQ1514" s="5"/>
      <c r="CR1514" s="5"/>
      <c r="CS1514" s="5"/>
      <c r="CT1514" s="5"/>
      <c r="CU1514" s="5"/>
      <c r="CV1514" s="5"/>
      <c r="CW1514" s="5"/>
      <c r="CX1514" s="5"/>
      <c r="CY1514" s="5"/>
      <c r="CZ1514" s="5"/>
      <c r="DA1514" s="5"/>
      <c r="DB1514" s="5"/>
      <c r="DC1514" s="5"/>
      <c r="DD1514" s="5"/>
      <c r="DE1514" s="5"/>
      <c r="DF1514" s="5"/>
      <c r="DG1514" s="5"/>
      <c r="DH1514" s="5"/>
      <c r="DI1514" s="5"/>
      <c r="DJ1514" s="5"/>
      <c r="DK1514" s="5"/>
      <c r="DL1514" s="5"/>
      <c r="DM1514" s="5"/>
      <c r="DN1514" s="5"/>
      <c r="DO1514" s="5"/>
      <c r="DP1514" s="5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  <c r="GV1514" s="1"/>
      <c r="GW1514" s="1"/>
      <c r="GX1514" s="1"/>
      <c r="GY1514" s="1"/>
      <c r="GZ1514" s="1"/>
      <c r="HA1514" s="1"/>
      <c r="HB1514" s="1"/>
      <c r="HC1514" s="1"/>
      <c r="HD1514" s="1"/>
      <c r="HE1514" s="1"/>
      <c r="HF1514" s="1"/>
      <c r="HG1514" s="1"/>
      <c r="HH1514" s="1"/>
      <c r="HI1514" s="1"/>
      <c r="HJ1514" s="1"/>
      <c r="HK1514" s="1"/>
      <c r="HL1514" s="1"/>
      <c r="HM1514" s="1"/>
      <c r="HN1514" s="1"/>
      <c r="HO1514" s="1"/>
      <c r="HP1514" s="1"/>
      <c r="HQ1514" s="1"/>
      <c r="HR1514" s="1"/>
      <c r="HS1514" s="1"/>
      <c r="HT1514" s="1"/>
      <c r="HU1514" s="1"/>
      <c r="HV1514" s="1"/>
      <c r="HW1514" s="1"/>
      <c r="HX1514" s="1"/>
      <c r="HY1514" s="1"/>
      <c r="HZ1514" s="1"/>
      <c r="IA1514" s="1"/>
      <c r="IB1514" s="1"/>
      <c r="IC1514" s="1"/>
      <c r="ID1514" s="1"/>
      <c r="IE1514" s="1"/>
      <c r="IF1514" s="1"/>
      <c r="IG1514" s="1"/>
      <c r="IH1514" s="1"/>
      <c r="II1514" s="1"/>
      <c r="IJ1514" s="1"/>
      <c r="IK1514" s="1"/>
      <c r="IL1514" s="1"/>
      <c r="IM1514" s="1"/>
      <c r="IN1514" s="1"/>
      <c r="IO1514" s="1"/>
      <c r="IP1514" s="1"/>
      <c r="IQ1514" s="1"/>
      <c r="IR1514" s="1"/>
      <c r="IS1514" s="1"/>
      <c r="IT1514" s="1"/>
      <c r="IU1514" s="1"/>
      <c r="IV1514" s="1"/>
      <c r="IW1514" s="1"/>
      <c r="IX1514" s="1"/>
      <c r="IY1514" s="1"/>
      <c r="IZ1514" s="1"/>
      <c r="JA1514" s="1"/>
      <c r="JB1514" s="1"/>
      <c r="JC1514" s="1"/>
      <c r="JD1514" s="1"/>
    </row>
  </sheetData>
  <sheetProtection sheet="true" password="e6ae" objects="true" scenarios="true" selectLockedCells="true"/>
  <mergeCells count="256">
    <mergeCell ref="B2:B6"/>
    <mergeCell ref="J2:S2"/>
    <mergeCell ref="J3:P3"/>
    <mergeCell ref="Q3:S3"/>
    <mergeCell ref="J4:L4"/>
    <mergeCell ref="M4:P4"/>
    <mergeCell ref="Q4:S4"/>
    <mergeCell ref="T4:Z4"/>
    <mergeCell ref="J5:N5"/>
    <mergeCell ref="O5:Q5"/>
    <mergeCell ref="T5:Z5"/>
    <mergeCell ref="J6:N6"/>
    <mergeCell ref="O6:Q6"/>
    <mergeCell ref="U6:Z6"/>
    <mergeCell ref="J7:N7"/>
    <mergeCell ref="P7:Q7"/>
    <mergeCell ref="U7:Z7"/>
    <mergeCell ref="B8:B10"/>
    <mergeCell ref="J8:O8"/>
    <mergeCell ref="U8:Z8"/>
    <mergeCell ref="E9:F10"/>
    <mergeCell ref="G9:H10"/>
    <mergeCell ref="J9:N9"/>
    <mergeCell ref="U9:Z9"/>
    <mergeCell ref="J10:N10"/>
    <mergeCell ref="U10:Z10"/>
    <mergeCell ref="B11:G11"/>
    <mergeCell ref="K11:P11"/>
    <mergeCell ref="U11:Z11"/>
    <mergeCell ref="B12:D12"/>
    <mergeCell ref="F12:G12"/>
    <mergeCell ref="K12:P12"/>
    <mergeCell ref="U12:Z12"/>
    <mergeCell ref="E13:G13"/>
    <mergeCell ref="K13:P13"/>
    <mergeCell ref="U13:Z13"/>
    <mergeCell ref="B14:G14"/>
    <mergeCell ref="K14:P14"/>
    <mergeCell ref="U14:Z14"/>
    <mergeCell ref="B15:D15"/>
    <mergeCell ref="E15:G15"/>
    <mergeCell ref="J15:O15"/>
    <mergeCell ref="U15:Z15"/>
    <mergeCell ref="B16:D16"/>
    <mergeCell ref="E16:G16"/>
    <mergeCell ref="J16:P16"/>
    <mergeCell ref="U16:Z16"/>
    <mergeCell ref="B17:E17"/>
    <mergeCell ref="J17:P17"/>
    <mergeCell ref="U17:Z17"/>
    <mergeCell ref="B18:B20"/>
    <mergeCell ref="C18:G20"/>
    <mergeCell ref="J18:P18"/>
    <mergeCell ref="J19:O19"/>
    <mergeCell ref="Q19:R19"/>
    <mergeCell ref="V19:Z19"/>
    <mergeCell ref="K20:O20"/>
    <mergeCell ref="B21:E21"/>
    <mergeCell ref="K21:O21"/>
    <mergeCell ref="B22:D22"/>
    <mergeCell ref="K22:O22"/>
    <mergeCell ref="B23:D23"/>
    <mergeCell ref="K23:O23"/>
    <mergeCell ref="B24:D24"/>
    <mergeCell ref="K24:O24"/>
    <mergeCell ref="B25:D25"/>
    <mergeCell ref="J25:P25"/>
    <mergeCell ref="B26:E26"/>
    <mergeCell ref="J26:P26"/>
    <mergeCell ref="B27:E27"/>
    <mergeCell ref="J27:P27"/>
    <mergeCell ref="B28:E28"/>
    <mergeCell ref="J28:P28"/>
    <mergeCell ref="B29:E29"/>
    <mergeCell ref="J29:Q29"/>
    <mergeCell ref="R29:S29"/>
    <mergeCell ref="B30:E30"/>
    <mergeCell ref="J30:Q30"/>
    <mergeCell ref="R30:S30"/>
    <mergeCell ref="B31:E31"/>
    <mergeCell ref="J31:M31"/>
    <mergeCell ref="B32:F32"/>
    <mergeCell ref="J32:M32"/>
    <mergeCell ref="B33:E33"/>
    <mergeCell ref="J33:M33"/>
    <mergeCell ref="B34:D34"/>
    <mergeCell ref="J34:M34"/>
    <mergeCell ref="B35:G35"/>
    <mergeCell ref="J35:M35"/>
    <mergeCell ref="B36:E36"/>
    <mergeCell ref="J36:S36"/>
    <mergeCell ref="B37:E37"/>
    <mergeCell ref="J37:N37"/>
    <mergeCell ref="B38:E38"/>
    <mergeCell ref="J38:N38"/>
    <mergeCell ref="O38:P38"/>
    <mergeCell ref="U38:Z38"/>
    <mergeCell ref="B39:E39"/>
    <mergeCell ref="J39:O39"/>
    <mergeCell ref="Q39:R39"/>
    <mergeCell ref="U39:Z39"/>
    <mergeCell ref="B40:D40"/>
    <mergeCell ref="J40:O40"/>
    <mergeCell ref="B41:E41"/>
    <mergeCell ref="J41:P41"/>
    <mergeCell ref="U41:Z41"/>
    <mergeCell ref="B42:D42"/>
    <mergeCell ref="J42:Q42"/>
    <mergeCell ref="B43:G43"/>
    <mergeCell ref="J43:P43"/>
    <mergeCell ref="B44:E44"/>
    <mergeCell ref="J44:S44"/>
    <mergeCell ref="B45:E45"/>
    <mergeCell ref="J45:O45"/>
    <mergeCell ref="B46:C46"/>
    <mergeCell ref="J46:N46"/>
    <mergeCell ref="P46:Q46"/>
    <mergeCell ref="C47:E47"/>
    <mergeCell ref="J47:N47"/>
    <mergeCell ref="P47:Q47"/>
    <mergeCell ref="B48:G48"/>
    <mergeCell ref="J48:N48"/>
    <mergeCell ref="P48:Q48"/>
    <mergeCell ref="B49:E49"/>
    <mergeCell ref="J49:N49"/>
    <mergeCell ref="P49:Q49"/>
    <mergeCell ref="B50:D50"/>
    <mergeCell ref="J50:N50"/>
    <mergeCell ref="P50:Q50"/>
    <mergeCell ref="B51:E51"/>
    <mergeCell ref="J51:N51"/>
    <mergeCell ref="P51:Q51"/>
    <mergeCell ref="B52:E52"/>
    <mergeCell ref="J52:N52"/>
    <mergeCell ref="P52:Q52"/>
    <mergeCell ref="B53:E53"/>
    <mergeCell ref="J53:Q53"/>
    <mergeCell ref="R53:S53"/>
    <mergeCell ref="U53:Z53"/>
    <mergeCell ref="B54:G54"/>
    <mergeCell ref="J54:Q54"/>
    <mergeCell ref="U54:Z54"/>
    <mergeCell ref="B55:C55"/>
    <mergeCell ref="D55:E55"/>
    <mergeCell ref="J55:Q55"/>
    <mergeCell ref="U55:Z55"/>
    <mergeCell ref="D56:E56"/>
    <mergeCell ref="J56:S56"/>
    <mergeCell ref="U56:Y56"/>
    <mergeCell ref="J57:S57"/>
    <mergeCell ref="B58:G58"/>
    <mergeCell ref="J58:S58"/>
    <mergeCell ref="B59:E59"/>
    <mergeCell ref="J59:S59"/>
    <mergeCell ref="B60:E60"/>
    <mergeCell ref="J60:S60"/>
    <mergeCell ref="U60:Z60"/>
    <mergeCell ref="B61:F61"/>
    <mergeCell ref="J61:S61"/>
    <mergeCell ref="V61:Z61"/>
    <mergeCell ref="AE61:AH61"/>
    <mergeCell ref="AJ61:AL61"/>
    <mergeCell ref="B62:E62"/>
    <mergeCell ref="J62:S62"/>
    <mergeCell ref="B63:E63"/>
    <mergeCell ref="J63:S63"/>
    <mergeCell ref="AA63:AB63"/>
    <mergeCell ref="B64:E64"/>
    <mergeCell ref="L64:M64"/>
    <mergeCell ref="B65:E65"/>
    <mergeCell ref="B66:E66"/>
    <mergeCell ref="B67:E67"/>
    <mergeCell ref="B68:E68"/>
    <mergeCell ref="B69:F69"/>
    <mergeCell ref="B70:F70"/>
    <mergeCell ref="B71:E71"/>
    <mergeCell ref="B72:E72"/>
    <mergeCell ref="D73:E73"/>
    <mergeCell ref="J78:O78"/>
    <mergeCell ref="P78:Q78"/>
    <mergeCell ref="R78:S78"/>
    <mergeCell ref="AA80:AB80"/>
    <mergeCell ref="AA81:AB81"/>
    <mergeCell ref="AD85:AI85"/>
    <mergeCell ref="B90:E90"/>
    <mergeCell ref="B91:C91"/>
    <mergeCell ref="B92:C92"/>
    <mergeCell ref="B93:C93"/>
    <mergeCell ref="G93:H93"/>
    <mergeCell ref="B94:C94"/>
    <mergeCell ref="G94:H94"/>
    <mergeCell ref="B95:C95"/>
    <mergeCell ref="G95:H95"/>
    <mergeCell ref="B96:C96"/>
    <mergeCell ref="G96:H96"/>
    <mergeCell ref="B97:C97"/>
    <mergeCell ref="B98:C98"/>
    <mergeCell ref="B99:C99"/>
    <mergeCell ref="B100:C100"/>
    <mergeCell ref="B101:C101"/>
    <mergeCell ref="B103:E103"/>
    <mergeCell ref="F103:G103"/>
    <mergeCell ref="AN103:AP103"/>
    <mergeCell ref="B104:C104"/>
    <mergeCell ref="AN104:AP104"/>
    <mergeCell ref="B105:C105"/>
    <mergeCell ref="B106:C106"/>
    <mergeCell ref="F106:H106"/>
    <mergeCell ref="B107:C108"/>
    <mergeCell ref="B109:C109"/>
    <mergeCell ref="B110:C110"/>
    <mergeCell ref="B111:C111"/>
    <mergeCell ref="B112:C112"/>
    <mergeCell ref="B114:C114"/>
    <mergeCell ref="B115:C115"/>
    <mergeCell ref="H115:H116"/>
    <mergeCell ref="B116:C116"/>
    <mergeCell ref="B117:C117"/>
    <mergeCell ref="H117:H119"/>
    <mergeCell ref="B118:C118"/>
    <mergeCell ref="I118:K118"/>
    <mergeCell ref="B120:C120"/>
    <mergeCell ref="B121:C121"/>
    <mergeCell ref="B122:C122"/>
    <mergeCell ref="B123:C123"/>
    <mergeCell ref="B124:C124"/>
    <mergeCell ref="B125:C125"/>
    <mergeCell ref="B126:C126"/>
    <mergeCell ref="H126:H128"/>
    <mergeCell ref="B127:C127"/>
    <mergeCell ref="I127:K127"/>
    <mergeCell ref="B128:C128"/>
    <mergeCell ref="B130:G130"/>
    <mergeCell ref="B131:C131"/>
    <mergeCell ref="H131:H132"/>
    <mergeCell ref="B132:C132"/>
    <mergeCell ref="B133:C133"/>
    <mergeCell ref="H133:H136"/>
    <mergeCell ref="B134:C134"/>
    <mergeCell ref="B135:C135"/>
    <mergeCell ref="B137:C137"/>
    <mergeCell ref="B138:C138"/>
    <mergeCell ref="B139:C139"/>
    <mergeCell ref="B140:C140"/>
    <mergeCell ref="B141:C141"/>
    <mergeCell ref="B142:C142"/>
    <mergeCell ref="B143:C143"/>
    <mergeCell ref="H143:H145"/>
    <mergeCell ref="B144:C144"/>
    <mergeCell ref="B145:C145"/>
    <mergeCell ref="B147:G147"/>
    <mergeCell ref="C180:G180"/>
    <mergeCell ref="B195:C195"/>
    <mergeCell ref="N201:Q201"/>
    <mergeCell ref="N211:Q211"/>
    <mergeCell ref="R213:T213"/>
  </mergeCells>
  <dataValidations count="32">
    <dataValidation allowBlank="true" operator="equal" prompt="Valitse:&#10;- Ei, &#10;   jos haluat laskea mitoituksen tällä sivulla&#10;   olevien tietojen perusteella.&#10;&#10;- Kyllä,&#10;    jos haluat laskettavan  alasivun &quot;Rakennukset&quot; tietojen mukaan.&#10;   Jos käytät &quot;Kyllä&quot;  -vaihtoehtoa, täytä rakennus tiedot ensin." promptTitle="MILLÄ ARVOILLA LASKETAAN ?" showDropDown="false" showErrorMessage="true" showInputMessage="true" sqref="G9:H9 H10" type="list">
      <formula1>"Kyllä,Ei"</formula1>
      <formula2>0</formula2>
    </dataValidation>
    <dataValidation allowBlank="true" operator="equal" prompt="Kirjoita tähän virallinen &#10;lähimmän postitoimipaikan nimi.&#10;Ohjelma hakee toimipaikan numeron." promptTitle="Postinumeron haku" showDropDown="false" showErrorMessage="true" showInputMessage="true" sqref="C13" type="none">
      <formula1>0</formula1>
      <formula2>0</formula2>
    </dataValidation>
    <dataValidation allowBlank="true" operator="equal" prompt="Postinumeron perusteella rakennuskohde sijoitetaan &#10;Suomen kartalle.&#10;&#10;Postinumeron perusteella haetaan rakennupaikkakunnan&#10;lämmitystarveluvut.&#10;&#10;Sekä talon lämmitystarve, pumpputeho ja&#10;keruupiiri, niin maakeruu, kuin lämpökaivokin&#10;mitoitetaan tämän tiedon perusteella.&#10;&#10;Väärä postinumero johtaa virheeliseen mitoitukseen." promptTitle="Postinumero tarvitaan!" showDropDown="false" showErrorMessage="true" showInputMessage="true" sqref="F17" type="none">
      <formula1>0</formula1>
      <formula2>0</formula2>
    </dataValidation>
    <dataValidation allowBlank="true" operator="equal" prompt="Valitse :&#10;- PATTERI - lämmitys, jos talossa on asuintiloja, &#10;  joissa on lämmitys pattereilla.&#10;&#10;- LATTIA - lämmitys valitaan vain, &#10;  jos koko talo on lattialämmitteinen.&#10;&#10;- Tämä valinta vaikuttaa myöskin keruupiirin&#10;   mitoitukseen." promptTitle="LÄMMITYSTAPA" showDropDown="false" showErrorMessage="true" showInputMessage="true" sqref="F21" type="list">
      <formula1>"LATTIA,PATTERI,"</formula1>
      <formula2>0</formula2>
    </dataValidation>
    <dataValidation allowBlank="false" operator="equal" prompt="Valitse se COP -arvo, jolla suunnittelemasi&#10;lämpöpumppu tuottaa lämpimän käyttöveden.&#10;&#10;* Vaihtoventtiilikoneella luku on +50C vedelle noin 2,5  COP.&#10;&#10;* Tulistuskoneelle se on &#10;-  Lattialämmityksellä noin 4  COP&#10;-  Patterilämmityksellä noin 3,1  COP" promptTitle="LÄMPIMÄN KÄYTTÖVEDEN TUOTON HYÖTYSUHDE" showDropDown="false" showErrorMessage="true" showInputMessage="true" sqref="E40" type="list">
      <formula1>"1,0,1,5,1,7,1,8,1,9,2,0,2,1,2,2,2,3,2,4,2,5,2,6,2,7,2,8,2,9,3,0,3,1,3,2,3,3,3,4,3,5,3,6,3,7,3,8,3,9,4,0,4,1,4,2,4,3,4,4,4,5,4,6,4,7,4,8,4,9,5.0"</formula1>
      <formula2>0</formula2>
    </dataValidation>
    <dataValidation allowBlank="true" operator="equal" prompt="Valitse keruupiirin alueella olevan maan maalaji!&#10;Valinta vaikuttaa keruupiirin pituuteen." promptTitle="VALITSE" showDropDown="false" showErrorMessage="true" showInputMessage="true" sqref="F44" type="list">
      <formula1>"EI TIEDOSSA,HIEKKA,SAVI,MOREENI,SILTTI"</formula1>
      <formula2>0</formula2>
    </dataValidation>
    <dataValidation allowBlank="true" operator="equal" prompt="Valitse vaihtoehdoista oikea maan kosteusaste.&#10;Suurempi kosteus mitoittaa lyhyemmän keruupiirin.!" promptTitle="VALITSE" showDropDown="false" showErrorMessage="true" showInputMessage="true" sqref="F45" type="list">
      <formula1>"EI TIEDOSSA,KUIVA,KOSTEA,MÄRKÄ"</formula1>
      <formula2>0</formula2>
    </dataValidation>
    <dataValidation allowBlank="false" operator="equal" prompt="Valitse:&#10;&#10;LÄMMITYSTARPEEN -mukaan, jos haluat mitoittaa&#10;lämpökaivon niin, että sen teho riittää &#10;talon lämmitystarpeeseen.&#10;&#10;PUMPPUTEHON -mukaan, jos haluat valita osatehoisen&#10;lämpöpumpun ja osatehoisen lämpökaivon.&#10;Tässä oletetaan, että osa kovien pakkasten lämpötehosta&#10;tehdään ostosähköllä, eikä maasta otetulla lämmöllä.&#10;Kaivo mitoitetaan tällä vähän pienemmäksi." promptTitle="VALITSE LÄMPÖKAIVON MITOITUSPERUSTE" showDropDown="false" showErrorMessage="true" showInputMessage="true" sqref="F49" type="list">
      <formula1>"LÄMMITYSTARPEEN,PUMPPUTEHON"</formula1>
      <formula2>0</formula2>
    </dataValidation>
    <dataValidation allowBlank="false" operator="equal" promptTitle="Pakkasprofili -kerroin." showDropDown="false" showErrorMessage="true" showInputMessage="false" sqref="AI62" type="list">
      <formula1>"0,3,0,35,0,4,0,45,0,5,0,55,0,6,0,65,0,7,0,75,0,8,0,85,0,9,0,95,1,0"</formula1>
      <formula2>0</formula2>
    </dataValidation>
    <dataValidation allowBlank="false" operator="equal" prompt="Tämä prosenttiluku on öljylämmityksen vuotuinen hyötysuhde.&#10;Tämä ei ole  mitattu palamisen hyötysuhde.&#10;Tässä on mukana myös kattilan lämpövuoto savukanavaan." promptTitle="ÖLJYLÄMMITYKSEN VUOTUINEN HYÖTYSUHDE" showDropDown="false" showErrorMessage="true" showInputMessage="true" sqref="D91" type="list">
      <formula1>"70,71,72,73,74,75,76,77,78,79,80,81,82,83,84,85,86,87,88,89,90,91,92,100,"</formula1>
      <formula2>0</formula2>
    </dataValidation>
    <dataValidation allowBlank="false" operator="equal" prompt="Tämä prosenttiluku on pellettilämmityksen vuotuinen hyötysuhde.&#10;Tämä ei ole mitattu palamisen hyötysuhde.&#10;Tässä on mukana myös kattilan lämpövuoto savukanavaan." promptTitle="PUUPELLETIN POLTON VUOTUINEN HYÖTYSUHDE" showDropDown="false" showErrorMessage="true" showInputMessage="true" sqref="D92" type="list">
      <formula1>"70,71,72,73,74,75,76,77,78,79,80,81,82,83,84,85,86,87,88,89,90,100"</formula1>
      <formula2>0</formula2>
    </dataValidation>
    <dataValidation allowBlank="false" operator="equal" prompt="Tämä prosenttiluku on halkolämmityksen vuotuinen hyötysuhde.&#10;Tämä ei ole mitattu palamisen hyötysuhde.&#10;Tässä on mukana myös kattilan lämpövuoto savukanavaan." promptTitle="PUUN POLTON VUOTUINEN HYÖTYSUHDE" showDropDown="false" showErrorMessage="true" showInputMessage="true" sqref="D93" type="list">
      <formula1>",65,66,67,68,69,70,71,72,73,74,75,76,77,78,79,80,81,82,83,84,85,86,87,88,89,90,100"</formula1>
      <formula2>0</formula2>
    </dataValidation>
    <dataValidation allowBlank="false" operator="equal" prompt="Taloussähkö muuttuu suurimmaksi osaksi lämmöksi.&#10;Osa siitä lämmöstä lämmittää taloa lämmityskaudella.&#10;Tässä valitaan se % -osuus taloussähköstä, &#10;joka lämmittää rakennusta lämmityskaudella.&#10;Näin laskettu % -osuus vähennetään talon lämmitystarpeesta." promptTitle="LAITESÄHKÖN / TALOUSSÄHKÖN  LÄMMITYSTEHO" showDropDown="false" showErrorMessage="true" showInputMessage="true" sqref="D94" type="list">
      <formula1>"0,1,5,7,10,15,20,25,30,35,40,45,50,55,60,65"</formula1>
      <formula2>0</formula2>
    </dataValidation>
    <dataValidation allowBlank="false" operator="equal" prompt="Tässä määritetään pinta- alasta riippuva taloussähkön laskenta.&#10;Peruskulutukseksi oletetaan 3500 kWh/vuosi.&#10;Talousähkö = 3500 kWh + valitsemasi luku  x  nettoneliöt." promptTitle="OHJE TALOUSÄHKÖN MÄÄRITYSTÄ VARTEN" showDropDown="false" showErrorMessage="true" showInputMessage="true" sqref="D95" type="list">
      <formula1>"0,1,2,3,4,5,6,7,8,9,10,12,15,20,25,30,40,50,"</formula1>
      <formula2>0</formula2>
    </dataValidation>
    <dataValidation allowBlank="false" operator="equal" prompt="Lattialämmitys.&#10;Valitse  valmistajan ilmoittama COP -arvo&#10;Arvo ilmoitetaan =&gt; B0 W35 arvona&#10;Arvo on yleensä noin 4,5 COP." promptTitle="VALITSE COP LATTIALÄMMITYKSELLE" showDropDown="false" showErrorMessage="true" showInputMessage="true" sqref="D96" type="list">
      <formula1>"3,0,3,1,3,2,3,3,3,4,3,5,3,6,3,7,3,8,3,9,4,0,4,1,4,2,4,3,4,4,4,5,4,6,4,7,4,8,4,9,5,0,5,1,5,2,5,3,5,4,5,5,5,6,5,7,5,8,5,9,6,0,"</formula1>
      <formula2>0</formula2>
    </dataValidation>
    <dataValidation allowBlank="false" operator="equal" prompt="Patterilämmitys.&#10;Valitse  valmistajan ilmoittama COP -arvo&#10;Arvo ilmoitetaan =&gt; B0 W45  tai B0 W50 -arvona&#10;Arvo on yleensä noin 3,0 - 3,3 COP." promptTitle="VALITSE COP PATTERILÄMMITYKSELLE" showDropDown="false" showErrorMessage="true" showInputMessage="true" sqref="D97" type="list">
      <formula1>"2,5,2,6,2,7,2,8,2,9,3,0,3,1,3,2,3,3,3,4,3,5,3,6,3,7,3,8,3,9,4,0,,,,"</formula1>
      <formula2>0</formula2>
    </dataValidation>
    <dataValidation allowBlank="false" operator="equal" prompt="&#10;Valitse haluamasi huolämpötila tältä listalta." promptTitle="VALITSE HUONETILOJEN TOIVOTTU LÄMPÖTILA" showDropDown="false" showErrorMessage="true" showInputMessage="true" sqref="D98" type="list">
      <formula1>"1,5,6,10,12,15,16,17,18,19,20,21,22,23,24,25"</formula1>
      <formula2>0</formula2>
    </dataValidation>
    <dataValidation allowBlank="false" operator="equal" prompt="&#10;Voit valita kahdesta vaihtoehdosta mitoittavan &#10;ulkolämpötilan.&#10;&#10;- VIRALLINEN on laskentaohjeiden antama arvo.&#10;&#10;- LASKETTU on laskelmalla satu, mutta tarkemmin &#10;  paikkakunnan oloja vastaava mitoitusarvo&#10;&#10;Arvot ovat useimmiten samat tai melkein samat." promptTitle="Valitse  Mitoittava ulkolämpötila, MUT" showDropDown="false" showErrorMessage="true" showInputMessage="true" sqref="D99" type="list">
      <formula1>"VIRALLINEN,LASKETTU"</formula1>
      <formula2>0</formula2>
    </dataValidation>
    <dataValidation allowBlank="false" operator="lessThanOrEqual" prompt="Kirjoita tähän se kaivon metrimäärä, jossa ei ole vettä." promptTitle="Kaivon yläosasan kuiva osuus..." showDropDown="false" showErrorMessage="true" showInputMessage="true" sqref="D103" type="whole">
      <formula1>20</formula1>
      <formula2>0</formula2>
    </dataValidation>
    <dataValidation allowBlank="false" operator="greaterThanOrEqual" prompt="Kirjoita tähän se kaivon metrimäärä,&#10;jossa syvyydessä alkaa kiinteä kallio.&#10;&#10;Tällä ilmoitetaan laskentaohjelmalle &#10;maaporauksen osuus.&#10;&#10;Maakerroksesta saadaan vähemmän lämpöä,&#10;kuin kiinteästä kalliosta." promptTitle="Maaporauksen osuus metreinä..." showDropDown="false" showErrorMessage="true" showInputMessage="true" sqref="D104" type="whole">
      <formula1>1</formula1>
      <formula2>0</formula2>
    </dataValidation>
    <dataValidation allowBlank="false" operator="equal" prompt="Tähän merkitään maaporausaluueella &#10;olevan maa-aineksen lämmönjohtoluku.&#10;&#10;Tämä johtoluku on &#10;- kuivahkossa maassa noin 0,6 W / (m K)&#10;- kosteassa maaperässä noin 0,9 W / (m K)&#10;- märässä maaperässä noin 1,3 W / (m K)" promptTitle="Maaporaus alueen lämmönjohtoluku" showDropDown="false" showErrorMessage="true" showInputMessage="true" sqref="D105" type="list">
      <formula1>"0,5,0,6,0,7,0,8,0,9,1,0,1,1,1,2,1,3,1,4,1,5,1,6,,"</formula1>
      <formula2>0</formula2>
    </dataValidation>
    <dataValidation allowBlank="true" operator="equal" prompt="Valitse  paikallisen kallioperän kiviaineksen lämmönjohtavuusluku.&#10;Tyypillinen johtavuusluku on noin 2,6 - 3,5 W/mK.&#10;Suurempi luku pienentää kaivon syvyyttä.!" promptTitle="KALLION KIVIAINEKSEN LÄMMÖNJOHTAVUUS" showDropDown="false" showErrorMessage="true" showInputMessage="true" sqref="D106" type="list">
      <formula1>"2,0,2,1,2,2,2,3,2,4,2,5,2,6,2,7,2,8,2,9,3,0,3,1,3,2,3,3,3,4,3,5,3,6,3,7,3,8,"</formula1>
      <formula2>0</formula2>
    </dataValidation>
    <dataValidation allowBlank="false" operator="equal" prompt="Tässä voit valita  porakaivon lämpötilan&#10;20 metrin syvyydessä.&#10;&#10;Voit valita AUTO, jolloin ohjelma laskee itse &#10;kaivon lämpötilan 20 metrin syvyyteen.&#10;&#10;Suositus: Pidä AUTO valittuna!&#10;&#10;Tai&#10;Voit valinnalla MAN itse valita kaivon&#10;lämpötilan 20 metrin syvyydessä&#10;kirjoittamalla tämän alle  haluamasi lämpötilan.&#10;Yli 10 asteen lämpötilat eivät kelpaa!" promptTitle="Valitse  AUTOmaattinen  tai  MANuaalinen lämpötilan valinta" showDropDown="false" showErrorMessage="true" showInputMessage="true" sqref="D107" type="list">
      <formula1>"AUTO,MAN"</formula1>
      <formula2>0</formula2>
    </dataValidation>
    <dataValidation allowBlank="false" operator="between" prompt="Näppäile tähän jokin lämpötila, joka on&#10;välilä +0 ...  +10 C" promptTitle="Kallion häiriintymätön lämpötila 20 metrissä" showDropDown="false" showErrorMessage="true" showInputMessage="true" sqref="D108" type="decimal">
      <formula1>BERGHEAT!$F$108</formula1>
      <formula2>BERGHEAT!$G$108</formula2>
    </dataValidation>
    <dataValidation allowBlank="false" operator="equal" prompt="&#10;- Kallioperän lämpötila nousee syvemmälle, &#10;  kohti maan kuumaa  ydintä mentäessä.&#10;&#10;- Tässä valitaan se lämpenemiskerroin, jonka verran kallioperän&#10;   lämpötila nousee , kun mennään 1 metri edellistä arvoa&#10;   syvemmälle maan sisään.&#10;&#10;- Tämän gradientin arvo vaihtelee Suomessa tehdyissä koe-&#10;   kaivoissa alueella  noin  10 - 14 milliKelviniä . (=1/1000 K)&#10;   ( = 0,010 .. 0,014 astetta metriä kohden)&#10;&#10;- Jos et tiedä arvoa, on suositusvalinta 11,0 mK/m." promptTitle="Kallioperän lämmön nousun kerroin, gradientti" showDropDown="false" showErrorMessage="true" showInputMessage="true" sqref="D109" type="list">
      <formula1>"0,0,0,5,1,0,1,5,2,0,2,5,3,0,3,5,4,0,4,5,5,0,5,5,6,0,6,5,7,0,7,5,8,0,8,5,9,0,9,5,10,0,10,5,11,0,11,5,12,0,12,5,13,0,13,5,14,0,14,5,15,0,16,0,17,0,18,0,19,0,20,25,30,40,50,,"</formula1>
      <formula2>0</formula2>
    </dataValidation>
    <dataValidation allowBlank="false" operator="equal" prompt="-Tähän valitaan lämpökaivon yläpään lämpötilan muutoskerroin, gradientti.&#10;&#10;Gradientti on positiivinen tai negatiivinen kerroin, &#10;joka määrittää lämpökaivon yläpään lämpötilan muutoksen syvyyden mukaan.&#10;&#10;- Tähän valitaan postiivinen arvo,  jos katsotaan, &#10;että kaivon yläpään lämpötila kasvaa alas päin mentäessä.&#10;&#10;- Tähän valitaan negatiivinen arvo,  jos katsotaan, &#10;että kaivon yläpään lämpötila laskee alas päin mentäessä.&#10;&#10;- Jos et tiedä parempaa arvoa, &#10;  voit valita tähän gardientiksi arvon [0] = nolla." promptTitle="Valitse tähän lämpökaivon yläpään lämpötilan muutoskerroin, gradientti." showDropDown="false" showErrorMessage="true" showInputMessage="true" sqref="D110" type="list">
      <formula1>"0,10,20,50,75,100,125,150,200,300,500,"</formula1>
      <formula2>0</formula2>
    </dataValidation>
    <dataValidation allowBlank="false" error="Virhe!" operator="equal" prompt="Joskus kallioperä saattaa olla ennakoitua heikkolaatuisempaa.&#10;Tässä määritetään kaiken varalle huonompilaatuisen&#10;kallioperän lämmönjohtoluluku.&#10;&#10;Tämän johtoluvun perusteella määritetään &#10;vaihtoehtoinen poraustarve, jos kallioperä olikin&#10;kalkkikalliota, tai jotain muuta heikosti lämpöä johtavaa.&#10;&#10;Tämä johtoluku on esimerkiksi&#10;- kalkkikivellä noin 1,5 - 2,5 W / (m K)" promptTitle="Kallioperä olikin odotettua huonompi..." showDropDown="false" showErrorMessage="true" showInputMessage="true" sqref="D111" type="list">
      <formula1>"1,5,1,6,1,7,1,8,1,9,2,0,2,1,2,2,2,3,2,4,2,5,2,6,2,7,2,8,2,9,3,0"</formula1>
      <formula2>0</formula2>
    </dataValidation>
    <dataValidation allowBlank="false" operator="lessThan" prompt="Tähän kirjoitetaan se metrimäärä,&#10;johon porarin katsotaan enintään &#10;pystyvän porata.&#10;Tällä voit myöskin tasata kaksi kaivoa sama syvyisiksi!" promptTitle="Kirjoita tähän maksimi poraussyvyys!" showDropDown="false" showErrorMessage="true" showInputMessage="true" sqref="D112" type="whole">
      <formula1>1100</formula1>
      <formula2>0</formula2>
    </dataValidation>
    <dataValidation allowBlank="true" operator="equal" showDropDown="false" showErrorMessage="true" showInputMessage="false" sqref="D114:D116 D131:D133 B179" type="none">
      <formula1>0</formula1>
      <formula2>0</formula2>
    </dataValidation>
    <dataValidation allowBlank="true" operator="equal" showDropDown="false" showErrorMessage="true" showInputMessage="true" sqref="D117:D118 D134:D135" type="none">
      <formula1>0</formula1>
      <formula2>0</formula2>
    </dataValidation>
    <dataValidation allowBlank="false" operator="lessThan" prompt="Valitse tähän haluamasi kaivon syvyys.&#10;&#10;Koeta valita sellainen syvyys, &#10;jolla saadaan tähän alapuolelle suunnilleen &#10;saman syvyisiä kaivoja." promptTitle="Tasaa tämän avulla kaivot saman kokoisiksi!" showDropDown="false" showErrorMessage="true" showInputMessage="true" sqref="D137" type="whole">
      <formula1>300</formula1>
      <formula2>0</formula2>
    </dataValidation>
    <dataValidation allowBlank="false" operator="equal" prompt="Tässä voi muuttaa energiakaivon kuormitusastetta.&#10;Tähän valitaan keskiteho, jolla kaivoa kuormitetaan jatkuvasti.&#10;&#10;Keskiteho saadaan jakamalla kaivosta vuoden jaksolla &#10;otetun energian määrä kallioperän keskilämpötilalla  &#10;ja vuoden tuntien lukumäärällä ( 8760 ).&#10;&#10;Muuttaminen voi johtaa virheelliseen mitoitukseen.&#10;&#10;Listalta valittu luku toteutuu, kun ympäröivän kallion&#10;lämmönjohtumisluvuksi on valittu 3,0 W / (mK).&#10;&#10;Huomaa, että energian saannon valinta totetuu&#10;valitulla arvolla vain silloin, kun johtumisluku on to 3,0&#10;Muilla johtumisen arvoilla todellinen saanto muuttuu&#10;valitun johtumisluvun suhteessa pienemmäksi tai&#10;suuremmaksi, kuin valitsemasi arvo on.&#10;&#10;Nyt oli valittuna 1,80 W / (mK)!" promptTitle="JATKUVA KESKITEHO = kaivon kuormistusaste" showDropDown="false" showErrorMessage="true" showInputMessage="true" sqref="H200" type="list">
      <formula1>"1,50,1,55,1,60,1,65,1,70,1,75,1,80,1,85,1,90,1,95,2,00"</formula1>
      <formula2>0</formula2>
    </dataValidation>
  </dataValidations>
  <hyperlinks>
    <hyperlink ref="Q3" r:id="rId1" display="Lataa laskentaohjelma täältä!"/>
    <hyperlink ref="E12" r:id="rId2" display="Ohje"/>
    <hyperlink ref="F12" r:id="rId3" display=" Lataa tästä uusi versio! "/>
    <hyperlink ref="G90" r:id="rId4" display="Linkki"/>
  </hyperlinks>
  <printOptions headings="false" gridLines="false" gridLinesSet="true" horizontalCentered="false" verticalCentered="false"/>
  <pageMargins left="0.708333333333333" right="0.590277777777778" top="0.551388888888889" bottom="0.551388888888889" header="0.511805555555555" footer="0.511805555555555"/>
  <pageSetup paperSize="9" scale="7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tabColor rgb="00FFFFFF"/>
    <pageSetUpPr fitToPage="false"/>
  </sheetPr>
  <dimension ref="A1:BZ245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C22" activeCellId="0" sqref="C22"/>
    </sheetView>
  </sheetViews>
  <sheetFormatPr defaultRowHeight="14.15"/>
  <cols>
    <col collapsed="false" hidden="false" max="1" min="1" style="0" width="2.13265306122449"/>
    <col collapsed="false" hidden="false" max="3" min="2" style="1" width="18.3673469387755"/>
    <col collapsed="false" hidden="false" max="6" min="4" style="2" width="18.3673469387755"/>
    <col collapsed="false" hidden="false" max="7" min="7" style="1" width="18.3673469387755"/>
    <col collapsed="false" hidden="false" max="8" min="8" style="2" width="18.3775510204082"/>
    <col collapsed="false" hidden="false" max="12" min="9" style="2" width="16.3265306122449"/>
    <col collapsed="false" hidden="false" max="13" min="13" style="2" width="17.5204081632653"/>
    <col collapsed="false" hidden="false" max="14" min="14" style="2" width="18.3316326530612"/>
    <col collapsed="false" hidden="false" max="15" min="15" style="2" width="8.97448979591837"/>
    <col collapsed="false" hidden="false" max="16" min="16" style="2" width="34.4132653061224"/>
    <col collapsed="false" hidden="false" max="17" min="17" style="2" width="10.6836734693878"/>
    <col collapsed="false" hidden="false" max="18" min="18" style="2" width="13.6785714285714"/>
    <col collapsed="false" hidden="false" max="19" min="19" style="2" width="13.2448979591837"/>
    <col collapsed="false" hidden="false" max="20" min="20" style="2" width="10.2040816326531"/>
    <col collapsed="false" hidden="false" max="21" min="21" style="1" width="10.2040816326531"/>
    <col collapsed="false" hidden="true" max="22" min="22" style="2" width="0"/>
    <col collapsed="false" hidden="true" max="23" min="23" style="1" width="0"/>
    <col collapsed="false" hidden="true" max="24" min="24" style="2" width="0"/>
    <col collapsed="false" hidden="true" max="34" min="25" style="1" width="0"/>
    <col collapsed="false" hidden="false" max="257" min="35" style="1" width="11.5663265306122"/>
    <col collapsed="false" hidden="false" max="1025" min="258" style="0" width="11.5663265306122"/>
  </cols>
  <sheetData>
    <row r="1" customFormat="false" ht="10.5" hidden="false" customHeight="true" outlineLevel="0" collapsed="false">
      <c r="A1" s="502"/>
      <c r="B1" s="5"/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  <c r="X1" s="606"/>
      <c r="Y1" s="502"/>
      <c r="Z1" s="502"/>
      <c r="AA1" s="502"/>
      <c r="AB1" s="502"/>
      <c r="AC1" s="502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</row>
    <row r="2" customFormat="false" ht="28.35" hidden="false" customHeight="true" outlineLevel="0" collapsed="false">
      <c r="A2" s="502"/>
      <c r="B2" s="843" t="s">
        <v>442</v>
      </c>
      <c r="C2" s="843"/>
      <c r="D2" s="843"/>
      <c r="E2" s="843"/>
      <c r="F2" s="843"/>
      <c r="G2" s="843"/>
      <c r="H2" s="843"/>
      <c r="I2" s="843"/>
      <c r="J2" s="502"/>
      <c r="K2" s="502"/>
      <c r="L2" s="502"/>
      <c r="M2" s="502"/>
      <c r="N2" s="502"/>
      <c r="O2" s="502"/>
      <c r="P2" s="502"/>
      <c r="Q2" s="502"/>
      <c r="R2" s="502"/>
      <c r="S2" s="502"/>
      <c r="T2" s="502"/>
      <c r="U2" s="502"/>
      <c r="V2" s="502"/>
      <c r="W2" s="502"/>
      <c r="X2" s="606"/>
      <c r="Y2" s="502"/>
      <c r="Z2" s="502"/>
      <c r="AA2" s="502"/>
      <c r="AB2" s="502"/>
      <c r="AC2" s="502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</row>
    <row r="3" customFormat="false" ht="28.35" hidden="false" customHeight="true" outlineLevel="0" collapsed="false">
      <c r="A3" s="502"/>
      <c r="B3" s="843"/>
      <c r="C3" s="843"/>
      <c r="D3" s="843"/>
      <c r="E3" s="843"/>
      <c r="F3" s="843"/>
      <c r="G3" s="843"/>
      <c r="H3" s="843"/>
      <c r="I3" s="843"/>
      <c r="J3" s="502"/>
      <c r="K3" s="502"/>
      <c r="L3" s="502"/>
      <c r="M3" s="502"/>
      <c r="N3" s="502"/>
      <c r="O3" s="502"/>
      <c r="P3" s="502"/>
      <c r="Q3" s="502"/>
      <c r="R3" s="502"/>
      <c r="S3" s="502"/>
      <c r="T3" s="502"/>
      <c r="U3" s="502"/>
      <c r="V3" s="502"/>
      <c r="W3" s="502"/>
      <c r="X3" s="606"/>
      <c r="Y3" s="502"/>
      <c r="Z3" s="502"/>
      <c r="AA3" s="502"/>
      <c r="AB3" s="502"/>
      <c r="AC3" s="502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</row>
    <row r="4" customFormat="false" ht="28.35" hidden="false" customHeight="true" outlineLevel="0" collapsed="false">
      <c r="A4" s="502"/>
      <c r="B4" s="844" t="s">
        <v>443</v>
      </c>
      <c r="C4" s="844"/>
      <c r="D4" s="844"/>
      <c r="E4" s="844"/>
      <c r="F4" s="844"/>
      <c r="G4" s="844"/>
      <c r="H4" s="844"/>
      <c r="I4" s="844"/>
      <c r="J4" s="502"/>
      <c r="K4" s="502"/>
      <c r="L4" s="502"/>
      <c r="M4" s="502"/>
      <c r="N4" s="502"/>
      <c r="O4" s="502"/>
      <c r="P4" s="502"/>
      <c r="Q4" s="502"/>
      <c r="R4" s="502"/>
      <c r="S4" s="502"/>
      <c r="T4" s="502"/>
      <c r="U4" s="502"/>
      <c r="V4" s="502"/>
      <c r="W4" s="502"/>
      <c r="X4" s="606"/>
      <c r="Y4" s="502"/>
      <c r="Z4" s="502"/>
      <c r="AA4" s="502"/>
      <c r="AB4" s="502"/>
      <c r="AC4" s="502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</row>
    <row r="5" customFormat="false" ht="10.5" hidden="false" customHeight="true" outlineLevel="0" collapsed="false">
      <c r="A5" s="502"/>
      <c r="B5" s="5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606"/>
      <c r="Y5" s="502"/>
      <c r="Z5" s="502"/>
      <c r="AA5" s="502"/>
      <c r="AB5" s="502"/>
      <c r="AC5" s="502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</row>
    <row r="6" customFormat="false" ht="20.65" hidden="false" customHeight="true" outlineLevel="0" collapsed="false">
      <c r="A6" s="502"/>
      <c r="B6" s="845" t="s">
        <v>444</v>
      </c>
      <c r="C6" s="845"/>
      <c r="D6" s="845"/>
      <c r="E6" s="845"/>
      <c r="F6" s="63"/>
      <c r="G6" s="355" t="n">
        <f aca="false">BERGHEAT!$F$17</f>
        <v>40100</v>
      </c>
      <c r="H6" s="355" t="s">
        <v>445</v>
      </c>
      <c r="I6" s="355" t="str">
        <f aca="false">BERGHEAT!$G$17</f>
        <v>Jyväskylä</v>
      </c>
      <c r="J6" s="355"/>
      <c r="K6" s="355" t="s">
        <v>446</v>
      </c>
      <c r="L6" s="502"/>
      <c r="M6" s="502"/>
      <c r="N6" s="502"/>
      <c r="O6" s="502"/>
      <c r="P6" s="502"/>
      <c r="Q6" s="502"/>
      <c r="R6" s="502"/>
      <c r="S6" s="502"/>
      <c r="T6" s="502"/>
      <c r="U6" s="502"/>
      <c r="V6" s="502"/>
      <c r="W6" s="502"/>
      <c r="X6" s="606"/>
      <c r="Y6" s="502"/>
      <c r="Z6" s="5"/>
      <c r="AA6" s="502"/>
      <c r="AB6" s="502"/>
      <c r="AC6" s="502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</row>
    <row r="7" customFormat="false" ht="14.15" hidden="false" customHeight="true" outlineLevel="0" collapsed="false">
      <c r="A7" s="502"/>
      <c r="B7" s="846" t="str">
        <f aca="false">IF(B21&lt;1,"",B22)</f>
        <v>Kellarikerros</v>
      </c>
      <c r="C7" s="846"/>
      <c r="D7" s="847" t="n">
        <f aca="false">IF($B$21=0,0,L166)</f>
        <v>5792.67930210763</v>
      </c>
      <c r="E7" s="848" t="n">
        <f aca="false">B56</f>
        <v>2303.5935724</v>
      </c>
      <c r="F7" s="63"/>
      <c r="G7" s="849" t="n">
        <f aca="false">BERGHEAT!$F$56</f>
        <v>4832</v>
      </c>
      <c r="H7" s="849" t="s">
        <v>447</v>
      </c>
      <c r="I7" s="410" t="str">
        <f aca="false">BERGHEAT!$D$55</f>
        <v>Jyväskylä</v>
      </c>
      <c r="J7" s="410"/>
      <c r="K7" s="410" t="s">
        <v>187</v>
      </c>
      <c r="L7" s="502"/>
      <c r="M7" s="502"/>
      <c r="N7" s="502"/>
      <c r="O7" s="502"/>
      <c r="P7" s="502"/>
      <c r="Q7" s="502"/>
      <c r="R7" s="502"/>
      <c r="S7" s="502"/>
      <c r="T7" s="502"/>
      <c r="U7" s="502"/>
      <c r="V7" s="502"/>
      <c r="W7" s="606"/>
      <c r="X7" s="606"/>
      <c r="Y7" s="502"/>
      <c r="Z7" s="5"/>
      <c r="AA7" s="502"/>
      <c r="AB7" s="502"/>
      <c r="AC7" s="502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</row>
    <row r="8" customFormat="false" ht="14.15" hidden="false" customHeight="true" outlineLevel="0" collapsed="false">
      <c r="A8" s="502"/>
      <c r="B8" s="846" t="str">
        <f aca="false">IF(C21&lt;1,"",C22)</f>
        <v>Talo</v>
      </c>
      <c r="C8" s="846"/>
      <c r="D8" s="847" t="n">
        <f aca="false">IF($C$21=0,0,L183)</f>
        <v>12179.6100098297</v>
      </c>
      <c r="E8" s="848" t="n">
        <f aca="false">C56</f>
        <v>3780.54960168</v>
      </c>
      <c r="F8" s="63"/>
      <c r="G8" s="849" t="n">
        <f aca="false">BERGHEAT!$G$56</f>
        <v>785</v>
      </c>
      <c r="H8" s="849" t="s">
        <v>447</v>
      </c>
      <c r="I8" s="410" t="str">
        <f aca="false">BERGHEAT!$D$55</f>
        <v>Jyväskylä</v>
      </c>
      <c r="J8" s="410"/>
      <c r="K8" s="410" t="s">
        <v>150</v>
      </c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502"/>
      <c r="W8" s="606"/>
      <c r="X8" s="606"/>
      <c r="Y8" s="502"/>
      <c r="Z8" s="5"/>
      <c r="AA8" s="502"/>
      <c r="AB8" s="502"/>
      <c r="AC8" s="502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</row>
    <row r="9" customFormat="false" ht="14.15" hidden="false" customHeight="true" outlineLevel="0" collapsed="false">
      <c r="A9" s="502"/>
      <c r="B9" s="846" t="str">
        <f aca="false">IF(D21&lt;1,"",D22)</f>
        <v>Talon yläkerta</v>
      </c>
      <c r="C9" s="846"/>
      <c r="D9" s="847" t="n">
        <f aca="false">IF($D$21=0,0,L200)</f>
        <v>7360.64591961292</v>
      </c>
      <c r="E9" s="848" t="n">
        <f aca="false">D56</f>
        <v>2284.743680384</v>
      </c>
      <c r="F9" s="63"/>
      <c r="G9" s="850" t="n">
        <f aca="false">BERGHEAT!$F$57</f>
        <v>4784.15841584159</v>
      </c>
      <c r="H9" s="850" t="s">
        <v>447</v>
      </c>
      <c r="I9" s="13" t="str">
        <f aca="false">BERGHEAT!$C$57</f>
        <v>Jyväskylä</v>
      </c>
      <c r="J9" s="13"/>
      <c r="K9" s="13" t="s">
        <v>187</v>
      </c>
      <c r="L9" s="502"/>
      <c r="M9" s="502"/>
      <c r="N9" s="502"/>
      <c r="O9" s="502"/>
      <c r="P9" s="502"/>
      <c r="Q9" s="502"/>
      <c r="R9" s="502"/>
      <c r="S9" s="502"/>
      <c r="T9" s="502"/>
      <c r="U9" s="502"/>
      <c r="V9" s="502"/>
      <c r="W9" s="606"/>
      <c r="X9" s="606"/>
      <c r="Y9" s="502"/>
      <c r="Z9" s="5"/>
      <c r="AA9" s="502"/>
      <c r="AB9" s="502"/>
      <c r="AC9" s="502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</row>
    <row r="10" customFormat="false" ht="14.15" hidden="false" customHeight="true" outlineLevel="0" collapsed="false">
      <c r="A10" s="502"/>
      <c r="B10" s="846" t="str">
        <f aca="false">IF(E21&lt;1,"",E22)</f>
        <v/>
      </c>
      <c r="C10" s="846"/>
      <c r="D10" s="847" t="n">
        <f aca="false">IF($E$21&lt;1,0,L217)</f>
        <v>0</v>
      </c>
      <c r="E10" s="848" t="n">
        <f aca="false">E56</f>
        <v>0</v>
      </c>
      <c r="F10" s="63"/>
      <c r="G10" s="850" t="n">
        <f aca="false">BERGHEAT!$G$57</f>
        <v>777.227722772277</v>
      </c>
      <c r="H10" s="850" t="s">
        <v>447</v>
      </c>
      <c r="I10" s="13" t="str">
        <f aca="false">BERGHEAT!$C$57</f>
        <v>Jyväskylä</v>
      </c>
      <c r="J10" s="13"/>
      <c r="K10" s="13" t="s">
        <v>150</v>
      </c>
      <c r="L10" s="502"/>
      <c r="M10" s="502"/>
      <c r="N10" s="502"/>
      <c r="O10" s="502"/>
      <c r="P10" s="502"/>
      <c r="Q10" s="502"/>
      <c r="R10" s="502"/>
      <c r="S10" s="502"/>
      <c r="T10" s="502"/>
      <c r="U10" s="502"/>
      <c r="V10" s="502"/>
      <c r="W10" s="606"/>
      <c r="X10" s="606"/>
      <c r="Y10" s="502"/>
      <c r="Z10" s="5"/>
      <c r="AA10" s="502"/>
      <c r="AB10" s="502"/>
      <c r="AC10" s="502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</row>
    <row r="11" customFormat="false" ht="14.15" hidden="false" customHeight="true" outlineLevel="0" collapsed="false">
      <c r="A11" s="502"/>
      <c r="B11" s="846" t="str">
        <f aca="false">IF(B60&lt;1,"",F59)</f>
        <v/>
      </c>
      <c r="C11" s="846"/>
      <c r="D11" s="847" t="n">
        <f aca="false">IF(B60&lt;1,0,E60)</f>
        <v>0</v>
      </c>
      <c r="E11" s="851" t="n">
        <f aca="false">1000*H60</f>
        <v>0</v>
      </c>
      <c r="F11" s="63"/>
      <c r="G11" s="852" t="n">
        <f aca="false">BERGHEAT!AR65</f>
        <v>-1</v>
      </c>
      <c r="H11" s="853" t="s">
        <v>448</v>
      </c>
      <c r="I11" s="854" t="s">
        <v>449</v>
      </c>
      <c r="J11" s="854"/>
      <c r="K11" s="855" t="n">
        <f aca="false">12000/G9</f>
        <v>2.50827814569536</v>
      </c>
      <c r="L11" s="5"/>
      <c r="M11" s="502"/>
      <c r="N11" s="502"/>
      <c r="O11" s="502"/>
      <c r="P11" s="502"/>
      <c r="Q11" s="502"/>
      <c r="R11" s="502"/>
      <c r="S11" s="502"/>
      <c r="T11" s="502"/>
      <c r="U11" s="502"/>
      <c r="V11" s="502"/>
      <c r="W11" s="606"/>
      <c r="X11" s="606"/>
      <c r="Y11" s="502"/>
      <c r="Z11" s="5"/>
      <c r="AA11" s="502"/>
      <c r="AB11" s="502"/>
      <c r="AC11" s="502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</row>
    <row r="12" customFormat="false" ht="17" hidden="false" customHeight="true" outlineLevel="0" collapsed="false">
      <c r="A12" s="502"/>
      <c r="B12" s="845" t="s">
        <v>450</v>
      </c>
      <c r="C12" s="845"/>
      <c r="D12" s="856" t="n">
        <f aca="false">SUM(D7:D11)</f>
        <v>25332.9352315503</v>
      </c>
      <c r="E12" s="857" t="n">
        <f aca="false">SUM(E7:E11)/1000</f>
        <v>8.368886854464</v>
      </c>
      <c r="F12" s="858"/>
      <c r="G12" s="859" t="n">
        <f aca="false">BERGHEAT!Z64</f>
        <v>-32</v>
      </c>
      <c r="H12" s="852"/>
      <c r="I12" s="410" t="s">
        <v>451</v>
      </c>
      <c r="J12" s="410"/>
      <c r="K12" s="410"/>
      <c r="L12" s="502"/>
      <c r="M12" s="502"/>
      <c r="N12" s="502"/>
      <c r="O12" s="502"/>
      <c r="P12" s="502"/>
      <c r="Q12" s="502"/>
      <c r="R12" s="502"/>
      <c r="S12" s="502"/>
      <c r="T12" s="502"/>
      <c r="U12" s="502"/>
      <c r="V12" s="502"/>
      <c r="W12" s="860"/>
      <c r="X12" s="606"/>
      <c r="Y12" s="502"/>
      <c r="Z12" s="5"/>
      <c r="AA12" s="502"/>
      <c r="AB12" s="502"/>
      <c r="AC12" s="502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</row>
    <row r="13" customFormat="false" ht="17" hidden="false" customHeight="true" outlineLevel="0" collapsed="false">
      <c r="A13" s="502"/>
      <c r="B13" s="366" t="s">
        <v>452</v>
      </c>
      <c r="C13" s="366"/>
      <c r="D13" s="861" t="n">
        <f aca="false">L88+L102+L116+L130</f>
        <v>18310.0771738204</v>
      </c>
      <c r="E13" s="862" t="n">
        <f aca="false">H53/1000</f>
        <v>6.058289472</v>
      </c>
      <c r="F13" s="63"/>
      <c r="G13" s="863"/>
      <c r="H13" s="63"/>
      <c r="I13" s="63"/>
      <c r="J13" s="63"/>
      <c r="K13" s="63"/>
      <c r="L13" s="502"/>
      <c r="M13" s="502"/>
      <c r="N13" s="502"/>
      <c r="O13" s="502"/>
      <c r="P13" s="502"/>
      <c r="Q13" s="502"/>
      <c r="R13" s="502"/>
      <c r="S13" s="502"/>
      <c r="T13" s="502"/>
      <c r="U13" s="502"/>
      <c r="V13" s="502"/>
      <c r="W13" s="860"/>
      <c r="X13" s="606"/>
      <c r="Y13" s="502"/>
      <c r="Z13" s="5"/>
      <c r="AA13" s="502"/>
      <c r="AB13" s="502"/>
      <c r="AC13" s="502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</row>
    <row r="14" customFormat="false" ht="14.15" hidden="false" customHeight="true" outlineLevel="0" collapsed="false">
      <c r="A14" s="502"/>
      <c r="B14" s="366" t="s">
        <v>23</v>
      </c>
      <c r="C14" s="366"/>
      <c r="D14" s="861" t="n">
        <f aca="false">H34</f>
        <v>5963.8054907624</v>
      </c>
      <c r="E14" s="862" t="n">
        <f aca="false">H54/1000</f>
        <v>1.96481936304</v>
      </c>
      <c r="F14" s="502"/>
      <c r="G14" s="63"/>
      <c r="H14" s="63"/>
      <c r="I14" s="63"/>
      <c r="J14" s="63"/>
      <c r="K14" s="63"/>
      <c r="L14" s="502"/>
      <c r="M14" s="502"/>
      <c r="N14" s="502"/>
      <c r="O14" s="502"/>
      <c r="P14" s="502"/>
      <c r="Q14" s="502"/>
      <c r="R14" s="502"/>
      <c r="S14" s="502"/>
      <c r="T14" s="502"/>
      <c r="U14" s="502"/>
      <c r="V14" s="502"/>
      <c r="W14" s="860"/>
      <c r="X14" s="606"/>
      <c r="Y14" s="502"/>
      <c r="Z14" s="5"/>
      <c r="AA14" s="502"/>
      <c r="AB14" s="502"/>
      <c r="AC14" s="502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</row>
    <row r="15" customFormat="false" ht="14.15" hidden="false" customHeight="true" outlineLevel="0" collapsed="false">
      <c r="A15" s="502"/>
      <c r="B15" s="366" t="s">
        <v>27</v>
      </c>
      <c r="C15" s="366"/>
      <c r="D15" s="861" t="n">
        <f aca="false">H40</f>
        <v>1059.05256696748</v>
      </c>
      <c r="E15" s="862" t="n">
        <f aca="false">H55/1000</f>
        <v>0.345778019424</v>
      </c>
      <c r="F15" s="502"/>
      <c r="G15" s="502"/>
      <c r="H15" s="502"/>
      <c r="I15" s="502"/>
      <c r="J15" s="502"/>
      <c r="K15" s="502"/>
      <c r="L15" s="502"/>
      <c r="M15" s="502"/>
      <c r="N15" s="502"/>
      <c r="O15" s="502"/>
      <c r="P15" s="502"/>
      <c r="Q15" s="502"/>
      <c r="R15" s="502"/>
      <c r="S15" s="502"/>
      <c r="T15" s="502"/>
      <c r="U15" s="502"/>
      <c r="V15" s="502"/>
      <c r="W15" s="860"/>
      <c r="X15" s="606"/>
      <c r="Y15" s="502"/>
      <c r="Z15" s="5"/>
      <c r="AA15" s="502"/>
      <c r="AB15" s="502"/>
      <c r="AC15" s="502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</row>
    <row r="16" customFormat="false" ht="14.15" hidden="false" customHeight="true" outlineLevel="0" collapsed="false">
      <c r="A16" s="502"/>
      <c r="B16" s="366" t="s">
        <v>453</v>
      </c>
      <c r="C16" s="366"/>
      <c r="D16" s="861" t="n">
        <f aca="false">E60</f>
        <v>0</v>
      </c>
      <c r="E16" s="862" t="n">
        <f aca="false">H60</f>
        <v>0</v>
      </c>
      <c r="F16" s="502"/>
      <c r="G16" s="502"/>
      <c r="H16" s="502"/>
      <c r="I16" s="502"/>
      <c r="J16" s="502"/>
      <c r="K16" s="502"/>
      <c r="L16" s="502"/>
      <c r="M16" s="502"/>
      <c r="N16" s="502"/>
      <c r="O16" s="502"/>
      <c r="P16" s="502"/>
      <c r="Q16" s="502"/>
      <c r="R16" s="502"/>
      <c r="S16" s="502"/>
      <c r="T16" s="502"/>
      <c r="U16" s="502"/>
      <c r="V16" s="502"/>
      <c r="W16" s="860"/>
      <c r="X16" s="606"/>
      <c r="Y16" s="502"/>
      <c r="Z16" s="5"/>
      <c r="AA16" s="502"/>
      <c r="AB16" s="502"/>
      <c r="AC16" s="502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</row>
    <row r="17" customFormat="false" ht="14.15" hidden="false" customHeight="true" outlineLevel="0" collapsed="false">
      <c r="A17" s="502"/>
      <c r="B17" s="5"/>
      <c r="C17" s="502"/>
      <c r="D17" s="864"/>
      <c r="E17" s="865"/>
      <c r="F17" s="502"/>
      <c r="G17" s="502"/>
      <c r="H17" s="502"/>
      <c r="I17" s="502"/>
      <c r="J17" s="502"/>
      <c r="K17" s="502"/>
      <c r="L17" s="502"/>
      <c r="M17" s="502"/>
      <c r="N17" s="502"/>
      <c r="O17" s="502"/>
      <c r="P17" s="502"/>
      <c r="Q17" s="502"/>
      <c r="R17" s="502"/>
      <c r="S17" s="502"/>
      <c r="T17" s="502"/>
      <c r="U17" s="502"/>
      <c r="V17" s="502"/>
      <c r="W17" s="860"/>
      <c r="X17" s="606"/>
      <c r="Y17" s="502"/>
      <c r="Z17" s="5"/>
      <c r="AA17" s="502"/>
      <c r="AB17" s="502"/>
      <c r="AC17" s="502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</row>
    <row r="18" customFormat="false" ht="14.15" hidden="false" customHeight="true" outlineLevel="0" collapsed="false">
      <c r="A18" s="5"/>
      <c r="B18" s="866" t="s">
        <v>454</v>
      </c>
      <c r="C18" s="866"/>
      <c r="D18" s="866"/>
      <c r="E18" s="866"/>
      <c r="F18" s="866"/>
      <c r="G18" s="866"/>
      <c r="H18" s="502"/>
      <c r="I18" s="502"/>
      <c r="J18" s="502"/>
      <c r="K18" s="502"/>
      <c r="L18" s="502"/>
      <c r="M18" s="502"/>
      <c r="N18" s="502"/>
      <c r="O18" s="502"/>
      <c r="P18" s="502"/>
      <c r="Q18" s="502"/>
      <c r="R18" s="502"/>
      <c r="S18" s="502"/>
      <c r="T18" s="502"/>
      <c r="U18" s="502"/>
      <c r="V18" s="502"/>
      <c r="W18" s="860"/>
      <c r="X18" s="606"/>
      <c r="Y18" s="502"/>
      <c r="Z18" s="5"/>
      <c r="AA18" s="502"/>
      <c r="AB18" s="502"/>
      <c r="AC18" s="502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</row>
    <row r="19" customFormat="false" ht="14.15" hidden="false" customHeight="true" outlineLevel="0" collapsed="false">
      <c r="A19" s="5"/>
      <c r="B19" s="866"/>
      <c r="C19" s="866"/>
      <c r="D19" s="866"/>
      <c r="E19" s="866"/>
      <c r="F19" s="866"/>
      <c r="G19" s="866"/>
      <c r="H19" s="502"/>
      <c r="I19" s="502"/>
      <c r="J19" s="502"/>
      <c r="K19" s="502"/>
      <c r="L19" s="502"/>
      <c r="M19" s="502"/>
      <c r="N19" s="502"/>
      <c r="O19" s="502"/>
      <c r="P19" s="502"/>
      <c r="Q19" s="502"/>
      <c r="R19" s="502"/>
      <c r="S19" s="502"/>
      <c r="T19" s="502"/>
      <c r="U19" s="502"/>
      <c r="V19" s="502"/>
      <c r="W19" s="860"/>
      <c r="X19" s="606"/>
      <c r="Y19" s="502"/>
      <c r="Z19" s="5"/>
      <c r="AA19" s="502"/>
      <c r="AB19" s="502"/>
      <c r="AC19" s="502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</row>
    <row r="20" customFormat="false" ht="14.15" hidden="false" customHeight="true" outlineLevel="0" collapsed="false">
      <c r="A20" s="5"/>
      <c r="B20" s="355" t="s">
        <v>455</v>
      </c>
      <c r="C20" s="355" t="s">
        <v>456</v>
      </c>
      <c r="D20" s="355" t="s">
        <v>457</v>
      </c>
      <c r="E20" s="355" t="s">
        <v>458</v>
      </c>
      <c r="F20" s="248" t="s">
        <v>459</v>
      </c>
      <c r="G20" s="248"/>
      <c r="H20" s="502"/>
      <c r="I20" s="502"/>
      <c r="J20" s="502"/>
      <c r="K20" s="502"/>
      <c r="L20" s="502"/>
      <c r="M20" s="502"/>
      <c r="N20" s="502"/>
      <c r="O20" s="502"/>
      <c r="P20" s="502"/>
      <c r="Q20" s="502"/>
      <c r="R20" s="502"/>
      <c r="S20" s="502"/>
      <c r="T20" s="502"/>
      <c r="U20" s="502"/>
      <c r="V20" s="502"/>
      <c r="W20" s="860"/>
      <c r="X20" s="606"/>
      <c r="Y20" s="502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</row>
    <row r="21" customFormat="false" ht="14.15" hidden="false" customHeight="true" outlineLevel="0" collapsed="false">
      <c r="A21" s="5"/>
      <c r="B21" s="867" t="n">
        <v>1</v>
      </c>
      <c r="C21" s="867" t="n">
        <v>1</v>
      </c>
      <c r="D21" s="867" t="n">
        <v>1</v>
      </c>
      <c r="E21" s="867" t="n">
        <v>0</v>
      </c>
      <c r="F21" s="868" t="s">
        <v>460</v>
      </c>
      <c r="G21" s="868"/>
      <c r="H21" s="502"/>
      <c r="I21" s="502"/>
      <c r="J21" s="502"/>
      <c r="K21" s="502"/>
      <c r="L21" s="502"/>
      <c r="M21" s="502"/>
      <c r="N21" s="502"/>
      <c r="O21" s="502"/>
      <c r="P21" s="502"/>
      <c r="Q21" s="502"/>
      <c r="R21" s="502"/>
      <c r="S21" s="502"/>
      <c r="T21" s="502"/>
      <c r="U21" s="502"/>
      <c r="V21" s="502"/>
      <c r="W21" s="860"/>
      <c r="X21" s="606"/>
      <c r="Y21" s="502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</row>
    <row r="22" customFormat="false" ht="14.15" hidden="false" customHeight="true" outlineLevel="0" collapsed="false">
      <c r="A22" s="5"/>
      <c r="B22" s="867" t="s">
        <v>461</v>
      </c>
      <c r="C22" s="867" t="s">
        <v>462</v>
      </c>
      <c r="D22" s="867" t="s">
        <v>463</v>
      </c>
      <c r="E22" s="867" t="s">
        <v>464</v>
      </c>
      <c r="F22" s="868" t="s">
        <v>465</v>
      </c>
      <c r="G22" s="868"/>
      <c r="H22" s="502"/>
      <c r="I22" s="502"/>
      <c r="J22" s="502"/>
      <c r="K22" s="502"/>
      <c r="L22" s="502"/>
      <c r="M22" s="502"/>
      <c r="N22" s="502"/>
      <c r="O22" s="502"/>
      <c r="P22" s="502"/>
      <c r="Q22" s="502"/>
      <c r="R22" s="502"/>
      <c r="S22" s="502"/>
      <c r="T22" s="502"/>
      <c r="U22" s="502"/>
      <c r="V22" s="502"/>
      <c r="W22" s="860"/>
      <c r="X22" s="606"/>
      <c r="Y22" s="502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</row>
    <row r="23" customFormat="false" ht="14.15" hidden="false" customHeight="true" outlineLevel="0" collapsed="false">
      <c r="A23" s="5"/>
      <c r="B23" s="867" t="n">
        <v>1975</v>
      </c>
      <c r="C23" s="867" t="n">
        <v>1975</v>
      </c>
      <c r="D23" s="867" t="n">
        <v>1975</v>
      </c>
      <c r="E23" s="867" t="n">
        <v>1992</v>
      </c>
      <c r="F23" s="868" t="s">
        <v>466</v>
      </c>
      <c r="G23" s="868"/>
      <c r="H23" s="502"/>
      <c r="I23" s="502"/>
      <c r="J23" s="502"/>
      <c r="K23" s="502"/>
      <c r="L23" s="502"/>
      <c r="M23" s="502"/>
      <c r="N23" s="502"/>
      <c r="O23" s="502"/>
      <c r="P23" s="502"/>
      <c r="Q23" s="502"/>
      <c r="R23" s="502"/>
      <c r="S23" s="502"/>
      <c r="T23" s="502"/>
      <c r="U23" s="502"/>
      <c r="V23" s="502"/>
      <c r="W23" s="860"/>
      <c r="X23" s="606"/>
      <c r="Y23" s="502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</row>
    <row r="24" customFormat="false" ht="14.15" hidden="false" customHeight="true" outlineLevel="0" collapsed="false">
      <c r="A24" s="5"/>
      <c r="B24" s="869" t="n">
        <v>9</v>
      </c>
      <c r="C24" s="869" t="n">
        <v>9</v>
      </c>
      <c r="D24" s="869" t="n">
        <v>9</v>
      </c>
      <c r="E24" s="869" t="n">
        <v>7</v>
      </c>
      <c r="F24" s="870" t="s">
        <v>467</v>
      </c>
      <c r="G24" s="870"/>
      <c r="H24" s="502"/>
      <c r="I24" s="502"/>
      <c r="J24" s="502"/>
      <c r="K24" s="502"/>
      <c r="L24" s="502"/>
      <c r="M24" s="502"/>
      <c r="N24" s="502"/>
      <c r="O24" s="502"/>
      <c r="P24" s="502"/>
      <c r="Q24" s="502"/>
      <c r="R24" s="502"/>
      <c r="S24" s="502"/>
      <c r="T24" s="502"/>
      <c r="U24" s="502"/>
      <c r="V24" s="502"/>
      <c r="W24" s="860"/>
      <c r="X24" s="606"/>
      <c r="Y24" s="502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</row>
    <row r="25" customFormat="false" ht="14.15" hidden="false" customHeight="true" outlineLevel="0" collapsed="false">
      <c r="A25" s="5"/>
      <c r="B25" s="869" t="n">
        <v>8</v>
      </c>
      <c r="C25" s="869" t="n">
        <v>8</v>
      </c>
      <c r="D25" s="869" t="n">
        <v>4.5</v>
      </c>
      <c r="E25" s="869" t="n">
        <v>5.12</v>
      </c>
      <c r="F25" s="870" t="s">
        <v>468</v>
      </c>
      <c r="G25" s="870"/>
      <c r="H25" s="502"/>
      <c r="I25" s="502"/>
      <c r="J25" s="502"/>
      <c r="K25" s="502"/>
      <c r="L25" s="502"/>
      <c r="M25" s="502"/>
      <c r="N25" s="502"/>
      <c r="O25" s="502"/>
      <c r="P25" s="502"/>
      <c r="Q25" s="502"/>
      <c r="R25" s="502"/>
      <c r="S25" s="502"/>
      <c r="T25" s="502"/>
      <c r="U25" s="502"/>
      <c r="V25" s="502"/>
      <c r="W25" s="860"/>
      <c r="X25" s="606"/>
      <c r="Y25" s="502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</row>
    <row r="26" customFormat="false" ht="14.15" hidden="false" customHeight="true" outlineLevel="0" collapsed="false">
      <c r="A26" s="502"/>
      <c r="B26" s="869" t="n">
        <v>2.2</v>
      </c>
      <c r="C26" s="869" t="n">
        <v>2.6</v>
      </c>
      <c r="D26" s="869" t="n">
        <v>2.2</v>
      </c>
      <c r="E26" s="869" t="n">
        <v>2.4</v>
      </c>
      <c r="F26" s="870" t="s">
        <v>469</v>
      </c>
      <c r="G26" s="870"/>
      <c r="H26" s="502"/>
      <c r="I26" s="502"/>
      <c r="J26" s="502"/>
      <c r="K26" s="502"/>
      <c r="L26" s="502"/>
      <c r="M26" s="502"/>
      <c r="N26" s="502"/>
      <c r="O26" s="502"/>
      <c r="P26" s="502"/>
      <c r="Q26" s="502"/>
      <c r="R26" s="502"/>
      <c r="S26" s="502"/>
      <c r="T26" s="502"/>
      <c r="U26" s="502"/>
      <c r="V26" s="502"/>
      <c r="W26" s="860"/>
      <c r="X26" s="502"/>
      <c r="Y26" s="502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</row>
    <row r="27" customFormat="false" ht="14.15" hidden="false" customHeight="true" outlineLevel="0" collapsed="false">
      <c r="A27" s="502"/>
      <c r="B27" s="869" t="n">
        <v>0.33</v>
      </c>
      <c r="C27" s="869" t="n">
        <v>0.21</v>
      </c>
      <c r="D27" s="869" t="n">
        <v>0.21</v>
      </c>
      <c r="E27" s="869" t="n">
        <v>0.21</v>
      </c>
      <c r="F27" s="870" t="s">
        <v>470</v>
      </c>
      <c r="G27" s="870"/>
      <c r="H27" s="63"/>
      <c r="I27" s="63"/>
      <c r="J27" s="63"/>
      <c r="K27" s="502"/>
      <c r="L27" s="502"/>
      <c r="M27" s="502"/>
      <c r="N27" s="502"/>
      <c r="O27" s="502"/>
      <c r="P27" s="502"/>
      <c r="Q27" s="502"/>
      <c r="R27" s="502"/>
      <c r="S27" s="502"/>
      <c r="T27" s="502"/>
      <c r="U27" s="502"/>
      <c r="V27" s="502"/>
      <c r="W27" s="860"/>
      <c r="X27" s="502"/>
      <c r="Y27" s="502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</row>
    <row r="28" customFormat="false" ht="14.15" hidden="false" customHeight="true" outlineLevel="0" collapsed="false">
      <c r="A28" s="502"/>
      <c r="B28" s="871" t="n">
        <f aca="false">IF(B27&gt;$H$28,(B27-$H$28),0)</f>
        <v>0.08</v>
      </c>
      <c r="C28" s="871" t="n">
        <f aca="false">IF(C27&gt;$H$28,(C27-$H$28),0)</f>
        <v>0</v>
      </c>
      <c r="D28" s="871" t="n">
        <f aca="false">IF(D27&gt;$H$28,(D27-$H$28),0)</f>
        <v>0</v>
      </c>
      <c r="E28" s="871" t="n">
        <f aca="false">IF(E27&gt;$H$28,(E27-$H$28),0)</f>
        <v>0</v>
      </c>
      <c r="F28" s="872" t="s">
        <v>471</v>
      </c>
      <c r="G28" s="872"/>
      <c r="H28" s="873" t="n">
        <v>0.25</v>
      </c>
      <c r="I28" s="846" t="s">
        <v>472</v>
      </c>
      <c r="J28" s="846"/>
      <c r="K28" s="846"/>
      <c r="L28" s="502"/>
      <c r="M28" s="502"/>
      <c r="N28" s="502"/>
      <c r="O28" s="502"/>
      <c r="P28" s="502"/>
      <c r="Q28" s="502"/>
      <c r="R28" s="502"/>
      <c r="S28" s="502"/>
      <c r="T28" s="502"/>
      <c r="U28" s="502"/>
      <c r="V28" s="502"/>
      <c r="W28" s="860"/>
      <c r="X28" s="502"/>
      <c r="Y28" s="502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</row>
    <row r="29" customFormat="false" ht="14.15" hidden="false" customHeight="true" outlineLevel="0" collapsed="false">
      <c r="A29" s="502"/>
      <c r="B29" s="869" t="n">
        <v>0.3</v>
      </c>
      <c r="C29" s="869" t="n">
        <v>0.3</v>
      </c>
      <c r="D29" s="869" t="n">
        <v>0</v>
      </c>
      <c r="E29" s="869" t="n">
        <v>0.3</v>
      </c>
      <c r="F29" s="870" t="s">
        <v>473</v>
      </c>
      <c r="G29" s="870"/>
      <c r="H29" s="502"/>
      <c r="I29" s="502"/>
      <c r="J29" s="502"/>
      <c r="K29" s="502"/>
      <c r="L29" s="502"/>
      <c r="M29" s="502"/>
      <c r="N29" s="502"/>
      <c r="O29" s="502"/>
      <c r="P29" s="502"/>
      <c r="Q29" s="502"/>
      <c r="R29" s="502"/>
      <c r="S29" s="502"/>
      <c r="T29" s="502"/>
      <c r="U29" s="502"/>
      <c r="V29" s="502"/>
      <c r="W29" s="502"/>
      <c r="X29" s="502"/>
      <c r="Y29" s="502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</row>
    <row r="30" customFormat="false" ht="14.15" hidden="false" customHeight="true" outlineLevel="0" collapsed="false">
      <c r="A30" s="5"/>
      <c r="B30" s="874" t="n">
        <v>15</v>
      </c>
      <c r="C30" s="874" t="n">
        <v>21</v>
      </c>
      <c r="D30" s="874" t="n">
        <v>21</v>
      </c>
      <c r="E30" s="874" t="n">
        <v>16</v>
      </c>
      <c r="F30" s="875" t="s">
        <v>474</v>
      </c>
      <c r="G30" s="875"/>
      <c r="H30" s="876" t="n">
        <f aca="false">(B30*L88+C30*L102+D30*L116+E30*L130)/(L88+L102+L116+L130+0.0001)</f>
        <v>19.5925613677331</v>
      </c>
      <c r="I30" s="502"/>
      <c r="J30" s="502"/>
      <c r="K30" s="502"/>
      <c r="L30" s="502"/>
      <c r="M30" s="502"/>
      <c r="N30" s="502"/>
      <c r="O30" s="502"/>
      <c r="P30" s="502"/>
      <c r="Q30" s="502"/>
      <c r="R30" s="502"/>
      <c r="S30" s="502"/>
      <c r="T30" s="502"/>
      <c r="U30" s="502"/>
      <c r="V30" s="502"/>
      <c r="W30" s="502"/>
      <c r="X30" s="502"/>
      <c r="Y30" s="502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</row>
    <row r="31" customFormat="false" ht="14.15" hidden="false" customHeight="true" outlineLevel="0" collapsed="false">
      <c r="A31" s="5"/>
      <c r="B31" s="877" t="n">
        <v>0.2</v>
      </c>
      <c r="C31" s="877" t="n">
        <v>0.3</v>
      </c>
      <c r="D31" s="877" t="n">
        <v>0.25</v>
      </c>
      <c r="E31" s="877" t="n">
        <v>0.2</v>
      </c>
      <c r="F31" s="878" t="s">
        <v>475</v>
      </c>
      <c r="G31" s="878"/>
      <c r="H31" s="879" t="n">
        <f aca="false">1000*(B31*B46+C31*C46+D31*D46+E31*E46)/60/60</f>
        <v>29.5675022222222</v>
      </c>
      <c r="I31" s="502"/>
      <c r="J31" s="502"/>
      <c r="K31" s="502"/>
      <c r="L31" s="502"/>
      <c r="M31" s="502"/>
      <c r="N31" s="502"/>
      <c r="O31" s="502"/>
      <c r="P31" s="502"/>
      <c r="Q31" s="502"/>
      <c r="R31" s="502"/>
      <c r="S31" s="502"/>
      <c r="T31" s="502"/>
      <c r="U31" s="502"/>
      <c r="V31" s="502"/>
      <c r="W31" s="502"/>
      <c r="X31" s="502"/>
      <c r="Y31" s="502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</row>
    <row r="32" customFormat="false" ht="14.15" hidden="false" customHeight="true" outlineLevel="0" collapsed="false">
      <c r="A32" s="5"/>
      <c r="B32" s="880" t="n">
        <v>0</v>
      </c>
      <c r="C32" s="880" t="n">
        <v>0</v>
      </c>
      <c r="D32" s="880" t="n">
        <v>0</v>
      </c>
      <c r="E32" s="880" t="n">
        <v>0</v>
      </c>
      <c r="F32" s="881" t="s">
        <v>476</v>
      </c>
      <c r="G32" s="881"/>
      <c r="H32" s="882"/>
      <c r="I32" s="502"/>
      <c r="J32" s="502"/>
      <c r="K32" s="502"/>
      <c r="L32" s="502"/>
      <c r="M32" s="502"/>
      <c r="N32" s="502"/>
      <c r="O32" s="502"/>
      <c r="P32" s="502"/>
      <c r="Q32" s="502"/>
      <c r="R32" s="502"/>
      <c r="S32" s="502"/>
      <c r="T32" s="502"/>
      <c r="U32" s="502"/>
      <c r="V32" s="502"/>
      <c r="W32" s="502"/>
      <c r="X32" s="502"/>
      <c r="Y32" s="502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</row>
    <row r="33" customFormat="false" ht="14.15" hidden="false" customHeight="true" outlineLevel="0" collapsed="false">
      <c r="A33" s="5"/>
      <c r="B33" s="883" t="n">
        <f aca="false">1000*(B31*B46)/60/60</f>
        <v>8.50216666666667</v>
      </c>
      <c r="C33" s="883" t="n">
        <f aca="false">1000*(C31*C46)/60/60</f>
        <v>15.71713</v>
      </c>
      <c r="D33" s="883" t="n">
        <f aca="false">1000*(D31*D46)/60/60</f>
        <v>5.3482</v>
      </c>
      <c r="E33" s="883" t="n">
        <f aca="false">1000*(E31*E46)/60/60</f>
        <v>5.55555555555556E-006</v>
      </c>
      <c r="F33" s="878" t="s">
        <v>477</v>
      </c>
      <c r="G33" s="878"/>
      <c r="H33" s="883" t="n">
        <f aca="false">SUM(B33:E33)</f>
        <v>29.5675022222222</v>
      </c>
      <c r="I33" s="502"/>
      <c r="J33" s="502"/>
      <c r="K33" s="502"/>
      <c r="L33" s="502"/>
      <c r="M33" s="502"/>
      <c r="N33" s="502"/>
      <c r="O33" s="502"/>
      <c r="P33" s="502"/>
      <c r="Q33" s="502"/>
      <c r="R33" s="502"/>
      <c r="S33" s="502"/>
      <c r="T33" s="502"/>
      <c r="U33" s="502"/>
      <c r="V33" s="502"/>
      <c r="W33" s="502"/>
      <c r="X33" s="502"/>
      <c r="Y33" s="502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</row>
    <row r="34" customFormat="false" ht="14.15" hidden="false" customHeight="true" outlineLevel="0" collapsed="false">
      <c r="A34" s="5"/>
      <c r="B34" s="884" t="n">
        <f aca="false">8760*B31*B46*0.36*B41/1000*(1-B32)</f>
        <v>1302.2851880694</v>
      </c>
      <c r="C34" s="884" t="n">
        <f aca="false">8760*C31*C46*0.36*C41/1000*(1-C32)</f>
        <v>3478.02387121707</v>
      </c>
      <c r="D34" s="884" t="n">
        <f aca="false">8760*D31*D46*0.36*D41/1000*(1-D32)</f>
        <v>1183.49643147592</v>
      </c>
      <c r="E34" s="884" t="n">
        <f aca="false">8760*E31*E46*0.36*E41/1000*(1-E32)</f>
        <v>0</v>
      </c>
      <c r="F34" s="881" t="s">
        <v>478</v>
      </c>
      <c r="G34" s="881"/>
      <c r="H34" s="885" t="n">
        <f aca="false">SUM(B34:E34)</f>
        <v>5963.8054907624</v>
      </c>
      <c r="I34" s="63"/>
      <c r="J34" s="502"/>
      <c r="K34" s="502"/>
      <c r="L34" s="502"/>
      <c r="M34" s="502"/>
      <c r="N34" s="502"/>
      <c r="O34" s="502"/>
      <c r="P34" s="502"/>
      <c r="Q34" s="502"/>
      <c r="R34" s="502"/>
      <c r="S34" s="502"/>
      <c r="T34" s="502"/>
      <c r="U34" s="502"/>
      <c r="V34" s="502"/>
      <c r="W34" s="502"/>
      <c r="X34" s="502"/>
      <c r="Y34" s="502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</row>
    <row r="35" customFormat="false" ht="14.15" hidden="false" customHeight="true" outlineLevel="0" collapsed="false">
      <c r="A35" s="5"/>
      <c r="B35" s="886" t="n">
        <v>1.5</v>
      </c>
      <c r="C35" s="886" t="n">
        <v>2.5</v>
      </c>
      <c r="D35" s="886" t="n">
        <v>3</v>
      </c>
      <c r="E35" s="886" t="n">
        <v>3</v>
      </c>
      <c r="F35" s="887" t="s">
        <v>479</v>
      </c>
      <c r="G35" s="887"/>
      <c r="H35" s="756"/>
      <c r="I35" s="888" t="s">
        <v>480</v>
      </c>
      <c r="J35" s="888"/>
      <c r="K35" s="888"/>
      <c r="L35" s="888"/>
      <c r="M35" s="502"/>
      <c r="N35" s="502"/>
      <c r="O35" s="502"/>
      <c r="P35" s="502"/>
      <c r="Q35" s="502"/>
      <c r="R35" s="502"/>
      <c r="S35" s="502"/>
      <c r="T35" s="502"/>
      <c r="U35" s="502"/>
      <c r="V35" s="502"/>
      <c r="W35" s="502"/>
      <c r="X35" s="502"/>
      <c r="Y35" s="502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</row>
    <row r="36" customFormat="false" ht="14.15" hidden="false" customHeight="true" outlineLevel="0" collapsed="false">
      <c r="A36" s="5"/>
      <c r="B36" s="889" t="n">
        <v>1</v>
      </c>
      <c r="C36" s="889" t="n">
        <v>1</v>
      </c>
      <c r="D36" s="889" t="n">
        <v>1</v>
      </c>
      <c r="E36" s="889" t="n">
        <v>1</v>
      </c>
      <c r="F36" s="887" t="s">
        <v>481</v>
      </c>
      <c r="G36" s="887"/>
      <c r="H36" s="756" t="s">
        <v>482</v>
      </c>
      <c r="I36" s="890" t="s">
        <v>68</v>
      </c>
      <c r="J36" s="891" t="s">
        <v>483</v>
      </c>
      <c r="K36" s="891"/>
      <c r="L36" s="891"/>
      <c r="M36" s="502"/>
      <c r="N36" s="502"/>
      <c r="O36" s="502"/>
      <c r="P36" s="502"/>
      <c r="Q36" s="502"/>
      <c r="R36" s="502"/>
      <c r="S36" s="502"/>
      <c r="T36" s="502"/>
      <c r="U36" s="502"/>
      <c r="V36" s="502"/>
      <c r="W36" s="502"/>
      <c r="X36" s="502"/>
      <c r="Y36" s="502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</row>
    <row r="37" customFormat="false" ht="14.15" hidden="false" customHeight="true" outlineLevel="0" collapsed="false">
      <c r="A37" s="5"/>
      <c r="B37" s="892" t="n">
        <f aca="false">(B35*B36/50)*B46</f>
        <v>4.59117</v>
      </c>
      <c r="C37" s="892" t="n">
        <f aca="false">(C35*C36/50)*C46</f>
        <v>9.430278</v>
      </c>
      <c r="D37" s="892" t="n">
        <f aca="false">(D35*D36/50)*D46</f>
        <v>4.6208448</v>
      </c>
      <c r="E37" s="892" t="n">
        <f aca="false">(E35*E36/50)*E46</f>
        <v>6E-006</v>
      </c>
      <c r="F37" s="893" t="s">
        <v>484</v>
      </c>
      <c r="G37" s="893"/>
      <c r="H37" s="892" t="n">
        <f aca="false">SUM(B37:E37)</f>
        <v>18.6422988</v>
      </c>
      <c r="I37" s="894" t="s">
        <v>68</v>
      </c>
      <c r="J37" s="891" t="s">
        <v>485</v>
      </c>
      <c r="K37" s="891"/>
      <c r="L37" s="891"/>
      <c r="M37" s="502"/>
      <c r="N37" s="502"/>
      <c r="O37" s="502"/>
      <c r="P37" s="502"/>
      <c r="Q37" s="502"/>
      <c r="R37" s="502"/>
      <c r="S37" s="502"/>
      <c r="T37" s="502"/>
      <c r="U37" s="502"/>
      <c r="V37" s="502"/>
      <c r="W37" s="502"/>
      <c r="X37" s="502"/>
      <c r="Y37" s="502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</row>
    <row r="38" customFormat="false" ht="14.15" hidden="false" customHeight="true" outlineLevel="0" collapsed="false">
      <c r="A38" s="5"/>
      <c r="B38" s="895" t="n">
        <f aca="false">1000*B37/3600</f>
        <v>1.275325</v>
      </c>
      <c r="C38" s="895" t="n">
        <f aca="false">1000*C37/3600</f>
        <v>2.61952166666667</v>
      </c>
      <c r="D38" s="895" t="n">
        <f aca="false">1000*D37/3600</f>
        <v>1.283568</v>
      </c>
      <c r="E38" s="895" t="n">
        <f aca="false">1000*E37/3600</f>
        <v>1.66666666666667E-006</v>
      </c>
      <c r="F38" s="887" t="s">
        <v>486</v>
      </c>
      <c r="G38" s="887"/>
      <c r="H38" s="895" t="n">
        <f aca="false">SUM(B38:E38)</f>
        <v>5.17841633333333</v>
      </c>
      <c r="I38" s="502"/>
      <c r="J38" s="891" t="s">
        <v>487</v>
      </c>
      <c r="K38" s="891"/>
      <c r="L38" s="891"/>
      <c r="M38" s="502"/>
      <c r="N38" s="502"/>
      <c r="O38" s="502"/>
      <c r="P38" s="502"/>
      <c r="Q38" s="502"/>
      <c r="R38" s="502"/>
      <c r="S38" s="502"/>
      <c r="T38" s="606"/>
      <c r="U38" s="606"/>
      <c r="V38" s="606"/>
      <c r="W38" s="606"/>
      <c r="X38" s="606"/>
      <c r="Y38" s="606"/>
      <c r="Z38" s="8"/>
      <c r="AA38" s="8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</row>
    <row r="39" customFormat="false" ht="14.15" hidden="false" customHeight="true" outlineLevel="0" collapsed="false">
      <c r="A39" s="5"/>
      <c r="B39" s="896" t="n">
        <f aca="false">IF(B21&lt;1,0,B37/B46)</f>
        <v>0.03</v>
      </c>
      <c r="C39" s="896" t="n">
        <f aca="false">IF(C21&lt;1,0,C37/C46)</f>
        <v>0.05</v>
      </c>
      <c r="D39" s="896" t="n">
        <f aca="false">IF(D21&lt;1,0,D37/D46)</f>
        <v>0.06</v>
      </c>
      <c r="E39" s="896" t="n">
        <f aca="false">IF(E21&lt;1,0,E37/E46)</f>
        <v>0</v>
      </c>
      <c r="F39" s="887" t="s">
        <v>488</v>
      </c>
      <c r="G39" s="887"/>
      <c r="H39" s="897" t="n">
        <f aca="false">SUM(B37:E37)/SUM(B46:E46)</f>
        <v>0.0445286268238423</v>
      </c>
      <c r="I39" s="502"/>
      <c r="J39" s="891" t="s">
        <v>489</v>
      </c>
      <c r="K39" s="891"/>
      <c r="L39" s="891"/>
      <c r="M39" s="502"/>
      <c r="N39" s="502"/>
      <c r="O39" s="502"/>
      <c r="P39" s="502"/>
      <c r="Q39" s="502"/>
      <c r="R39" s="502"/>
      <c r="S39" s="502"/>
      <c r="T39" s="606" t="s">
        <v>68</v>
      </c>
      <c r="U39" s="63"/>
      <c r="V39" s="63"/>
      <c r="W39" s="63"/>
      <c r="X39" s="63"/>
      <c r="Y39" s="63"/>
      <c r="Z39" s="63"/>
      <c r="AA39" s="63"/>
      <c r="AB39" s="8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</row>
    <row r="40" customFormat="false" ht="14.15" hidden="false" customHeight="true" outlineLevel="0" collapsed="false">
      <c r="A40" s="5"/>
      <c r="B40" s="898" t="n">
        <f aca="false">8760*0.36*B41*B37/1000</f>
        <v>195.342778210411</v>
      </c>
      <c r="C40" s="898" t="n">
        <f aca="false">8760*0.36*C41*C37/1000</f>
        <v>579.670645202845</v>
      </c>
      <c r="D40" s="898" t="n">
        <f aca="false">8760*0.36*D41*D37/1000</f>
        <v>284.039143554221</v>
      </c>
      <c r="E40" s="898" t="n">
        <f aca="false">8760*0.36*E41*E37/1000</f>
        <v>0</v>
      </c>
      <c r="F40" s="887" t="s">
        <v>490</v>
      </c>
      <c r="G40" s="887"/>
      <c r="H40" s="899" t="n">
        <f aca="false">SUM(B40:E40)</f>
        <v>1059.05256696748</v>
      </c>
      <c r="I40" s="63"/>
      <c r="J40" s="891" t="s">
        <v>491</v>
      </c>
      <c r="K40" s="891"/>
      <c r="L40" s="891"/>
      <c r="M40" s="502"/>
      <c r="N40" s="502"/>
      <c r="O40" s="502"/>
      <c r="P40" s="502"/>
      <c r="Q40" s="502"/>
      <c r="R40" s="502"/>
      <c r="S40" s="502"/>
      <c r="T40" s="9"/>
      <c r="U40" s="63"/>
      <c r="V40" s="63"/>
      <c r="W40" s="63"/>
      <c r="X40" s="63"/>
      <c r="Y40" s="63"/>
      <c r="Z40" s="63"/>
      <c r="AA40" s="63"/>
      <c r="AB40" s="9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</row>
    <row r="41" customFormat="false" ht="14.15" hidden="false" customHeight="true" outlineLevel="0" collapsed="false">
      <c r="A41" s="5"/>
      <c r="B41" s="900" t="n">
        <f aca="false">IF(B21&lt;1,0,(B30-$K$11)-$G$11)</f>
        <v>13.4917218543046</v>
      </c>
      <c r="C41" s="900" t="n">
        <f aca="false">IF(C21&lt;1,0,(C30-$K$11)-$G$11)</f>
        <v>19.4917218543046</v>
      </c>
      <c r="D41" s="900" t="n">
        <f aca="false">IF(D21&lt;1,0,(D30-$K$11)-$G$11)</f>
        <v>19.4917218543046</v>
      </c>
      <c r="E41" s="900" t="n">
        <f aca="false">IF(E21&lt;1,0,(E30-$K$11)-$G$11)</f>
        <v>0</v>
      </c>
      <c r="F41" s="901" t="s">
        <v>492</v>
      </c>
      <c r="G41" s="901"/>
      <c r="H41" s="502"/>
      <c r="I41" s="502"/>
      <c r="J41" s="891" t="s">
        <v>493</v>
      </c>
      <c r="K41" s="891"/>
      <c r="L41" s="891"/>
      <c r="M41" s="502"/>
      <c r="N41" s="502"/>
      <c r="O41" s="502"/>
      <c r="P41" s="502"/>
      <c r="Q41" s="502"/>
      <c r="R41" s="502"/>
      <c r="S41" s="502"/>
      <c r="T41" s="9"/>
      <c r="U41" s="63"/>
      <c r="V41" s="63"/>
      <c r="W41" s="63"/>
      <c r="X41" s="63"/>
      <c r="Y41" s="63"/>
      <c r="Z41" s="63"/>
      <c r="AA41" s="63"/>
      <c r="AB41" s="448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</row>
    <row r="42" customFormat="false" ht="14.15" hidden="false" customHeight="true" outlineLevel="0" collapsed="false">
      <c r="A42" s="5"/>
      <c r="B42" s="900" t="n">
        <f aca="false">IF(B21&lt;1,0,B30-G12)</f>
        <v>47</v>
      </c>
      <c r="C42" s="900" t="n">
        <f aca="false">IF(C21&lt;1,0,C30-G12)</f>
        <v>53</v>
      </c>
      <c r="D42" s="900" t="n">
        <f aca="false">IF(D21&lt;1,0,D30-G12)</f>
        <v>53</v>
      </c>
      <c r="E42" s="900" t="n">
        <f aca="false">IF(E21&lt;1,0,E30-G12)</f>
        <v>0</v>
      </c>
      <c r="F42" s="901" t="s">
        <v>494</v>
      </c>
      <c r="G42" s="901"/>
      <c r="H42" s="502"/>
      <c r="I42" s="502"/>
      <c r="J42" s="891" t="s">
        <v>495</v>
      </c>
      <c r="K42" s="891"/>
      <c r="L42" s="891"/>
      <c r="M42" s="502"/>
      <c r="N42" s="502"/>
      <c r="O42" s="502"/>
      <c r="P42" s="502"/>
      <c r="Q42" s="502"/>
      <c r="R42" s="502"/>
      <c r="S42" s="502"/>
      <c r="T42" s="9"/>
      <c r="U42" s="63"/>
      <c r="V42" s="63"/>
      <c r="W42" s="63"/>
      <c r="X42" s="63"/>
      <c r="Y42" s="63"/>
      <c r="Z42" s="63"/>
      <c r="AA42" s="63"/>
      <c r="AB42" s="448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</row>
    <row r="43" customFormat="false" ht="14.15" hidden="false" customHeight="true" outlineLevel="0" collapsed="false">
      <c r="A43" s="502"/>
      <c r="B43" s="902" t="n">
        <f aca="false">B24-2*B27</f>
        <v>8.34</v>
      </c>
      <c r="C43" s="902" t="n">
        <f aca="false">C24-2*C27</f>
        <v>8.58</v>
      </c>
      <c r="D43" s="902" t="n">
        <f aca="false">D24-2*D27</f>
        <v>8.58</v>
      </c>
      <c r="E43" s="902" t="n">
        <f aca="false">E24-2*E27</f>
        <v>6.58</v>
      </c>
      <c r="F43" s="903" t="s">
        <v>496</v>
      </c>
      <c r="G43" s="903"/>
      <c r="H43" s="502"/>
      <c r="I43" s="502"/>
      <c r="J43" s="891"/>
      <c r="K43" s="891"/>
      <c r="L43" s="891"/>
      <c r="M43" s="502"/>
      <c r="N43" s="502"/>
      <c r="O43" s="502"/>
      <c r="P43" s="502"/>
      <c r="Q43" s="502"/>
      <c r="R43" s="502"/>
      <c r="S43" s="502"/>
      <c r="T43" s="9"/>
      <c r="U43" s="63"/>
      <c r="V43" s="63"/>
      <c r="W43" s="63"/>
      <c r="X43" s="63"/>
      <c r="Y43" s="63"/>
      <c r="Z43" s="63"/>
      <c r="AA43" s="63"/>
      <c r="AB43" s="448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</row>
    <row r="44" customFormat="false" ht="14.15" hidden="false" customHeight="true" outlineLevel="0" collapsed="false">
      <c r="A44" s="502"/>
      <c r="B44" s="902" t="n">
        <f aca="false">B25-2*B27</f>
        <v>7.34</v>
      </c>
      <c r="C44" s="902" t="n">
        <f aca="false">C25-2*C27</f>
        <v>7.58</v>
      </c>
      <c r="D44" s="902" t="n">
        <f aca="false">D25-2*D27</f>
        <v>4.08</v>
      </c>
      <c r="E44" s="902" t="n">
        <f aca="false">E25-2*E27</f>
        <v>4.7</v>
      </c>
      <c r="F44" s="903" t="s">
        <v>497</v>
      </c>
      <c r="G44" s="903"/>
      <c r="H44" s="7" t="s">
        <v>176</v>
      </c>
      <c r="I44" s="502"/>
      <c r="J44" s="891"/>
      <c r="K44" s="891"/>
      <c r="L44" s="891"/>
      <c r="M44" s="502"/>
      <c r="N44" s="502"/>
      <c r="O44" s="502"/>
      <c r="P44" s="502"/>
      <c r="Q44" s="502"/>
      <c r="R44" s="502"/>
      <c r="S44" s="502"/>
      <c r="T44" s="9"/>
      <c r="U44" s="63"/>
      <c r="V44" s="63"/>
      <c r="W44" s="63"/>
      <c r="X44" s="63"/>
      <c r="Y44" s="63"/>
      <c r="Z44" s="63"/>
      <c r="AA44" s="63"/>
      <c r="AB44" s="448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</row>
    <row r="45" customFormat="false" ht="14.15" hidden="false" customHeight="true" outlineLevel="0" collapsed="false">
      <c r="A45" s="502"/>
      <c r="B45" s="904" t="n">
        <f aca="false">IF(B21&lt;1,0,(B26+B29)*B47)</f>
        <v>180</v>
      </c>
      <c r="C45" s="904" t="n">
        <f aca="false">IF(C21&lt;1,0,(C26+C29)*C47)</f>
        <v>208.8</v>
      </c>
      <c r="D45" s="904" t="n">
        <f aca="false">IF(D21&lt;1,0,(D26+D29)*D47)</f>
        <v>89.1</v>
      </c>
      <c r="E45" s="904" t="n">
        <f aca="false">IF(E21&lt;1,0,(E26+E29)*E47)</f>
        <v>0</v>
      </c>
      <c r="F45" s="905" t="s">
        <v>498</v>
      </c>
      <c r="G45" s="905"/>
      <c r="H45" s="906" t="n">
        <f aca="false">SUM(B45:E45)</f>
        <v>477.9</v>
      </c>
      <c r="I45" s="502"/>
      <c r="J45" s="502"/>
      <c r="K45" s="502"/>
      <c r="L45" s="502"/>
      <c r="M45" s="502"/>
      <c r="N45" s="502"/>
      <c r="O45" s="502"/>
      <c r="P45" s="502"/>
      <c r="Q45" s="502"/>
      <c r="R45" s="502"/>
      <c r="S45" s="502"/>
      <c r="T45" s="9"/>
      <c r="U45" s="63"/>
      <c r="V45" s="63"/>
      <c r="W45" s="63"/>
      <c r="X45" s="63"/>
      <c r="Y45" s="63"/>
      <c r="Z45" s="63"/>
      <c r="AA45" s="63"/>
      <c r="AB45" s="448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</row>
    <row r="46" customFormat="false" ht="14.15" hidden="false" customHeight="true" outlineLevel="0" collapsed="false">
      <c r="A46" s="502"/>
      <c r="B46" s="17" t="n">
        <f aca="false">IF(B21&lt;1,0.0001,(B26+B29)*B49)</f>
        <v>153.039</v>
      </c>
      <c r="C46" s="17" t="n">
        <f aca="false">IF(C21&lt;1,0.0001,(C26+C29)*C49)</f>
        <v>188.60556</v>
      </c>
      <c r="D46" s="17" t="n">
        <f aca="false">IF(D21&lt;1,0.0001,(D26+D29)*D49)</f>
        <v>77.01408</v>
      </c>
      <c r="E46" s="17" t="n">
        <f aca="false">IF(E21&lt;1,0.0001,(E26+E29)*E49)</f>
        <v>0.0001</v>
      </c>
      <c r="F46" s="907" t="s">
        <v>499</v>
      </c>
      <c r="G46" s="907"/>
      <c r="H46" s="908" t="n">
        <f aca="false">SUM(B46:E46)</f>
        <v>418.65874</v>
      </c>
      <c r="I46" s="502"/>
      <c r="J46" s="502"/>
      <c r="K46" s="502"/>
      <c r="L46" s="502"/>
      <c r="M46" s="502"/>
      <c r="N46" s="502"/>
      <c r="O46" s="502"/>
      <c r="P46" s="502"/>
      <c r="Q46" s="502"/>
      <c r="R46" s="502"/>
      <c r="S46" s="502"/>
      <c r="T46" s="9"/>
      <c r="U46" s="63"/>
      <c r="V46" s="63"/>
      <c r="W46" s="63"/>
      <c r="X46" s="63"/>
      <c r="Y46" s="63"/>
      <c r="Z46" s="63"/>
      <c r="AA46" s="63"/>
      <c r="AB46" s="448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</row>
    <row r="47" customFormat="false" ht="14.15" hidden="false" customHeight="true" outlineLevel="0" collapsed="false">
      <c r="A47" s="502"/>
      <c r="B47" s="909" t="n">
        <f aca="false">IF(B21&lt;1,0,B24*B25)</f>
        <v>72</v>
      </c>
      <c r="C47" s="909" t="n">
        <f aca="false">IF(C21&lt;1,0,C24*C25)</f>
        <v>72</v>
      </c>
      <c r="D47" s="909" t="n">
        <f aca="false">IF(D21&lt;1,0,D24*D25)</f>
        <v>40.5</v>
      </c>
      <c r="E47" s="909" t="n">
        <f aca="false">IF(E21&lt;1,0,E24*E25)</f>
        <v>0</v>
      </c>
      <c r="F47" s="910" t="s">
        <v>500</v>
      </c>
      <c r="G47" s="910"/>
      <c r="H47" s="911" t="n">
        <f aca="false">SUM(B47:E47)</f>
        <v>184.5</v>
      </c>
      <c r="I47" s="502"/>
      <c r="J47" s="502"/>
      <c r="K47" s="502"/>
      <c r="L47" s="502"/>
      <c r="M47" s="502"/>
      <c r="N47" s="502"/>
      <c r="O47" s="502"/>
      <c r="P47" s="502"/>
      <c r="Q47" s="502"/>
      <c r="R47" s="502"/>
      <c r="S47" s="502"/>
      <c r="T47" s="9"/>
      <c r="U47" s="63"/>
      <c r="V47" s="63"/>
      <c r="W47" s="63"/>
      <c r="X47" s="63"/>
      <c r="Y47" s="63"/>
      <c r="Z47" s="63"/>
      <c r="AA47" s="63"/>
      <c r="AB47" s="448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</row>
    <row r="48" customFormat="false" ht="14.15" hidden="false" customHeight="true" outlineLevel="0" collapsed="false">
      <c r="A48" s="502"/>
      <c r="B48" s="912" t="n">
        <f aca="false">IF(B21&lt;1,0,(B24-B28)*(B25-B28))</f>
        <v>70.6464</v>
      </c>
      <c r="C48" s="912" t="n">
        <f aca="false">IF(C21&lt;1,0,(C24-C28)*(C25-C28))</f>
        <v>72</v>
      </c>
      <c r="D48" s="912" t="n">
        <f aca="false">IF(D21&lt;1,0,(D24-D28)*(D25-D28))</f>
        <v>40.5</v>
      </c>
      <c r="E48" s="912" t="n">
        <f aca="false">IF(E21&lt;1,0,(E24-E28)*(E25-E28))</f>
        <v>0</v>
      </c>
      <c r="F48" s="913" t="s">
        <v>501</v>
      </c>
      <c r="G48" s="913"/>
      <c r="H48" s="914" t="n">
        <f aca="false">SUM(B48:E48)</f>
        <v>183.1464</v>
      </c>
      <c r="I48" s="502"/>
      <c r="J48" s="502"/>
      <c r="K48" s="502"/>
      <c r="L48" s="502"/>
      <c r="M48" s="502"/>
      <c r="N48" s="502"/>
      <c r="O48" s="502"/>
      <c r="P48" s="502"/>
      <c r="Q48" s="502"/>
      <c r="R48" s="502"/>
      <c r="S48" s="502"/>
      <c r="T48" s="9"/>
      <c r="U48" s="63"/>
      <c r="V48" s="63"/>
      <c r="W48" s="63"/>
      <c r="X48" s="63"/>
      <c r="Y48" s="63"/>
      <c r="Z48" s="63"/>
      <c r="AA48" s="63"/>
      <c r="AB48" s="448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</row>
    <row r="49" customFormat="false" ht="14.15" hidden="false" customHeight="true" outlineLevel="0" collapsed="false">
      <c r="A49" s="502"/>
      <c r="B49" s="915" t="n">
        <f aca="false">IF(B21&lt;1,0.0001,B43*B44)</f>
        <v>61.2156</v>
      </c>
      <c r="C49" s="915" t="n">
        <f aca="false">IF(C21&lt;1,0.0001,C43*C44)</f>
        <v>65.0364</v>
      </c>
      <c r="D49" s="915" t="n">
        <f aca="false">IF(D21&lt;1,0.0001,D43*D44)</f>
        <v>35.0064</v>
      </c>
      <c r="E49" s="915" t="n">
        <f aca="false">IF(E21&lt;1,0.0001,E43*E44)</f>
        <v>0.0001</v>
      </c>
      <c r="F49" s="916" t="s">
        <v>502</v>
      </c>
      <c r="G49" s="916"/>
      <c r="H49" s="917" t="n">
        <f aca="false">SUM(B49:E49)</f>
        <v>161.2585</v>
      </c>
      <c r="I49" s="502"/>
      <c r="J49" s="502"/>
      <c r="K49" s="502"/>
      <c r="L49" s="502"/>
      <c r="M49" s="502"/>
      <c r="N49" s="502"/>
      <c r="O49" s="502"/>
      <c r="P49" s="502"/>
      <c r="Q49" s="502"/>
      <c r="R49" s="502"/>
      <c r="S49" s="502"/>
      <c r="T49" s="9"/>
      <c r="U49" s="63"/>
      <c r="V49" s="63"/>
      <c r="W49" s="63"/>
      <c r="X49" s="63"/>
      <c r="Y49" s="63"/>
      <c r="Z49" s="63"/>
      <c r="AA49" s="63"/>
      <c r="AB49" s="448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</row>
    <row r="50" customFormat="false" ht="14.15" hidden="false" customHeight="true" outlineLevel="0" collapsed="false">
      <c r="A50" s="502"/>
      <c r="B50" s="918" t="n">
        <f aca="false">IF(B21&lt;1,0,B26*2*(B43+B44))</f>
        <v>68.992</v>
      </c>
      <c r="C50" s="918" t="n">
        <f aca="false">IF(C21&lt;1,0,C26*2*(C43+C44))</f>
        <v>84.032</v>
      </c>
      <c r="D50" s="918" t="n">
        <f aca="false">IF(D21&lt;1,0,D26*2*(D43+D44))</f>
        <v>55.704</v>
      </c>
      <c r="E50" s="918" t="n">
        <f aca="false">IF(E21&lt;1,0,E26*2*(E43+E44))</f>
        <v>0</v>
      </c>
      <c r="F50" s="919" t="s">
        <v>503</v>
      </c>
      <c r="G50" s="919"/>
      <c r="H50" s="920" t="n">
        <f aca="false">SUM(B50:E50)</f>
        <v>208.728</v>
      </c>
      <c r="I50" s="502"/>
      <c r="J50" s="502"/>
      <c r="K50" s="502"/>
      <c r="L50" s="502"/>
      <c r="M50" s="502"/>
      <c r="N50" s="502"/>
      <c r="O50" s="502"/>
      <c r="P50" s="502"/>
      <c r="Q50" s="502"/>
      <c r="R50" s="502"/>
      <c r="S50" s="502"/>
      <c r="T50" s="9"/>
      <c r="U50" s="63"/>
      <c r="V50" s="63"/>
      <c r="W50" s="63"/>
      <c r="X50" s="63"/>
      <c r="Y50" s="63"/>
      <c r="Z50" s="63"/>
      <c r="AA50" s="63"/>
      <c r="AB50" s="448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</row>
    <row r="51" customFormat="false" ht="14.15" hidden="false" customHeight="true" outlineLevel="0" collapsed="false">
      <c r="A51" s="502"/>
      <c r="B51" s="921" t="n">
        <f aca="false">2*B49+B50</f>
        <v>191.4232</v>
      </c>
      <c r="C51" s="921" t="n">
        <f aca="false">2*C49+C50</f>
        <v>214.1048</v>
      </c>
      <c r="D51" s="921" t="n">
        <f aca="false">2*D49+D50</f>
        <v>125.7168</v>
      </c>
      <c r="E51" s="921" t="n">
        <f aca="false">2*E49+E50</f>
        <v>0.0002</v>
      </c>
      <c r="F51" s="922" t="s">
        <v>504</v>
      </c>
      <c r="G51" s="922"/>
      <c r="H51" s="923" t="n">
        <f aca="false">SUM(B51:E51)</f>
        <v>531.245</v>
      </c>
      <c r="I51" s="502"/>
      <c r="J51" s="502"/>
      <c r="K51" s="502"/>
      <c r="L51" s="502"/>
      <c r="M51" s="502"/>
      <c r="N51" s="502"/>
      <c r="O51" s="502"/>
      <c r="P51" s="502"/>
      <c r="Q51" s="502"/>
      <c r="R51" s="502"/>
      <c r="S51" s="502"/>
      <c r="T51" s="9"/>
      <c r="U51" s="63"/>
      <c r="V51" s="63"/>
      <c r="W51" s="63"/>
      <c r="X51" s="63"/>
      <c r="Y51" s="63"/>
      <c r="Z51" s="63"/>
      <c r="AA51" s="63"/>
      <c r="AB51" s="448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</row>
    <row r="52" customFormat="false" ht="14.15" hidden="false" customHeight="true" outlineLevel="0" collapsed="false">
      <c r="A52" s="502"/>
      <c r="B52" s="924" t="n">
        <f aca="false">M99</f>
        <v>4295.05133582782</v>
      </c>
      <c r="C52" s="924" t="n">
        <f aca="false">M113</f>
        <v>8121.9154934098</v>
      </c>
      <c r="D52" s="924" t="n">
        <f aca="false">M127</f>
        <v>5893.11034458278</v>
      </c>
      <c r="E52" s="924" t="n">
        <f aca="false">M141</f>
        <v>0</v>
      </c>
      <c r="F52" s="925" t="s">
        <v>505</v>
      </c>
      <c r="G52" s="925"/>
      <c r="H52" s="926" t="n">
        <f aca="false">SUM(B52:E52)</f>
        <v>18310.0771738204</v>
      </c>
      <c r="I52" s="927" t="n">
        <f aca="false">H52</f>
        <v>18310.0771738204</v>
      </c>
      <c r="J52" s="502"/>
      <c r="K52" s="502"/>
      <c r="L52" s="502"/>
      <c r="M52" s="502"/>
      <c r="N52" s="502"/>
      <c r="O52" s="502"/>
      <c r="P52" s="502"/>
      <c r="Q52" s="502"/>
      <c r="R52" s="502"/>
      <c r="S52" s="502"/>
      <c r="T52" s="9"/>
      <c r="U52" s="63"/>
      <c r="V52" s="63"/>
      <c r="W52" s="63"/>
      <c r="X52" s="63"/>
      <c r="Y52" s="63"/>
      <c r="Z52" s="63"/>
      <c r="AA52" s="63"/>
      <c r="AB52" s="448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</row>
    <row r="53" customFormat="false" ht="14.15" hidden="false" customHeight="true" outlineLevel="0" collapsed="false">
      <c r="A53" s="502"/>
      <c r="B53" s="928" t="n">
        <f aca="false">N99</f>
        <v>1708.027</v>
      </c>
      <c r="C53" s="928" t="n">
        <f aca="false">N113</f>
        <v>2521.041672</v>
      </c>
      <c r="D53" s="928" t="n">
        <f aca="false">N127</f>
        <v>1829.2208</v>
      </c>
      <c r="E53" s="928" t="n">
        <f aca="false">N141</f>
        <v>0</v>
      </c>
      <c r="F53" s="929" t="s">
        <v>506</v>
      </c>
      <c r="G53" s="929"/>
      <c r="H53" s="930" t="n">
        <f aca="false">SUM(B53:E53)</f>
        <v>6058.289472</v>
      </c>
      <c r="I53" s="862" t="n">
        <f aca="false">H53/1000</f>
        <v>6.058289472</v>
      </c>
      <c r="J53" s="502"/>
      <c r="K53" s="502"/>
      <c r="L53" s="502"/>
      <c r="M53" s="502"/>
      <c r="N53" s="502"/>
      <c r="O53" s="502"/>
      <c r="P53" s="502"/>
      <c r="Q53" s="502"/>
      <c r="R53" s="502"/>
      <c r="S53" s="502"/>
      <c r="T53" s="9"/>
      <c r="U53" s="63"/>
      <c r="V53" s="63"/>
      <c r="W53" s="63"/>
      <c r="X53" s="63"/>
      <c r="Y53" s="63"/>
      <c r="Z53" s="63"/>
      <c r="AA53" s="63"/>
      <c r="AB53" s="448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</row>
    <row r="54" customFormat="false" ht="14.15" hidden="false" customHeight="true" outlineLevel="0" collapsed="false">
      <c r="A54" s="502"/>
      <c r="B54" s="930" t="n">
        <f aca="false">B31*(1-B32)*B46*0.36*B42</f>
        <v>517.883976</v>
      </c>
      <c r="C54" s="930" t="n">
        <f aca="false">C31*(1-C32)*C46*0.36*C42</f>
        <v>1079.57822544</v>
      </c>
      <c r="D54" s="930" t="n">
        <f aca="false">D31*(1-D32)*D46*0.36*D42</f>
        <v>367.3571616</v>
      </c>
      <c r="E54" s="930" t="n">
        <f aca="false">E31*(1-E32)*E46*0.36*E42</f>
        <v>0</v>
      </c>
      <c r="F54" s="929" t="s">
        <v>507</v>
      </c>
      <c r="G54" s="929"/>
      <c r="H54" s="930" t="n">
        <f aca="false">SUM(B54:E54)</f>
        <v>1964.81936304</v>
      </c>
      <c r="I54" s="862" t="n">
        <f aca="false">H54/1000</f>
        <v>1.96481936304</v>
      </c>
      <c r="J54" s="502"/>
      <c r="K54" s="502"/>
      <c r="L54" s="502"/>
      <c r="M54" s="502"/>
      <c r="N54" s="502"/>
      <c r="O54" s="502"/>
      <c r="P54" s="502"/>
      <c r="Q54" s="502"/>
      <c r="R54" s="502"/>
      <c r="S54" s="502"/>
      <c r="T54" s="9"/>
      <c r="U54" s="63"/>
      <c r="V54" s="63"/>
      <c r="W54" s="63"/>
      <c r="X54" s="63"/>
      <c r="Y54" s="63"/>
      <c r="Z54" s="63"/>
      <c r="AA54" s="63"/>
      <c r="AB54" s="448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</row>
    <row r="55" customFormat="false" ht="14.15" hidden="false" customHeight="true" outlineLevel="0" collapsed="false">
      <c r="A55" s="502"/>
      <c r="B55" s="930" t="n">
        <f aca="false">B37*0.36*B42</f>
        <v>77.6825964</v>
      </c>
      <c r="C55" s="930" t="n">
        <f aca="false">C37*0.36*C42</f>
        <v>179.92970424</v>
      </c>
      <c r="D55" s="930" t="n">
        <f aca="false">D37*0.36*D42</f>
        <v>88.165718784</v>
      </c>
      <c r="E55" s="930" t="n">
        <f aca="false">E37*0.36*E42</f>
        <v>0</v>
      </c>
      <c r="F55" s="929" t="s">
        <v>508</v>
      </c>
      <c r="G55" s="929"/>
      <c r="H55" s="930" t="n">
        <f aca="false">SUM(B55:E55)</f>
        <v>345.778019424</v>
      </c>
      <c r="I55" s="862" t="n">
        <f aca="false">H55/1000</f>
        <v>0.345778019424</v>
      </c>
      <c r="J55" s="931"/>
      <c r="K55" s="502"/>
      <c r="L55" s="502"/>
      <c r="M55" s="502"/>
      <c r="N55" s="502"/>
      <c r="O55" s="502"/>
      <c r="P55" s="502"/>
      <c r="Q55" s="502"/>
      <c r="R55" s="502"/>
      <c r="S55" s="502"/>
      <c r="T55" s="9"/>
      <c r="U55" s="63"/>
      <c r="V55" s="63"/>
      <c r="W55" s="63"/>
      <c r="X55" s="63"/>
      <c r="Y55" s="63"/>
      <c r="Z55" s="63"/>
      <c r="AA55" s="63"/>
      <c r="AB55" s="448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</row>
    <row r="56" customFormat="false" ht="20.65" hidden="false" customHeight="true" outlineLevel="0" collapsed="false">
      <c r="A56" s="502"/>
      <c r="B56" s="932" t="n">
        <f aca="false">SUM(B53:B55)</f>
        <v>2303.5935724</v>
      </c>
      <c r="C56" s="932" t="n">
        <f aca="false">SUM(C53:C55)</f>
        <v>3780.54960168</v>
      </c>
      <c r="D56" s="932" t="n">
        <f aca="false">SUM(D53:D55)</f>
        <v>2284.743680384</v>
      </c>
      <c r="E56" s="932" t="n">
        <f aca="false">SUM(E53:E55)</f>
        <v>0</v>
      </c>
      <c r="F56" s="933" t="s">
        <v>509</v>
      </c>
      <c r="G56" s="933"/>
      <c r="H56" s="932" t="n">
        <f aca="false">SUM(H53:H55)</f>
        <v>8368.886854464</v>
      </c>
      <c r="I56" s="934" t="n">
        <f aca="false">SUM(B56:E56)/1000</f>
        <v>8.368886854464</v>
      </c>
      <c r="J56" s="935"/>
      <c r="K56" s="502"/>
      <c r="L56" s="502"/>
      <c r="M56" s="502"/>
      <c r="N56" s="502"/>
      <c r="O56" s="502"/>
      <c r="P56" s="502"/>
      <c r="Q56" s="502"/>
      <c r="R56" s="502"/>
      <c r="S56" s="502"/>
      <c r="T56" s="9"/>
      <c r="U56" s="63"/>
      <c r="V56" s="63"/>
      <c r="W56" s="63"/>
      <c r="X56" s="63"/>
      <c r="Y56" s="63"/>
      <c r="Z56" s="63"/>
      <c r="AA56" s="63"/>
      <c r="AB56" s="936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</row>
    <row r="57" customFormat="false" ht="14.15" hidden="false" customHeight="true" outlineLevel="0" collapsed="false">
      <c r="A57" s="502"/>
      <c r="B57" s="900" t="n">
        <f aca="false">IF(B21&lt;1,0,B30-$G$11)</f>
        <v>16</v>
      </c>
      <c r="C57" s="900" t="n">
        <f aca="false">IF(C21&lt;1,0,C30-$G$11)</f>
        <v>22</v>
      </c>
      <c r="D57" s="900" t="n">
        <f aca="false">IF(D21&lt;1,0,D30-$G$11)</f>
        <v>22</v>
      </c>
      <c r="E57" s="900" t="n">
        <f aca="false">IF(E21&lt;1,0,E30-$G$11)</f>
        <v>0</v>
      </c>
      <c r="F57" s="901" t="s">
        <v>510</v>
      </c>
      <c r="G57" s="901"/>
      <c r="H57" s="502"/>
      <c r="I57" s="502"/>
      <c r="J57" s="502"/>
      <c r="K57" s="502"/>
      <c r="L57" s="502"/>
      <c r="M57" s="502"/>
      <c r="N57" s="502"/>
      <c r="O57" s="502"/>
      <c r="P57" s="502"/>
      <c r="Q57" s="502"/>
      <c r="R57" s="502"/>
      <c r="S57" s="502"/>
      <c r="T57" s="606"/>
      <c r="U57" s="63"/>
      <c r="V57" s="63"/>
      <c r="W57" s="63"/>
      <c r="X57" s="63"/>
      <c r="Y57" s="63"/>
      <c r="Z57" s="63"/>
      <c r="AA57" s="63"/>
      <c r="AB57" s="8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</row>
    <row r="58" customFormat="false" ht="14.15" hidden="false" customHeight="true" outlineLevel="0" collapsed="false">
      <c r="A58" s="502"/>
      <c r="B58" s="378"/>
      <c r="C58" s="378"/>
      <c r="D58" s="378"/>
      <c r="E58" s="378"/>
      <c r="F58" s="502"/>
      <c r="G58" s="502"/>
      <c r="H58" s="502"/>
      <c r="I58" s="502"/>
      <c r="J58" s="502"/>
      <c r="K58" s="502"/>
      <c r="L58" s="502"/>
      <c r="M58" s="502"/>
      <c r="N58" s="502"/>
      <c r="O58" s="502"/>
      <c r="P58" s="502"/>
      <c r="Q58" s="502"/>
      <c r="R58" s="502"/>
      <c r="S58" s="502"/>
      <c r="T58" s="502"/>
      <c r="U58" s="63"/>
      <c r="V58" s="502"/>
      <c r="W58" s="502"/>
      <c r="X58" s="606"/>
      <c r="Y58" s="606"/>
      <c r="Z58" s="8"/>
      <c r="AA58" s="8"/>
      <c r="AB58" s="8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</row>
    <row r="59" customFormat="false" ht="14.15" hidden="false" customHeight="true" outlineLevel="0" collapsed="false">
      <c r="A59" s="502"/>
      <c r="B59" s="56" t="s">
        <v>511</v>
      </c>
      <c r="C59" s="56" t="s">
        <v>512</v>
      </c>
      <c r="D59" s="56" t="s">
        <v>513</v>
      </c>
      <c r="E59" s="56" t="s">
        <v>514</v>
      </c>
      <c r="F59" s="937" t="s">
        <v>515</v>
      </c>
      <c r="G59" s="937"/>
      <c r="H59" s="938" t="s">
        <v>6</v>
      </c>
      <c r="I59" s="502"/>
      <c r="J59" s="502"/>
      <c r="K59" s="502"/>
      <c r="L59" s="502"/>
      <c r="M59" s="502"/>
      <c r="N59" s="502"/>
      <c r="O59" s="502"/>
      <c r="P59" s="502"/>
      <c r="Q59" s="502"/>
      <c r="R59" s="502"/>
      <c r="S59" s="502"/>
      <c r="T59" s="502"/>
      <c r="U59" s="63"/>
      <c r="V59" s="502"/>
      <c r="W59" s="502"/>
      <c r="X59" s="606"/>
      <c r="Y59" s="606"/>
      <c r="Z59" s="8"/>
      <c r="AA59" s="8"/>
      <c r="AB59" s="8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</row>
    <row r="60" customFormat="false" ht="14.1" hidden="false" customHeight="true" outlineLevel="0" collapsed="false">
      <c r="A60" s="502"/>
      <c r="B60" s="939" t="n">
        <v>0.5</v>
      </c>
      <c r="C60" s="940" t="n">
        <v>10</v>
      </c>
      <c r="D60" s="403" t="n">
        <f aca="false">24*365</f>
        <v>8760</v>
      </c>
      <c r="E60" s="941" t="n">
        <f aca="false">IF(B60&lt;1,0,B60*C60*D60/1000)</f>
        <v>0</v>
      </c>
      <c r="F60" s="922" t="str">
        <f aca="false">IF(B60&lt;1,"Alle 1 metrin kanaalia ei lasketa!","Siirtokanaalin lämpöhukka vuodessa")</f>
        <v>Alle 1 metrin kanaalia ei lasketa!</v>
      </c>
      <c r="G60" s="922"/>
      <c r="H60" s="942" t="n">
        <f aca="false">IF(B60&lt;1,0,E60/D60)</f>
        <v>0</v>
      </c>
      <c r="I60" s="943" t="n">
        <f aca="false">H60</f>
        <v>0</v>
      </c>
      <c r="J60" s="502"/>
      <c r="K60" s="502"/>
      <c r="L60" s="502"/>
      <c r="M60" s="502"/>
      <c r="N60" s="502"/>
      <c r="O60" s="502"/>
      <c r="P60" s="502"/>
      <c r="Q60" s="502"/>
      <c r="R60" s="502"/>
      <c r="S60" s="502"/>
      <c r="T60" s="502"/>
      <c r="U60" s="63"/>
      <c r="V60" s="502"/>
      <c r="W60" s="502"/>
      <c r="X60" s="502"/>
      <c r="Y60" s="502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</row>
    <row r="61" customFormat="false" ht="16.45" hidden="false" customHeight="true" outlineLevel="0" collapsed="false">
      <c r="A61" s="502"/>
      <c r="B61" s="944"/>
      <c r="C61" s="945"/>
      <c r="D61" s="946"/>
      <c r="E61" s="947"/>
      <c r="F61" s="948"/>
      <c r="G61" s="949"/>
      <c r="H61" s="950"/>
      <c r="I61" s="502"/>
      <c r="J61" s="951" t="s">
        <v>516</v>
      </c>
      <c r="K61" s="951"/>
      <c r="L61" s="951"/>
      <c r="M61" s="502"/>
      <c r="N61" s="502"/>
      <c r="O61" s="502"/>
      <c r="P61" s="502"/>
      <c r="Q61" s="502"/>
      <c r="R61" s="502"/>
      <c r="S61" s="502"/>
      <c r="T61" s="502"/>
      <c r="U61" s="63"/>
      <c r="V61" s="502"/>
      <c r="W61" s="502"/>
      <c r="X61" s="502"/>
      <c r="Y61" s="502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</row>
    <row r="62" customFormat="false" ht="16.45" hidden="false" customHeight="true" outlineLevel="0" collapsed="false">
      <c r="A62" s="502"/>
      <c r="B62" s="502" t="s">
        <v>68</v>
      </c>
      <c r="C62" s="502"/>
      <c r="D62" s="502"/>
      <c r="E62" s="502"/>
      <c r="F62" s="502"/>
      <c r="G62" s="951" t="s">
        <v>517</v>
      </c>
      <c r="H62" s="951"/>
      <c r="I62" s="951"/>
      <c r="J62" s="7" t="s">
        <v>518</v>
      </c>
      <c r="K62" s="7" t="s">
        <v>519</v>
      </c>
      <c r="L62" s="7" t="s">
        <v>520</v>
      </c>
      <c r="M62" s="502"/>
      <c r="N62" s="502"/>
      <c r="O62" s="502"/>
      <c r="P62" s="502"/>
      <c r="Q62" s="502"/>
      <c r="R62" s="502"/>
      <c r="S62" s="502"/>
      <c r="T62" s="502"/>
      <c r="U62" s="502"/>
      <c r="V62" s="502"/>
      <c r="W62" s="502"/>
      <c r="X62" s="502"/>
      <c r="Y62" s="502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</row>
    <row r="63" customFormat="false" ht="14.15" hidden="false" customHeight="true" outlineLevel="0" collapsed="false">
      <c r="A63" s="502"/>
      <c r="B63" s="502"/>
      <c r="C63" s="502"/>
      <c r="D63" s="502"/>
      <c r="E63" s="502"/>
      <c r="F63" s="502"/>
      <c r="G63" s="7" t="s">
        <v>521</v>
      </c>
      <c r="H63" s="7" t="s">
        <v>522</v>
      </c>
      <c r="I63" s="7" t="s">
        <v>523</v>
      </c>
      <c r="J63" s="7" t="s">
        <v>524</v>
      </c>
      <c r="K63" s="7" t="s">
        <v>525</v>
      </c>
      <c r="L63" s="7" t="s">
        <v>526</v>
      </c>
      <c r="M63" s="502"/>
      <c r="N63" s="502"/>
      <c r="O63" s="502"/>
      <c r="P63" s="502"/>
      <c r="Q63" s="502"/>
      <c r="R63" s="502"/>
      <c r="S63" s="502"/>
      <c r="T63" s="502"/>
      <c r="U63" s="63"/>
      <c r="V63" s="63"/>
      <c r="W63" s="344" t="s">
        <v>338</v>
      </c>
      <c r="X63" s="319"/>
      <c r="Y63" s="319"/>
      <c r="Z63" s="319"/>
      <c r="AA63" s="319"/>
      <c r="AB63" s="319"/>
      <c r="AC63" s="319" t="s">
        <v>338</v>
      </c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</row>
    <row r="64" customFormat="false" ht="14.15" hidden="false" customHeight="true" outlineLevel="0" collapsed="false">
      <c r="A64" s="502"/>
      <c r="B64" s="502"/>
      <c r="C64" s="502"/>
      <c r="D64" s="502"/>
      <c r="E64" s="502"/>
      <c r="F64" s="502"/>
      <c r="G64" s="952" t="n">
        <v>0.13</v>
      </c>
      <c r="H64" s="952" t="n">
        <v>0.8</v>
      </c>
      <c r="I64" s="953" t="n">
        <f aca="false">G64*H64/(G64+H64)</f>
        <v>0.111827956989247</v>
      </c>
      <c r="J64" s="954" t="n">
        <v>0.08</v>
      </c>
      <c r="K64" s="955" t="n">
        <v>0.1</v>
      </c>
      <c r="L64" s="956" t="n">
        <f aca="false">J64/K64</f>
        <v>0.8</v>
      </c>
      <c r="M64" s="502"/>
      <c r="N64" s="502"/>
      <c r="O64" s="502"/>
      <c r="P64" s="502"/>
      <c r="Q64" s="502"/>
      <c r="R64" s="502"/>
      <c r="S64" s="502"/>
      <c r="T64" s="502"/>
      <c r="U64" s="63"/>
      <c r="V64" s="63"/>
      <c r="W64" s="319" t="s">
        <v>230</v>
      </c>
      <c r="X64" s="344" t="s">
        <v>224</v>
      </c>
      <c r="Y64" s="319" t="s">
        <v>527</v>
      </c>
      <c r="Z64" s="319" t="s">
        <v>528</v>
      </c>
      <c r="AA64" s="319" t="s">
        <v>529</v>
      </c>
      <c r="AB64" s="319" t="s">
        <v>530</v>
      </c>
      <c r="AC64" s="319" t="s">
        <v>531</v>
      </c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</row>
    <row r="65" customFormat="false" ht="14.15" hidden="false" customHeight="true" outlineLevel="0" collapsed="false">
      <c r="A65" s="502"/>
      <c r="B65" s="957" t="s">
        <v>532</v>
      </c>
      <c r="C65" s="957"/>
      <c r="D65" s="957"/>
      <c r="E65" s="957"/>
      <c r="F65" s="957"/>
      <c r="G65" s="958" t="s">
        <v>533</v>
      </c>
      <c r="H65" s="891" t="s">
        <v>534</v>
      </c>
      <c r="I65" s="891"/>
      <c r="J65" s="366" t="s">
        <v>535</v>
      </c>
      <c r="K65" s="366"/>
      <c r="L65" s="366"/>
      <c r="M65" s="502"/>
      <c r="N65" s="502"/>
      <c r="O65" s="502"/>
      <c r="P65" s="502"/>
      <c r="Q65" s="502"/>
      <c r="R65" s="502"/>
      <c r="S65" s="502"/>
      <c r="T65" s="502"/>
      <c r="U65" s="63"/>
      <c r="V65" s="63"/>
      <c r="W65" s="319" t="n">
        <v>1</v>
      </c>
      <c r="X65" s="959" t="n">
        <f aca="false">BERGHEAT!AP66</f>
        <v>0.162458609271523</v>
      </c>
      <c r="Y65" s="960" t="n">
        <f aca="false">BERGHEAT!Y66</f>
        <v>-11.7</v>
      </c>
      <c r="Z65" s="961" t="n">
        <f aca="false">IF($B$30-Y65&lt;1,0,$B$30-Y65)</f>
        <v>26.7</v>
      </c>
      <c r="AA65" s="962" t="n">
        <f aca="false">IF($C$30-Y65&lt;1,0,$C$30-Y65)</f>
        <v>32.7</v>
      </c>
      <c r="AB65" s="962" t="n">
        <f aca="false">IF($D$30-Y65&lt;1,0,$D$30-Y65)</f>
        <v>32.7</v>
      </c>
      <c r="AC65" s="962" t="n">
        <f aca="false">IF($E$30-Y65&lt;1,0,$E$30-Y65)</f>
        <v>27.7</v>
      </c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</row>
    <row r="66" customFormat="false" ht="14.15" hidden="false" customHeight="true" outlineLevel="0" collapsed="false">
      <c r="A66" s="502"/>
      <c r="B66" s="957"/>
      <c r="C66" s="957"/>
      <c r="D66" s="957"/>
      <c r="E66" s="957"/>
      <c r="F66" s="957"/>
      <c r="G66" s="958" t="s">
        <v>536</v>
      </c>
      <c r="H66" s="891" t="s">
        <v>537</v>
      </c>
      <c r="I66" s="891"/>
      <c r="J66" s="891" t="s">
        <v>538</v>
      </c>
      <c r="K66" s="891"/>
      <c r="L66" s="891"/>
      <c r="M66" s="502"/>
      <c r="N66" s="502"/>
      <c r="O66" s="502"/>
      <c r="P66" s="502"/>
      <c r="Q66" s="502"/>
      <c r="R66" s="502"/>
      <c r="S66" s="502"/>
      <c r="T66" s="502"/>
      <c r="U66" s="63"/>
      <c r="V66" s="63"/>
      <c r="W66" s="319" t="n">
        <f aca="false">1+W65</f>
        <v>2</v>
      </c>
      <c r="X66" s="959" t="n">
        <f aca="false">BERGHEAT!AP67</f>
        <v>0.14921357615894</v>
      </c>
      <c r="Y66" s="960" t="n">
        <f aca="false">BERGHEAT!Y67</f>
        <v>-11.9</v>
      </c>
      <c r="Z66" s="961" t="n">
        <f aca="false">IF($B$30-Y66&lt;1,0,$B$30-Y66)</f>
        <v>26.9</v>
      </c>
      <c r="AA66" s="962" t="n">
        <f aca="false">IF($C$30-Y66&lt;1,0,$C$30-Y66)</f>
        <v>32.9</v>
      </c>
      <c r="AB66" s="962" t="n">
        <f aca="false">IF($D$30-Y66&lt;1,0,$D$30-Y66)</f>
        <v>32.9</v>
      </c>
      <c r="AC66" s="962" t="n">
        <f aca="false">IF($E$30-Y66&lt;1,0,$E$30-Y66)</f>
        <v>27.9</v>
      </c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</row>
    <row r="67" customFormat="false" ht="14.15" hidden="false" customHeight="true" outlineLevel="0" collapsed="false">
      <c r="A67" s="502"/>
      <c r="B67" s="957"/>
      <c r="C67" s="957"/>
      <c r="D67" s="957"/>
      <c r="E67" s="957"/>
      <c r="F67" s="957"/>
      <c r="G67" s="963" t="s">
        <v>539</v>
      </c>
      <c r="H67" s="964" t="s">
        <v>540</v>
      </c>
      <c r="I67" s="964"/>
      <c r="J67" s="891" t="s">
        <v>541</v>
      </c>
      <c r="K67" s="891"/>
      <c r="L67" s="891"/>
      <c r="M67" s="502"/>
      <c r="N67" s="502"/>
      <c r="O67" s="502"/>
      <c r="P67" s="502"/>
      <c r="Q67" s="502"/>
      <c r="R67" s="502"/>
      <c r="S67" s="502"/>
      <c r="T67" s="502"/>
      <c r="U67" s="63"/>
      <c r="V67" s="63"/>
      <c r="W67" s="319" t="n">
        <f aca="false">1+W66</f>
        <v>3</v>
      </c>
      <c r="X67" s="959" t="n">
        <f aca="false">BERGHEAT!AP68</f>
        <v>0.133692052980132</v>
      </c>
      <c r="Y67" s="960" t="n">
        <f aca="false">BERGHEAT!Y68</f>
        <v>-7.6</v>
      </c>
      <c r="Z67" s="961" t="n">
        <f aca="false">IF($B$30-Y67&lt;1,0,$B$30-Y67)</f>
        <v>22.6</v>
      </c>
      <c r="AA67" s="962" t="n">
        <f aca="false">IF($C$30-Y67&lt;1,0,$C$30-Y67)</f>
        <v>28.6</v>
      </c>
      <c r="AB67" s="962" t="n">
        <f aca="false">IF($D$30-Y67&lt;1,0,$D$30-Y67)</f>
        <v>28.6</v>
      </c>
      <c r="AC67" s="962" t="n">
        <f aca="false">IF($E$30-Y67&lt;1,0,$E$30-Y67)</f>
        <v>23.6</v>
      </c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</row>
    <row r="68" customFormat="false" ht="14.15" hidden="false" customHeight="true" outlineLevel="0" collapsed="false">
      <c r="A68" s="502"/>
      <c r="B68" s="957"/>
      <c r="C68" s="957"/>
      <c r="D68" s="957"/>
      <c r="E68" s="957"/>
      <c r="F68" s="957"/>
      <c r="G68" s="963"/>
      <c r="H68" s="964"/>
      <c r="I68" s="964"/>
      <c r="J68" s="891" t="s">
        <v>542</v>
      </c>
      <c r="K68" s="891"/>
      <c r="L68" s="891"/>
      <c r="M68" s="502"/>
      <c r="N68" s="502"/>
      <c r="O68" s="502"/>
      <c r="P68" s="502"/>
      <c r="Q68" s="502"/>
      <c r="R68" s="502"/>
      <c r="S68" s="502"/>
      <c r="T68" s="502"/>
      <c r="U68" s="63"/>
      <c r="V68" s="63"/>
      <c r="W68" s="319" t="n">
        <f aca="false">1+W67</f>
        <v>4</v>
      </c>
      <c r="X68" s="959" t="n">
        <f aca="false">BERGHEAT!AP69</f>
        <v>0.0910596026490066</v>
      </c>
      <c r="Y68" s="960" t="n">
        <f aca="false">BERGHEAT!Y69</f>
        <v>-0.3</v>
      </c>
      <c r="Z68" s="961" t="n">
        <f aca="false">IF($B$30-Y68&lt;1,0,$B$30-Y68)</f>
        <v>15.3</v>
      </c>
      <c r="AA68" s="962" t="n">
        <f aca="false">IF($C$30-Y68&lt;1,0,$C$30-Y68)</f>
        <v>21.3</v>
      </c>
      <c r="AB68" s="962" t="n">
        <f aca="false">IF($D$30-Y68&lt;1,0,$D$30-Y68)</f>
        <v>21.3</v>
      </c>
      <c r="AC68" s="962" t="n">
        <f aca="false">IF($E$30-Y68&lt;1,0,$E$30-Y68)</f>
        <v>16.3</v>
      </c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</row>
    <row r="69" customFormat="false" ht="14.15" hidden="false" customHeight="true" outlineLevel="0" collapsed="false">
      <c r="A69" s="502"/>
      <c r="B69" s="957"/>
      <c r="C69" s="957"/>
      <c r="D69" s="957"/>
      <c r="E69" s="957"/>
      <c r="F69" s="957"/>
      <c r="G69" s="965" t="n">
        <v>0.04</v>
      </c>
      <c r="H69" s="966" t="n">
        <v>0.12</v>
      </c>
      <c r="I69" s="966"/>
      <c r="J69" s="891" t="s">
        <v>543</v>
      </c>
      <c r="K69" s="891"/>
      <c r="L69" s="891"/>
      <c r="M69" s="502"/>
      <c r="N69" s="502"/>
      <c r="O69" s="502"/>
      <c r="P69" s="502"/>
      <c r="Q69" s="502"/>
      <c r="R69" s="502"/>
      <c r="S69" s="502"/>
      <c r="T69" s="502"/>
      <c r="U69" s="63"/>
      <c r="V69" s="63"/>
      <c r="W69" s="319" t="n">
        <f aca="false">1+W68</f>
        <v>5</v>
      </c>
      <c r="X69" s="959" t="n">
        <f aca="false">BERGHEAT!AP70</f>
        <v>0.0426324503311258</v>
      </c>
      <c r="Y69" s="960" t="n">
        <f aca="false">BERGHEAT!Y70</f>
        <v>7.1</v>
      </c>
      <c r="Z69" s="961" t="n">
        <f aca="false">IF($B$30-Y69&lt;1,0,$B$30-Y69)</f>
        <v>7.9</v>
      </c>
      <c r="AA69" s="962" t="n">
        <f aca="false">IF($C$30-Y69&lt;1,0,$C$30-Y69)</f>
        <v>13.9</v>
      </c>
      <c r="AB69" s="962" t="n">
        <f aca="false">IF($D$30-Y69&lt;1,0,$D$30-Y69)</f>
        <v>13.9</v>
      </c>
      <c r="AC69" s="962" t="n">
        <f aca="false">IF($E$30-Y69&lt;1,0,$E$30-Y69)</f>
        <v>8.9</v>
      </c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</row>
    <row r="70" customFormat="false" ht="14.15" hidden="false" customHeight="true" outlineLevel="0" collapsed="false">
      <c r="A70" s="502"/>
      <c r="B70" s="957"/>
      <c r="C70" s="957"/>
      <c r="D70" s="957"/>
      <c r="E70" s="957"/>
      <c r="F70" s="957"/>
      <c r="G70" s="967" t="s">
        <v>544</v>
      </c>
      <c r="H70" s="968" t="s">
        <v>545</v>
      </c>
      <c r="I70" s="968"/>
      <c r="J70" s="891" t="s">
        <v>546</v>
      </c>
      <c r="K70" s="891"/>
      <c r="L70" s="891"/>
      <c r="M70" s="502"/>
      <c r="N70" s="502"/>
      <c r="O70" s="502"/>
      <c r="P70" s="502"/>
      <c r="Q70" s="502"/>
      <c r="R70" s="502"/>
      <c r="S70" s="502"/>
      <c r="T70" s="502"/>
      <c r="U70" s="63"/>
      <c r="V70" s="63"/>
      <c r="W70" s="319" t="n">
        <f aca="false">1+W69</f>
        <v>6</v>
      </c>
      <c r="X70" s="959" t="n">
        <f aca="false">BERGHEAT!AP71</f>
        <v>0.00827814569536424</v>
      </c>
      <c r="Y70" s="960" t="n">
        <f aca="false">BERGHEAT!Y71</f>
        <v>10.9</v>
      </c>
      <c r="Z70" s="961" t="n">
        <f aca="false">IF($B$30-Y70&lt;1,0,$B$30-Y70)</f>
        <v>4.1</v>
      </c>
      <c r="AA70" s="962" t="n">
        <f aca="false">IF($C$30-Y70&lt;1,0,$C$30-Y70)</f>
        <v>10.1</v>
      </c>
      <c r="AB70" s="962" t="n">
        <f aca="false">IF($D$30-Y70&lt;1,0,$D$30-Y70)</f>
        <v>10.1</v>
      </c>
      <c r="AC70" s="962" t="n">
        <f aca="false">IF($E$30-Y70&lt;1,0,$E$30-Y70)</f>
        <v>5.1</v>
      </c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</row>
    <row r="71" customFormat="false" ht="14.15" hidden="false" customHeight="true" outlineLevel="0" collapsed="false">
      <c r="A71" s="502"/>
      <c r="B71" s="957"/>
      <c r="C71" s="957"/>
      <c r="D71" s="957"/>
      <c r="E71" s="957"/>
      <c r="F71" s="957"/>
      <c r="G71" s="969" t="s">
        <v>547</v>
      </c>
      <c r="H71" s="968" t="s">
        <v>548</v>
      </c>
      <c r="I71" s="968"/>
      <c r="J71" s="891" t="s">
        <v>549</v>
      </c>
      <c r="K71" s="891"/>
      <c r="L71" s="891"/>
      <c r="M71" s="502"/>
      <c r="N71" s="502"/>
      <c r="O71" s="502"/>
      <c r="P71" s="502"/>
      <c r="Q71" s="502"/>
      <c r="R71" s="502"/>
      <c r="S71" s="502"/>
      <c r="T71" s="502"/>
      <c r="U71" s="63"/>
      <c r="V71" s="63"/>
      <c r="W71" s="319" t="n">
        <f aca="false">1+W70</f>
        <v>7</v>
      </c>
      <c r="X71" s="959" t="n">
        <f aca="false">BERGHEAT!AP72</f>
        <v>0.00206953642384106</v>
      </c>
      <c r="Y71" s="960" t="n">
        <f aca="false">BERGHEAT!Y72</f>
        <v>14</v>
      </c>
      <c r="Z71" s="961" t="n">
        <f aca="false">IF($B$30-Y71&lt;1,0,$B$30-Y71)</f>
        <v>1</v>
      </c>
      <c r="AA71" s="962" t="n">
        <f aca="false">IF($C$30-Y71&lt;1,0,$C$30-Y71)</f>
        <v>7</v>
      </c>
      <c r="AB71" s="962" t="n">
        <f aca="false">IF($D$30-Y71&lt;1,0,$D$30-Y71)</f>
        <v>7</v>
      </c>
      <c r="AC71" s="962" t="n">
        <f aca="false">IF($E$30-Y71&lt;1,0,$E$30-Y71)</f>
        <v>2</v>
      </c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</row>
    <row r="72" customFormat="false" ht="14.15" hidden="false" customHeight="true" outlineLevel="0" collapsed="false">
      <c r="A72" s="502"/>
      <c r="B72" s="957"/>
      <c r="C72" s="957"/>
      <c r="D72" s="957"/>
      <c r="E72" s="957"/>
      <c r="F72" s="957"/>
      <c r="G72" s="969" t="s">
        <v>550</v>
      </c>
      <c r="H72" s="968" t="s">
        <v>551</v>
      </c>
      <c r="I72" s="968"/>
      <c r="J72" s="891" t="s">
        <v>552</v>
      </c>
      <c r="K72" s="891"/>
      <c r="L72" s="891"/>
      <c r="M72" s="502"/>
      <c r="N72" s="502"/>
      <c r="O72" s="502"/>
      <c r="P72" s="502"/>
      <c r="Q72" s="502"/>
      <c r="R72" s="502"/>
      <c r="S72" s="502"/>
      <c r="T72" s="502"/>
      <c r="U72" s="63"/>
      <c r="V72" s="63"/>
      <c r="W72" s="319" t="n">
        <f aca="false">1+W71</f>
        <v>8</v>
      </c>
      <c r="X72" s="959" t="n">
        <f aca="false">BERGHEAT!AP73</f>
        <v>0.0115894039735099</v>
      </c>
      <c r="Y72" s="960" t="n">
        <f aca="false">BERGHEAT!Y73</f>
        <v>11.2</v>
      </c>
      <c r="Z72" s="961" t="n">
        <f aca="false">IF($B$30-Y72&lt;1,0,$B$30-Y72)</f>
        <v>3.8</v>
      </c>
      <c r="AA72" s="962" t="n">
        <f aca="false">IF($C$30-Y72&lt;1,0,$C$30-Y72)</f>
        <v>9.8</v>
      </c>
      <c r="AB72" s="962" t="n">
        <f aca="false">IF($D$30-Y72&lt;1,0,$D$30-Y72)</f>
        <v>9.8</v>
      </c>
      <c r="AC72" s="962" t="n">
        <f aca="false">IF($E$30-Y72&lt;1,0,$E$30-Y72)</f>
        <v>4.8</v>
      </c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</row>
    <row r="73" customFormat="false" ht="14.15" hidden="false" customHeight="true" outlineLevel="0" collapsed="false">
      <c r="A73" s="502"/>
      <c r="B73" s="957"/>
      <c r="C73" s="957"/>
      <c r="D73" s="957"/>
      <c r="E73" s="957"/>
      <c r="F73" s="957"/>
      <c r="G73" s="969" t="s">
        <v>553</v>
      </c>
      <c r="H73" s="968" t="s">
        <v>554</v>
      </c>
      <c r="I73" s="968"/>
      <c r="J73" s="891" t="s">
        <v>555</v>
      </c>
      <c r="K73" s="891"/>
      <c r="L73" s="891"/>
      <c r="M73" s="502"/>
      <c r="N73" s="502"/>
      <c r="O73" s="502"/>
      <c r="P73" s="502"/>
      <c r="Q73" s="502"/>
      <c r="R73" s="502"/>
      <c r="S73" s="502"/>
      <c r="T73" s="502"/>
      <c r="U73" s="63"/>
      <c r="V73" s="63"/>
      <c r="W73" s="319" t="n">
        <f aca="false">1+W72</f>
        <v>9</v>
      </c>
      <c r="X73" s="959" t="n">
        <f aca="false">BERGHEAT!AP74</f>
        <v>0.0469784768211921</v>
      </c>
      <c r="Y73" s="960" t="n">
        <f aca="false">BERGHEAT!Y74</f>
        <v>6.4</v>
      </c>
      <c r="Z73" s="961" t="n">
        <f aca="false">IF($B$30-Y73&lt;1,0,$B$30-Y73)</f>
        <v>8.6</v>
      </c>
      <c r="AA73" s="962" t="n">
        <f aca="false">IF($C$30-Y73&lt;1,0,$C$30-Y73)</f>
        <v>14.6</v>
      </c>
      <c r="AB73" s="962" t="n">
        <f aca="false">IF($D$30-Y73&lt;1,0,$D$30-Y73)</f>
        <v>14.6</v>
      </c>
      <c r="AC73" s="962" t="n">
        <f aca="false">IF($E$30-Y73&lt;1,0,$E$30-Y73)</f>
        <v>9.6</v>
      </c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</row>
    <row r="74" customFormat="false" ht="14.15" hidden="false" customHeight="true" outlineLevel="0" collapsed="false">
      <c r="A74" s="502"/>
      <c r="B74" s="957"/>
      <c r="C74" s="957"/>
      <c r="D74" s="957"/>
      <c r="E74" s="957"/>
      <c r="F74" s="957"/>
      <c r="G74" s="969" t="s">
        <v>556</v>
      </c>
      <c r="H74" s="968" t="s">
        <v>557</v>
      </c>
      <c r="I74" s="968"/>
      <c r="J74" s="891" t="s">
        <v>558</v>
      </c>
      <c r="K74" s="891"/>
      <c r="L74" s="891"/>
      <c r="M74" s="502"/>
      <c r="N74" s="502"/>
      <c r="O74" s="502"/>
      <c r="P74" s="502"/>
      <c r="Q74" s="502"/>
      <c r="R74" s="502"/>
      <c r="S74" s="502"/>
      <c r="T74" s="502"/>
      <c r="U74" s="63"/>
      <c r="V74" s="63"/>
      <c r="W74" s="319" t="n">
        <f aca="false">1+W73</f>
        <v>10</v>
      </c>
      <c r="X74" s="959" t="n">
        <f aca="false">BERGHEAT!AP75</f>
        <v>0.0856788079470199</v>
      </c>
      <c r="Y74" s="960" t="n">
        <f aca="false">BERGHEAT!Y75</f>
        <v>0.7</v>
      </c>
      <c r="Z74" s="961" t="n">
        <f aca="false">IF($B$30-Y74&lt;1,0,$B$30-Y74)</f>
        <v>14.3</v>
      </c>
      <c r="AA74" s="962" t="n">
        <f aca="false">IF($C$30-Y74&lt;1,0,$C$30-Y74)</f>
        <v>20.3</v>
      </c>
      <c r="AB74" s="962" t="n">
        <f aca="false">IF($D$30-Y74&lt;1,0,$D$30-Y74)</f>
        <v>20.3</v>
      </c>
      <c r="AC74" s="962" t="n">
        <f aca="false">IF($E$30-Y74&lt;1,0,$E$30-Y74)</f>
        <v>15.3</v>
      </c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</row>
    <row r="75" customFormat="false" ht="14.15" hidden="false" customHeight="true" outlineLevel="0" collapsed="false">
      <c r="A75" s="502"/>
      <c r="B75" s="957"/>
      <c r="C75" s="957"/>
      <c r="D75" s="957"/>
      <c r="E75" s="957"/>
      <c r="F75" s="957"/>
      <c r="G75" s="969" t="s">
        <v>559</v>
      </c>
      <c r="H75" s="968" t="s">
        <v>560</v>
      </c>
      <c r="I75" s="968"/>
      <c r="J75" s="891"/>
      <c r="K75" s="891"/>
      <c r="L75" s="891"/>
      <c r="M75" s="502"/>
      <c r="N75" s="502"/>
      <c r="O75" s="502"/>
      <c r="P75" s="502"/>
      <c r="Q75" s="502"/>
      <c r="R75" s="502"/>
      <c r="S75" s="502"/>
      <c r="T75" s="502"/>
      <c r="U75" s="63"/>
      <c r="V75" s="63"/>
      <c r="W75" s="319" t="n">
        <f aca="false">1+W74</f>
        <v>11</v>
      </c>
      <c r="X75" s="959" t="n">
        <f aca="false">BERGHEAT!AP76</f>
        <v>0.117756622516556</v>
      </c>
      <c r="Y75" s="960" t="n">
        <f aca="false">BERGHEAT!Y76</f>
        <v>-3.1</v>
      </c>
      <c r="Z75" s="961" t="n">
        <f aca="false">IF($B$30-Y75&lt;1,0,$B$30-Y75)</f>
        <v>18.1</v>
      </c>
      <c r="AA75" s="962" t="n">
        <f aca="false">IF($C$30-Y75&lt;1,0,$C$30-Y75)</f>
        <v>24.1</v>
      </c>
      <c r="AB75" s="962" t="n">
        <f aca="false">IF($D$30-Y75&lt;1,0,$D$30-Y75)</f>
        <v>24.1</v>
      </c>
      <c r="AC75" s="962" t="n">
        <f aca="false">IF($E$30-Y75&lt;1,0,$E$30-Y75)</f>
        <v>19.1</v>
      </c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</row>
    <row r="76" customFormat="false" ht="14.15" hidden="false" customHeight="true" outlineLevel="0" collapsed="false">
      <c r="A76" s="502"/>
      <c r="B76" s="957"/>
      <c r="C76" s="957"/>
      <c r="D76" s="957"/>
      <c r="E76" s="957"/>
      <c r="F76" s="957"/>
      <c r="G76" s="969" t="s">
        <v>561</v>
      </c>
      <c r="H76" s="968" t="s">
        <v>562</v>
      </c>
      <c r="I76" s="968"/>
      <c r="J76" s="891"/>
      <c r="K76" s="891"/>
      <c r="L76" s="891"/>
      <c r="M76" s="502"/>
      <c r="N76" s="502"/>
      <c r="O76" s="502"/>
      <c r="P76" s="502"/>
      <c r="Q76" s="502"/>
      <c r="R76" s="502"/>
      <c r="S76" s="502"/>
      <c r="T76" s="502"/>
      <c r="U76" s="63"/>
      <c r="V76" s="63"/>
      <c r="W76" s="319" t="n">
        <f aca="false">1+W75</f>
        <v>12</v>
      </c>
      <c r="X76" s="959" t="n">
        <f aca="false">BERGHEAT!AP77</f>
        <v>0.148592715231788</v>
      </c>
      <c r="Y76" s="960" t="n">
        <f aca="false">BERGHEAT!Y77</f>
        <v>-9.3</v>
      </c>
      <c r="Z76" s="961" t="n">
        <f aca="false">IF($B$30-Y76&lt;1,0,$B$30-Y76)</f>
        <v>24.3</v>
      </c>
      <c r="AA76" s="962" t="n">
        <f aca="false">IF($C$30-Y76&lt;1,0,$C$30-Y76)</f>
        <v>30.3</v>
      </c>
      <c r="AB76" s="962" t="n">
        <f aca="false">IF($D$30-Y76&lt;1,0,$D$30-Y76)</f>
        <v>30.3</v>
      </c>
      <c r="AC76" s="962" t="n">
        <f aca="false">IF($E$30-Y76&lt;1,0,$E$30-Y76)</f>
        <v>25.3</v>
      </c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</row>
    <row r="77" customFormat="false" ht="14.15" hidden="false" customHeight="true" outlineLevel="0" collapsed="false">
      <c r="A77" s="502"/>
      <c r="B77" s="970" t="s">
        <v>563</v>
      </c>
      <c r="C77" s="970"/>
      <c r="D77" s="970"/>
      <c r="E77" s="970"/>
      <c r="F77" s="970"/>
      <c r="G77" s="970"/>
      <c r="H77" s="968" t="s">
        <v>564</v>
      </c>
      <c r="I77" s="968"/>
      <c r="J77" s="891"/>
      <c r="K77" s="891"/>
      <c r="L77" s="891"/>
      <c r="M77" s="502"/>
      <c r="N77" s="502"/>
      <c r="O77" s="502"/>
      <c r="P77" s="502"/>
      <c r="Q77" s="502"/>
      <c r="R77" s="502"/>
      <c r="S77" s="502"/>
      <c r="T77" s="502"/>
      <c r="U77" s="63"/>
      <c r="V77" s="63"/>
      <c r="W77" s="319" t="s">
        <v>565</v>
      </c>
      <c r="X77" s="959" t="n">
        <f aca="false">SUM(X65:X76)</f>
        <v>1</v>
      </c>
      <c r="Y77" s="971" t="n">
        <f aca="false">AVERAGE(Y65:Y76)</f>
        <v>0.533333333333333</v>
      </c>
      <c r="Z77" s="961" t="n">
        <f aca="false">SUM(Z65:Z76)</f>
        <v>173.6</v>
      </c>
      <c r="AA77" s="971" t="n">
        <f aca="false">SUM(AA65:AA76)</f>
        <v>245.6</v>
      </c>
      <c r="AB77" s="971" t="n">
        <f aca="false">SUM(AB65:AB76)</f>
        <v>245.6</v>
      </c>
      <c r="AC77" s="971" t="n">
        <f aca="false">SUM(AC65:AC76)</f>
        <v>185.6</v>
      </c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</row>
    <row r="78" customFormat="false" ht="14.15" hidden="false" customHeight="true" outlineLevel="0" collapsed="false">
      <c r="A78" s="502"/>
      <c r="B78" s="972" t="s">
        <v>566</v>
      </c>
      <c r="C78" s="972" t="s">
        <v>567</v>
      </c>
      <c r="D78" s="972" t="s">
        <v>568</v>
      </c>
      <c r="E78" s="972" t="s">
        <v>569</v>
      </c>
      <c r="F78" s="972" t="s">
        <v>570</v>
      </c>
      <c r="G78" s="410" t="s">
        <v>571</v>
      </c>
      <c r="H78" s="968" t="s">
        <v>572</v>
      </c>
      <c r="I78" s="968"/>
      <c r="J78" s="891"/>
      <c r="K78" s="891"/>
      <c r="L78" s="891"/>
      <c r="M78" s="502"/>
      <c r="N78" s="502"/>
      <c r="O78" s="502"/>
      <c r="P78" s="502"/>
      <c r="Q78" s="502"/>
      <c r="R78" s="502"/>
      <c r="S78" s="502"/>
      <c r="T78" s="502"/>
      <c r="U78" s="63"/>
      <c r="V78" s="63"/>
      <c r="W78" s="344" t="s">
        <v>338</v>
      </c>
      <c r="X78" s="319"/>
      <c r="Y78" s="319"/>
      <c r="Z78" s="319"/>
      <c r="AA78" s="319"/>
      <c r="AB78" s="319"/>
      <c r="AC78" s="319" t="s">
        <v>338</v>
      </c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</row>
    <row r="79" customFormat="false" ht="14.15" hidden="false" customHeight="true" outlineLevel="0" collapsed="false">
      <c r="A79" s="502"/>
      <c r="B79" s="972" t="s">
        <v>573</v>
      </c>
      <c r="C79" s="973" t="n">
        <v>0.21</v>
      </c>
      <c r="D79" s="973" t="n">
        <v>0.24</v>
      </c>
      <c r="E79" s="973" t="n">
        <v>0.18</v>
      </c>
      <c r="F79" s="973" t="n">
        <v>0.17</v>
      </c>
      <c r="G79" s="974" t="n">
        <v>0.08</v>
      </c>
      <c r="H79" s="968" t="s">
        <v>574</v>
      </c>
      <c r="I79" s="968"/>
      <c r="J79" s="891"/>
      <c r="K79" s="891"/>
      <c r="L79" s="891"/>
      <c r="M79" s="502"/>
      <c r="N79" s="502"/>
      <c r="O79" s="502"/>
      <c r="P79" s="502"/>
      <c r="Q79" s="502"/>
      <c r="R79" s="502"/>
      <c r="S79" s="502"/>
      <c r="T79" s="502"/>
      <c r="U79" s="502"/>
      <c r="V79" s="502"/>
      <c r="W79" s="502"/>
      <c r="X79" s="502"/>
      <c r="Y79" s="502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</row>
    <row r="80" customFormat="false" ht="14.15" hidden="false" customHeight="true" outlineLevel="0" collapsed="false">
      <c r="A80" s="502"/>
      <c r="B80" s="972" t="s">
        <v>575</v>
      </c>
      <c r="C80" s="973" t="n">
        <v>0.15</v>
      </c>
      <c r="D80" s="973" t="n">
        <v>0.15</v>
      </c>
      <c r="E80" s="973" t="n">
        <v>0.12</v>
      </c>
      <c r="F80" s="973" t="n">
        <v>0.09</v>
      </c>
      <c r="G80" s="974" t="n">
        <v>0.06</v>
      </c>
      <c r="H80" s="968" t="s">
        <v>576</v>
      </c>
      <c r="I80" s="968"/>
      <c r="J80" s="891"/>
      <c r="K80" s="891"/>
      <c r="L80" s="891"/>
      <c r="M80" s="502"/>
      <c r="N80" s="502"/>
      <c r="O80" s="502"/>
      <c r="P80" s="502"/>
      <c r="Q80" s="502"/>
      <c r="R80" s="502"/>
      <c r="S80" s="502"/>
      <c r="T80" s="502"/>
      <c r="U80" s="502"/>
      <c r="V80" s="502"/>
      <c r="W80" s="502"/>
      <c r="X80" s="502"/>
      <c r="Y80" s="502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</row>
    <row r="81" customFormat="false" ht="14.15" hidden="false" customHeight="true" outlineLevel="0" collapsed="false">
      <c r="A81" s="502"/>
      <c r="B81" s="972" t="s">
        <v>577</v>
      </c>
      <c r="C81" s="973" t="n">
        <v>0.2</v>
      </c>
      <c r="D81" s="973" t="n">
        <v>0.24</v>
      </c>
      <c r="E81" s="973" t="n">
        <v>0.15</v>
      </c>
      <c r="F81" s="973" t="n">
        <v>0.16</v>
      </c>
      <c r="G81" s="974" t="n">
        <v>0.09</v>
      </c>
      <c r="H81" s="968" t="s">
        <v>578</v>
      </c>
      <c r="I81" s="968"/>
      <c r="J81" s="891"/>
      <c r="K81" s="891"/>
      <c r="L81" s="891"/>
      <c r="M81" s="502"/>
      <c r="N81" s="502"/>
      <c r="O81" s="502"/>
      <c r="P81" s="502"/>
      <c r="Q81" s="502"/>
      <c r="R81" s="502"/>
      <c r="S81" s="502"/>
      <c r="T81" s="502"/>
      <c r="U81" s="502"/>
      <c r="V81" s="502"/>
      <c r="W81" s="502"/>
      <c r="X81" s="502"/>
      <c r="Y81" s="502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</row>
    <row r="82" customFormat="false" ht="14.15" hidden="false" customHeight="true" outlineLevel="0" collapsed="false">
      <c r="A82" s="502"/>
      <c r="B82" s="972" t="s">
        <v>579</v>
      </c>
      <c r="C82" s="973" t="n">
        <v>1.5</v>
      </c>
      <c r="D82" s="973" t="n">
        <v>1.4</v>
      </c>
      <c r="E82" s="973" t="n">
        <v>1</v>
      </c>
      <c r="F82" s="973" t="n">
        <v>1</v>
      </c>
      <c r="G82" s="974" t="n">
        <v>0.7</v>
      </c>
      <c r="H82" s="968" t="s">
        <v>580</v>
      </c>
      <c r="I82" s="968"/>
      <c r="J82" s="891"/>
      <c r="K82" s="891"/>
      <c r="L82" s="891"/>
      <c r="M82" s="502"/>
      <c r="N82" s="502"/>
      <c r="O82" s="502"/>
      <c r="P82" s="502"/>
      <c r="Q82" s="502"/>
      <c r="R82" s="502"/>
      <c r="S82" s="502"/>
      <c r="T82" s="502"/>
      <c r="U82" s="502"/>
      <c r="V82" s="502"/>
      <c r="W82" s="502"/>
      <c r="X82" s="502"/>
      <c r="Y82" s="502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</row>
    <row r="83" customFormat="false" ht="14.15" hidden="false" customHeight="true" outlineLevel="0" collapsed="false">
      <c r="A83" s="502"/>
      <c r="B83" s="972" t="s">
        <v>581</v>
      </c>
      <c r="C83" s="973" t="n">
        <v>1.5</v>
      </c>
      <c r="D83" s="973" t="n">
        <v>1.4</v>
      </c>
      <c r="E83" s="973" t="n">
        <v>0.8</v>
      </c>
      <c r="F83" s="973" t="n">
        <v>1</v>
      </c>
      <c r="G83" s="974" t="n">
        <v>0.7</v>
      </c>
      <c r="H83" s="968" t="s">
        <v>582</v>
      </c>
      <c r="I83" s="968"/>
      <c r="J83" s="975"/>
      <c r="K83" s="975"/>
      <c r="L83" s="975"/>
      <c r="M83" s="502"/>
      <c r="N83" s="502"/>
      <c r="O83" s="502"/>
      <c r="P83" s="502"/>
      <c r="Q83" s="502"/>
      <c r="R83" s="502"/>
      <c r="S83" s="502"/>
      <c r="T83" s="502"/>
      <c r="U83" s="502"/>
      <c r="V83" s="606"/>
      <c r="W83" s="502"/>
      <c r="X83" s="502"/>
      <c r="Y83" s="502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</row>
    <row r="84" customFormat="false" ht="14.15" hidden="false" customHeight="true" outlineLevel="0" collapsed="false">
      <c r="A84" s="502"/>
      <c r="B84" s="944"/>
      <c r="C84" s="945"/>
      <c r="D84" s="946"/>
      <c r="E84" s="947"/>
      <c r="F84" s="948"/>
      <c r="G84" s="949"/>
      <c r="H84" s="950"/>
      <c r="I84" s="502"/>
      <c r="J84" s="502"/>
      <c r="K84" s="502"/>
      <c r="L84" s="502"/>
      <c r="M84" s="502"/>
      <c r="N84" s="502"/>
      <c r="O84" s="502"/>
      <c r="P84" s="502"/>
      <c r="Q84" s="502"/>
      <c r="R84" s="502"/>
      <c r="S84" s="502"/>
      <c r="T84" s="502"/>
      <c r="U84" s="502"/>
      <c r="V84" s="502"/>
      <c r="W84" s="502"/>
      <c r="X84" s="502"/>
      <c r="Y84" s="502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</row>
    <row r="85" customFormat="false" ht="14.15" hidden="false" customHeight="true" outlineLevel="0" collapsed="false">
      <c r="A85" s="502"/>
      <c r="B85" s="976" t="s">
        <v>583</v>
      </c>
      <c r="C85" s="976"/>
      <c r="D85" s="976"/>
      <c r="E85" s="976"/>
      <c r="F85" s="976"/>
      <c r="G85" s="976"/>
      <c r="H85" s="976"/>
      <c r="I85" s="976"/>
      <c r="J85" s="976"/>
      <c r="K85" s="976"/>
      <c r="L85" s="976"/>
      <c r="M85" s="977" t="n">
        <f aca="false">M99+M113+M127+M141</f>
        <v>18310.0771738204</v>
      </c>
      <c r="N85" s="978" t="n">
        <f aca="false">(N99+N113+N127+N141)/1000</f>
        <v>6.058289472</v>
      </c>
      <c r="O85" s="502"/>
      <c r="P85" s="502"/>
      <c r="Q85" s="502"/>
      <c r="R85" s="502"/>
      <c r="S85" s="502"/>
      <c r="T85" s="502"/>
      <c r="U85" s="502"/>
      <c r="V85" s="606"/>
      <c r="W85" s="502"/>
      <c r="X85" s="63"/>
      <c r="Y85" s="63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</row>
    <row r="86" customFormat="false" ht="14.15" hidden="false" customHeight="true" outlineLevel="0" collapsed="false">
      <c r="A86" s="502"/>
      <c r="B86" s="976"/>
      <c r="C86" s="976"/>
      <c r="D86" s="976"/>
      <c r="E86" s="976"/>
      <c r="F86" s="976"/>
      <c r="G86" s="976"/>
      <c r="H86" s="976"/>
      <c r="I86" s="976"/>
      <c r="J86" s="976"/>
      <c r="K86" s="976"/>
      <c r="L86" s="976"/>
      <c r="M86" s="977"/>
      <c r="N86" s="978"/>
      <c r="O86" s="502"/>
      <c r="P86" s="502"/>
      <c r="Q86" s="502"/>
      <c r="R86" s="502"/>
      <c r="S86" s="502"/>
      <c r="T86" s="502"/>
      <c r="U86" s="502"/>
      <c r="V86" s="606"/>
      <c r="W86" s="502"/>
      <c r="X86" s="63"/>
      <c r="Y86" s="63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</row>
    <row r="87" customFormat="false" ht="14.15" hidden="false" customHeight="true" outlineLevel="0" collapsed="false">
      <c r="A87" s="502"/>
      <c r="B87" s="410" t="s">
        <v>584</v>
      </c>
      <c r="C87" s="979" t="n">
        <f aca="false">$B$23</f>
        <v>1975</v>
      </c>
      <c r="D87" s="980" t="n">
        <f aca="false">$B$23</f>
        <v>1975</v>
      </c>
      <c r="E87" s="980" t="str">
        <f aca="false">IF($B$21&lt;1,"Rakennus 1 ei valittu!",B22)</f>
        <v>Kellarikerros</v>
      </c>
      <c r="F87" s="980"/>
      <c r="G87" s="981" t="s">
        <v>585</v>
      </c>
      <c r="H87" s="355" t="s">
        <v>586</v>
      </c>
      <c r="I87" s="410" t="s">
        <v>587</v>
      </c>
      <c r="J87" s="982" t="s">
        <v>588</v>
      </c>
      <c r="K87" s="983" t="n">
        <f aca="false">$G$9</f>
        <v>4784.15841584159</v>
      </c>
      <c r="L87" s="981" t="s">
        <v>514</v>
      </c>
      <c r="M87" s="984" t="n">
        <f aca="false">L88/$B$49</f>
        <v>70.1626927748452</v>
      </c>
      <c r="N87" s="985" t="n">
        <f aca="false">1000*M88/$G$9</f>
        <v>5.86625163100941</v>
      </c>
      <c r="O87" s="502"/>
      <c r="P87" s="986" t="s">
        <v>589</v>
      </c>
      <c r="Q87" s="986"/>
      <c r="R87" s="986"/>
      <c r="S87" s="502"/>
      <c r="T87" s="502"/>
      <c r="U87" s="502"/>
      <c r="V87" s="606"/>
      <c r="W87" s="502"/>
      <c r="X87" s="63"/>
      <c r="Y87" s="63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</row>
    <row r="88" customFormat="false" ht="14.15" hidden="false" customHeight="true" outlineLevel="0" collapsed="false">
      <c r="A88" s="502"/>
      <c r="B88" s="987" t="s">
        <v>68</v>
      </c>
      <c r="C88" s="988" t="n">
        <f aca="false">IF($B$21&lt;1,0,1000*I88/$B$46/$G$9)</f>
        <v>8.76610828878177</v>
      </c>
      <c r="D88" s="980"/>
      <c r="E88" s="980"/>
      <c r="F88" s="980"/>
      <c r="G88" s="989" t="n">
        <f aca="false">D89</f>
        <v>61.2156</v>
      </c>
      <c r="H88" s="355" t="s">
        <v>590</v>
      </c>
      <c r="I88" s="990" t="n">
        <f aca="false">0.001*24*365*((D89*I89*$B$41)+(D91*I91*$B$41)+(D93*I93*$B$41)+(D95*I95*$B$41)+(D97*I97*$B$41))</f>
        <v>6418.21856340397</v>
      </c>
      <c r="J88" s="982" t="s">
        <v>68</v>
      </c>
      <c r="K88" s="991" t="n">
        <f aca="false">SUM(K89:K98)</f>
        <v>36.341</v>
      </c>
      <c r="L88" s="992" t="n">
        <f aca="false">IF(B21&lt;1,0,SUM(L89:L98))</f>
        <v>4295.05133582782</v>
      </c>
      <c r="M88" s="993" t="n">
        <f aca="false">L88/$B$46</f>
        <v>28.0650771099381</v>
      </c>
      <c r="N88" s="994" t="str">
        <f aca="false">LOOKUP(N87,Data!$O$100:$P$135)</f>
        <v>Hyvä matalaenergia</v>
      </c>
      <c r="O88" s="502"/>
      <c r="P88" s="995" t="s">
        <v>591</v>
      </c>
      <c r="Q88" s="996" t="s">
        <v>592</v>
      </c>
      <c r="R88" s="996"/>
      <c r="S88" s="502"/>
      <c r="T88" s="502"/>
      <c r="U88" s="502"/>
      <c r="V88" s="606"/>
      <c r="W88" s="502"/>
      <c r="X88" s="63"/>
      <c r="Y88" s="63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</row>
    <row r="89" customFormat="false" ht="14.15" hidden="false" customHeight="true" outlineLevel="0" collapsed="false">
      <c r="A89" s="63"/>
      <c r="B89" s="987" t="s">
        <v>68</v>
      </c>
      <c r="C89" s="997" t="n">
        <f aca="false">$D$89*I89*$B$41*24*365/1000</f>
        <v>1736.38025075921</v>
      </c>
      <c r="D89" s="913" t="n">
        <f aca="false">B49</f>
        <v>61.2156</v>
      </c>
      <c r="E89" s="108" t="s">
        <v>593</v>
      </c>
      <c r="F89" s="108"/>
      <c r="G89" s="998" t="n">
        <v>61.22</v>
      </c>
      <c r="H89" s="999" t="n">
        <f aca="false">IF($B$21&lt;1,0,G89)</f>
        <v>61.22</v>
      </c>
      <c r="I89" s="1000" t="n">
        <f aca="false">VLOOKUP($B$23,Data!$R$101:$W$121,2)</f>
        <v>0.24</v>
      </c>
      <c r="J89" s="1001" t="n">
        <v>0.2</v>
      </c>
      <c r="K89" s="1002" t="n">
        <f aca="false">IF(H89&lt;0.1,"",H89*J89)</f>
        <v>12.244</v>
      </c>
      <c r="L89" s="847" t="n">
        <f aca="false">IF(H89&lt;1,"",24*365*K89*$B$41/1000)</f>
        <v>1447.08754728477</v>
      </c>
      <c r="M89" s="1003" t="n">
        <f aca="false">SUM(L89:L90)</f>
        <v>1447.08754728477</v>
      </c>
      <c r="N89" s="1004" t="n">
        <f aca="false">$B$42*H89*J89</f>
        <v>575.468</v>
      </c>
      <c r="O89" s="63"/>
      <c r="P89" s="1005" t="s">
        <v>594</v>
      </c>
      <c r="Q89" s="1006" t="s">
        <v>595</v>
      </c>
      <c r="R89" s="1006" t="s">
        <v>596</v>
      </c>
      <c r="S89" s="63"/>
      <c r="T89" s="63"/>
      <c r="U89" s="63"/>
      <c r="V89" s="606"/>
      <c r="W89" s="63"/>
      <c r="X89" s="63"/>
      <c r="Y89" s="63"/>
      <c r="Z89" s="63"/>
      <c r="AA89" s="63"/>
      <c r="AB89" s="63"/>
      <c r="AC89" s="63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</row>
    <row r="90" customFormat="false" ht="14.15" hidden="false" customHeight="true" outlineLevel="0" collapsed="false">
      <c r="A90" s="63"/>
      <c r="B90" s="987" t="s">
        <v>68</v>
      </c>
      <c r="C90" s="502" t="s">
        <v>68</v>
      </c>
      <c r="D90" s="913"/>
      <c r="E90" s="108" t="s">
        <v>597</v>
      </c>
      <c r="F90" s="108"/>
      <c r="G90" s="1007" t="n">
        <f aca="false">G88-G89</f>
        <v>-0.00440000000000396</v>
      </c>
      <c r="H90" s="999" t="n">
        <f aca="false">IF($B$21&lt;1,0,G90)</f>
        <v>-0.00440000000000396</v>
      </c>
      <c r="I90" s="1000"/>
      <c r="J90" s="1001" t="n">
        <v>0</v>
      </c>
      <c r="K90" s="1002" t="str">
        <f aca="false">IF(H90&lt;0.1,"",H90*J90)</f>
        <v/>
      </c>
      <c r="L90" s="847" t="str">
        <f aca="false">IF(H90&lt;1,"",24*365*K90*$B$41/1000)</f>
        <v/>
      </c>
      <c r="M90" s="1003"/>
      <c r="N90" s="1004" t="n">
        <f aca="false">$B$42*H90*J90</f>
        <v>-0</v>
      </c>
      <c r="O90" s="63"/>
      <c r="P90" s="1008" t="s">
        <v>598</v>
      </c>
      <c r="Q90" s="1008"/>
      <c r="R90" s="1008"/>
      <c r="S90" s="63"/>
      <c r="T90" s="63"/>
      <c r="U90" s="63"/>
      <c r="V90" s="606"/>
      <c r="W90" s="860"/>
      <c r="X90" s="502"/>
      <c r="Y90" s="502"/>
      <c r="Z90" s="63"/>
      <c r="AA90" s="63"/>
      <c r="AB90" s="63"/>
      <c r="AC90" s="63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</row>
    <row r="91" customFormat="false" ht="14.15" hidden="false" customHeight="true" outlineLevel="0" collapsed="false">
      <c r="A91" s="63"/>
      <c r="B91" s="987" t="s">
        <v>68</v>
      </c>
      <c r="C91" s="997" t="n">
        <f aca="false">$D$91*I91*$B$41*24*365/1000</f>
        <v>1881.07860498914</v>
      </c>
      <c r="D91" s="1009" t="n">
        <f aca="false">D89</f>
        <v>61.2156</v>
      </c>
      <c r="E91" s="1010" t="s">
        <v>599</v>
      </c>
      <c r="F91" s="1010"/>
      <c r="G91" s="998" t="n">
        <v>61.22</v>
      </c>
      <c r="H91" s="1011" t="n">
        <f aca="false">IF($B$21&lt;1,0,G91)</f>
        <v>61.22</v>
      </c>
      <c r="I91" s="1000" t="n">
        <f aca="false">VLOOKUP($B$23,Data!$R$101:$W$121,3)</f>
        <v>0.26</v>
      </c>
      <c r="J91" s="1001" t="n">
        <v>0</v>
      </c>
      <c r="K91" s="1012" t="n">
        <f aca="false">IF(H91&lt;0.1,"",H91*J91)</f>
        <v>0</v>
      </c>
      <c r="L91" s="1013" t="n">
        <f aca="false">IF(H91&lt;1,"",24*365*K91*$B$41/1000)</f>
        <v>0</v>
      </c>
      <c r="M91" s="1014" t="n">
        <f aca="false">SUM(L91:L92)</f>
        <v>0</v>
      </c>
      <c r="N91" s="1015" t="n">
        <f aca="false">$B$42*H91*J91</f>
        <v>0</v>
      </c>
      <c r="O91" s="63"/>
      <c r="P91" s="1016" t="s">
        <v>573</v>
      </c>
      <c r="Q91" s="1017" t="n">
        <v>0.17</v>
      </c>
      <c r="R91" s="1018" t="n">
        <v>0.6</v>
      </c>
      <c r="S91" s="63"/>
      <c r="T91" s="63"/>
      <c r="U91" s="63"/>
      <c r="V91" s="606"/>
      <c r="W91" s="860"/>
      <c r="X91" s="502"/>
      <c r="Y91" s="502"/>
      <c r="Z91" s="63"/>
      <c r="AA91" s="63"/>
      <c r="AB91" s="63"/>
      <c r="AC91" s="63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</row>
    <row r="92" customFormat="false" ht="14.15" hidden="false" customHeight="true" outlineLevel="0" collapsed="false">
      <c r="A92" s="63"/>
      <c r="B92" s="987" t="s">
        <v>68</v>
      </c>
      <c r="C92" s="5" t="s">
        <v>68</v>
      </c>
      <c r="D92" s="1009"/>
      <c r="E92" s="1010" t="s">
        <v>600</v>
      </c>
      <c r="F92" s="1010"/>
      <c r="G92" s="1019" t="n">
        <f aca="false">G88-G91</f>
        <v>-0.00440000000000396</v>
      </c>
      <c r="H92" s="1011" t="n">
        <f aca="false">IF($B$21&lt;1,0,G92)</f>
        <v>-0.00440000000000396</v>
      </c>
      <c r="I92" s="1000"/>
      <c r="J92" s="1001" t="n">
        <v>0</v>
      </c>
      <c r="K92" s="1012" t="str">
        <f aca="false">IF(H92&lt;0.1,"",H92*J92)</f>
        <v/>
      </c>
      <c r="L92" s="1013" t="str">
        <f aca="false">IF(H92&lt;1,"",24*365*K92*$B$41/1000)</f>
        <v/>
      </c>
      <c r="M92" s="1014"/>
      <c r="N92" s="1015" t="n">
        <f aca="false">$B$42*H92*J92</f>
        <v>-0</v>
      </c>
      <c r="O92" s="63"/>
      <c r="P92" s="1020" t="s">
        <v>601</v>
      </c>
      <c r="Q92" s="1021" t="n">
        <v>0.4</v>
      </c>
      <c r="R92" s="1018" t="n">
        <v>0.6</v>
      </c>
      <c r="S92" s="63"/>
      <c r="T92" s="63"/>
      <c r="U92" s="63"/>
      <c r="V92" s="606"/>
      <c r="W92" s="860"/>
      <c r="X92" s="502"/>
      <c r="Y92" s="502"/>
      <c r="Z92" s="63"/>
      <c r="AA92" s="63"/>
      <c r="AB92" s="63"/>
      <c r="AC92" s="63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</row>
    <row r="93" customFormat="false" ht="14.15" hidden="false" customHeight="true" outlineLevel="0" collapsed="false">
      <c r="A93" s="63"/>
      <c r="B93" s="987"/>
      <c r="C93" s="997" t="n">
        <f aca="false">$D$93*I93*$B$41*24*365/1000</f>
        <v>0</v>
      </c>
      <c r="D93" s="1022" t="n">
        <f aca="false">SUM(H93:H94)</f>
        <v>0</v>
      </c>
      <c r="E93" s="108" t="s">
        <v>602</v>
      </c>
      <c r="F93" s="108"/>
      <c r="G93" s="998" t="n">
        <v>0</v>
      </c>
      <c r="H93" s="999" t="n">
        <f aca="false">IF($B$21&lt;1,0,G93)</f>
        <v>0</v>
      </c>
      <c r="I93" s="1000" t="n">
        <f aca="false">VLOOKUP($B$23,Data!$R$101:$W$121,4)</f>
        <v>1.7</v>
      </c>
      <c r="J93" s="1001" t="n">
        <v>0</v>
      </c>
      <c r="K93" s="1002" t="str">
        <f aca="false">IF(H93&lt;0.1,"",H93*J93)</f>
        <v/>
      </c>
      <c r="L93" s="847" t="str">
        <f aca="false">IF(H93&lt;1,"",24*365*K93*$B$41/1000)</f>
        <v/>
      </c>
      <c r="M93" s="1023" t="n">
        <f aca="false">SUM(L93:L94)</f>
        <v>0</v>
      </c>
      <c r="N93" s="1004" t="n">
        <f aca="false">$B$42*H93*J93</f>
        <v>0</v>
      </c>
      <c r="O93" s="63"/>
      <c r="P93" s="1016" t="s">
        <v>575</v>
      </c>
      <c r="Q93" s="1017" t="n">
        <v>0.09</v>
      </c>
      <c r="R93" s="1018" t="n">
        <v>0.6</v>
      </c>
      <c r="S93" s="63"/>
      <c r="T93" s="63"/>
      <c r="U93" s="63"/>
      <c r="V93" s="606"/>
      <c r="W93" s="860"/>
      <c r="X93" s="502"/>
      <c r="Y93" s="502"/>
      <c r="Z93" s="63"/>
      <c r="AA93" s="63"/>
      <c r="AB93" s="63"/>
      <c r="AC93" s="63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</row>
    <row r="94" customFormat="false" ht="14.15" hidden="false" customHeight="true" outlineLevel="0" collapsed="false">
      <c r="A94" s="63"/>
      <c r="B94" s="987"/>
      <c r="C94" s="1024"/>
      <c r="D94" s="1022"/>
      <c r="E94" s="108" t="s">
        <v>603</v>
      </c>
      <c r="F94" s="108"/>
      <c r="G94" s="998" t="n">
        <v>0</v>
      </c>
      <c r="H94" s="999" t="n">
        <f aca="false">IF($B$21&lt;1,0,G94)</f>
        <v>0</v>
      </c>
      <c r="I94" s="1000"/>
      <c r="J94" s="1001" t="n">
        <v>0</v>
      </c>
      <c r="K94" s="1002" t="str">
        <f aca="false">IF(H94&lt;0.1,"",H94*J94)</f>
        <v/>
      </c>
      <c r="L94" s="847" t="str">
        <f aca="false">IF(H94&lt;1,"",24*365*K94*$B$41/1000)</f>
        <v/>
      </c>
      <c r="M94" s="1023"/>
      <c r="N94" s="1004" t="n">
        <f aca="false">$B$42*H94*J94</f>
        <v>0</v>
      </c>
      <c r="O94" s="63"/>
      <c r="P94" s="1016" t="s">
        <v>604</v>
      </c>
      <c r="Q94" s="1017" t="n">
        <v>0.09</v>
      </c>
      <c r="R94" s="1018" t="n">
        <v>0.6</v>
      </c>
      <c r="S94" s="63"/>
      <c r="T94" s="63"/>
      <c r="U94" s="63"/>
      <c r="V94" s="606"/>
      <c r="W94" s="860"/>
      <c r="X94" s="502"/>
      <c r="Y94" s="502"/>
      <c r="Z94" s="63"/>
      <c r="AA94" s="63"/>
      <c r="AB94" s="63"/>
      <c r="AC94" s="63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</row>
    <row r="95" customFormat="false" ht="14.15" hidden="false" customHeight="true" outlineLevel="0" collapsed="false">
      <c r="A95" s="63"/>
      <c r="B95" s="756" t="s">
        <v>605</v>
      </c>
      <c r="C95" s="997" t="n">
        <f aca="false">$D$95*I95*$B$41*24*365/1000</f>
        <v>425.474940397351</v>
      </c>
      <c r="D95" s="1025" t="n">
        <f aca="false">SUM(H95:H96)</f>
        <v>2</v>
      </c>
      <c r="E95" s="1010" t="s">
        <v>606</v>
      </c>
      <c r="F95" s="1010"/>
      <c r="G95" s="998" t="n">
        <v>2</v>
      </c>
      <c r="H95" s="1011" t="n">
        <f aca="false">IF($B$21&lt;1,0,G95)</f>
        <v>2</v>
      </c>
      <c r="I95" s="1000" t="n">
        <f aca="false">VLOOKUP($B$23,Data!$R$101:$W$121,5)</f>
        <v>1.8</v>
      </c>
      <c r="J95" s="1001" t="n">
        <v>2</v>
      </c>
      <c r="K95" s="1012" t="n">
        <f aca="false">IF(H95&lt;0.1,"",H95*J95)</f>
        <v>4</v>
      </c>
      <c r="L95" s="1013" t="n">
        <f aca="false">IF(H95&lt;1,"",24*365*K95*$B$41/1000)</f>
        <v>472.749933774835</v>
      </c>
      <c r="M95" s="1026" t="n">
        <f aca="false">SUM(L95:L96)</f>
        <v>472.749933774835</v>
      </c>
      <c r="N95" s="1015" t="n">
        <f aca="false">$B$42*H95*J95</f>
        <v>188</v>
      </c>
      <c r="O95" s="63"/>
      <c r="P95" s="1016" t="s">
        <v>607</v>
      </c>
      <c r="Q95" s="1017" t="n">
        <v>0.17</v>
      </c>
      <c r="R95" s="1018" t="n">
        <v>0.6</v>
      </c>
      <c r="S95" s="63"/>
      <c r="T95" s="63"/>
      <c r="U95" s="63"/>
      <c r="V95" s="63"/>
      <c r="W95" s="860"/>
      <c r="X95" s="502"/>
      <c r="Y95" s="502"/>
      <c r="Z95" s="63"/>
      <c r="AA95" s="63"/>
      <c r="AB95" s="63"/>
      <c r="AC95" s="63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</row>
    <row r="96" customFormat="false" ht="14.15" hidden="false" customHeight="true" outlineLevel="0" collapsed="false">
      <c r="A96" s="63"/>
      <c r="B96" s="1027" t="n">
        <f aca="false">$B$143*D89</f>
        <v>9.18234</v>
      </c>
      <c r="C96" s="502"/>
      <c r="D96" s="1025"/>
      <c r="E96" s="1010" t="s">
        <v>608</v>
      </c>
      <c r="F96" s="1010"/>
      <c r="G96" s="998" t="n">
        <v>0</v>
      </c>
      <c r="H96" s="1011" t="n">
        <f aca="false">IF($B$21&lt;1,0,G96)</f>
        <v>0</v>
      </c>
      <c r="I96" s="1000"/>
      <c r="J96" s="1001" t="n">
        <v>0</v>
      </c>
      <c r="K96" s="1012" t="str">
        <f aca="false">IF(H96&lt;0.1,"",H96*J96)</f>
        <v/>
      </c>
      <c r="L96" s="1013" t="str">
        <f aca="false">IF(H96&lt;1,"",24*365*K96*$B$41/1000)</f>
        <v/>
      </c>
      <c r="M96" s="1026"/>
      <c r="N96" s="1015" t="n">
        <f aca="false">$B$42*H96*J96</f>
        <v>0</v>
      </c>
      <c r="O96" s="63"/>
      <c r="P96" s="1016" t="s">
        <v>609</v>
      </c>
      <c r="Q96" s="1017" t="n">
        <v>0.16</v>
      </c>
      <c r="R96" s="1018" t="n">
        <v>0.6</v>
      </c>
      <c r="S96" s="63"/>
      <c r="T96" s="63"/>
      <c r="U96" s="63"/>
      <c r="V96" s="63"/>
      <c r="W96" s="860"/>
      <c r="X96" s="502"/>
      <c r="Y96" s="502"/>
      <c r="Z96" s="63"/>
      <c r="AA96" s="63"/>
      <c r="AB96" s="63"/>
      <c r="AC96" s="63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</row>
    <row r="97" customFormat="false" ht="14.15" hidden="false" customHeight="true" outlineLevel="0" collapsed="false">
      <c r="A97" s="63"/>
      <c r="B97" s="987"/>
      <c r="C97" s="997" t="n">
        <f aca="false">$D$97*I97*$B$41*24*365/1000</f>
        <v>2375.28476725828</v>
      </c>
      <c r="D97" s="1022" t="n">
        <f aca="false">$B$50-SUM(G93:G96)</f>
        <v>66.992</v>
      </c>
      <c r="E97" s="108" t="s">
        <v>610</v>
      </c>
      <c r="F97" s="108"/>
      <c r="G97" s="998" t="n">
        <v>66.99</v>
      </c>
      <c r="H97" s="999" t="n">
        <f aca="false">IF($B$21&lt;1,0,G97)</f>
        <v>66.99</v>
      </c>
      <c r="I97" s="1000" t="n">
        <f aca="false">VLOOKUP($B$23,Data!$R$101:$W$121,6)</f>
        <v>0.3</v>
      </c>
      <c r="J97" s="1001" t="n">
        <v>0.3</v>
      </c>
      <c r="K97" s="1002" t="n">
        <f aca="false">IF(H97&lt;0.1,"",H97*J97)</f>
        <v>20.097</v>
      </c>
      <c r="L97" s="847" t="n">
        <f aca="false">IF(H97&lt;1,"",24*365*K97*$B$41/1000)</f>
        <v>2375.21385476821</v>
      </c>
      <c r="M97" s="1003" t="n">
        <f aca="false">SUM(L97:L98)</f>
        <v>2375.21385476821</v>
      </c>
      <c r="N97" s="1004" t="n">
        <f aca="false">$B$42*H97*J97</f>
        <v>944.559</v>
      </c>
      <c r="O97" s="63"/>
      <c r="P97" s="1016" t="s">
        <v>611</v>
      </c>
      <c r="Q97" s="1017" t="n">
        <v>0.16</v>
      </c>
      <c r="R97" s="1018" t="n">
        <v>0.6</v>
      </c>
      <c r="S97" s="63"/>
      <c r="T97" s="63"/>
      <c r="U97" s="63"/>
      <c r="V97" s="63"/>
      <c r="W97" s="860"/>
      <c r="X97" s="502"/>
      <c r="Y97" s="502"/>
      <c r="Z97" s="63"/>
      <c r="AA97" s="63"/>
      <c r="AB97" s="63"/>
      <c r="AC97" s="63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</row>
    <row r="98" customFormat="false" ht="14.15" hidden="false" customHeight="true" outlineLevel="0" collapsed="false">
      <c r="A98" s="63"/>
      <c r="B98" s="410" t="s">
        <v>612</v>
      </c>
      <c r="C98" s="997" t="n">
        <f aca="false">SUM(C89:C97)</f>
        <v>6418.21856340397</v>
      </c>
      <c r="D98" s="1022"/>
      <c r="E98" s="108" t="s">
        <v>613</v>
      </c>
      <c r="F98" s="108"/>
      <c r="G98" s="1007" t="n">
        <f aca="false">D97-G97</f>
        <v>0.00200000000000955</v>
      </c>
      <c r="H98" s="999" t="n">
        <f aca="false">IF($B$21&lt;1,0,G98)</f>
        <v>0.00200000000000955</v>
      </c>
      <c r="I98" s="1000"/>
      <c r="J98" s="1001" t="n">
        <v>0</v>
      </c>
      <c r="K98" s="1002" t="str">
        <f aca="false">IF(H98&lt;0.1,"",H98*J98)</f>
        <v/>
      </c>
      <c r="L98" s="847" t="str">
        <f aca="false">IF(H98&lt;1,"",24*365*K98*$B$41/1000)</f>
        <v/>
      </c>
      <c r="M98" s="1003"/>
      <c r="N98" s="1004" t="n">
        <f aca="false">$B$42*H98*J98</f>
        <v>0</v>
      </c>
      <c r="O98" s="63"/>
      <c r="P98" s="1016" t="s">
        <v>579</v>
      </c>
      <c r="Q98" s="1017" t="n">
        <v>1</v>
      </c>
      <c r="R98" s="1018" t="n">
        <v>1.8</v>
      </c>
      <c r="S98" s="63"/>
      <c r="T98" s="63"/>
      <c r="U98" s="63"/>
      <c r="V98" s="63"/>
      <c r="W98" s="860"/>
      <c r="X98" s="502"/>
      <c r="Y98" s="502"/>
      <c r="Z98" s="63"/>
      <c r="AA98" s="63"/>
      <c r="AB98" s="63"/>
      <c r="AC98" s="63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</row>
    <row r="99" customFormat="false" ht="14.15" hidden="false" customHeight="true" outlineLevel="0" collapsed="false">
      <c r="A99" s="63"/>
      <c r="B99" s="987"/>
      <c r="C99" s="502"/>
      <c r="D99" s="502"/>
      <c r="E99" s="502"/>
      <c r="F99" s="502"/>
      <c r="G99" s="502"/>
      <c r="H99" s="63"/>
      <c r="I99" s="502"/>
      <c r="J99" s="502"/>
      <c r="K99" s="502"/>
      <c r="L99" s="606"/>
      <c r="M99" s="1028" t="n">
        <f aca="false">SUM(M89:M97)</f>
        <v>4295.05133582782</v>
      </c>
      <c r="N99" s="1029" t="n">
        <f aca="false">SUM(N89:N98)</f>
        <v>1708.027</v>
      </c>
      <c r="O99" s="63"/>
      <c r="P99" s="1016" t="s">
        <v>614</v>
      </c>
      <c r="Q99" s="1017" t="n">
        <v>1</v>
      </c>
      <c r="R99" s="1018" t="n">
        <v>1.8</v>
      </c>
      <c r="S99" s="63"/>
      <c r="T99" s="63"/>
      <c r="U99" s="63"/>
      <c r="V99" s="63"/>
      <c r="W99" s="860"/>
      <c r="X99" s="502"/>
      <c r="Y99" s="502"/>
      <c r="Z99" s="63"/>
      <c r="AA99" s="63"/>
      <c r="AB99" s="63"/>
      <c r="AC99" s="63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</row>
    <row r="100" customFormat="false" ht="14.15" hidden="false" customHeight="true" outlineLevel="0" collapsed="false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1016" t="s">
        <v>615</v>
      </c>
      <c r="Q100" s="1017" t="n">
        <v>1</v>
      </c>
      <c r="R100" s="1018" t="n">
        <v>1.8</v>
      </c>
      <c r="S100" s="63"/>
      <c r="T100" s="63"/>
      <c r="U100" s="63"/>
      <c r="V100" s="63"/>
      <c r="W100" s="860"/>
      <c r="X100" s="502"/>
      <c r="Y100" s="502"/>
      <c r="Z100" s="63"/>
      <c r="AA100" s="63"/>
      <c r="AB100" s="63"/>
      <c r="AC100" s="63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</row>
    <row r="101" customFormat="false" ht="14.15" hidden="false" customHeight="true" outlineLevel="0" collapsed="false">
      <c r="A101" s="63"/>
      <c r="B101" s="410" t="s">
        <v>584</v>
      </c>
      <c r="C101" s="1030" t="n">
        <f aca="false">$C$23</f>
        <v>1975</v>
      </c>
      <c r="D101" s="980" t="n">
        <f aca="false">$C$23</f>
        <v>1975</v>
      </c>
      <c r="E101" s="980" t="str">
        <f aca="false">IF($C$21&lt;1,"Rakennus 2 ei valittu!",C22)</f>
        <v>Talo</v>
      </c>
      <c r="F101" s="980"/>
      <c r="G101" s="981" t="s">
        <v>585</v>
      </c>
      <c r="H101" s="565" t="s">
        <v>586</v>
      </c>
      <c r="I101" s="410" t="s">
        <v>587</v>
      </c>
      <c r="J101" s="982" t="s">
        <v>588</v>
      </c>
      <c r="K101" s="983" t="n">
        <f aca="false">$G$9</f>
        <v>4784.15841584159</v>
      </c>
      <c r="L101" s="981" t="s">
        <v>514</v>
      </c>
      <c r="M101" s="984" t="n">
        <f aca="false">L102/$C$49</f>
        <v>124.882611789856</v>
      </c>
      <c r="N101" s="985" t="n">
        <f aca="false">1000*M102/$G$9</f>
        <v>9.00115879108777</v>
      </c>
      <c r="O101" s="63"/>
      <c r="P101" s="1016" t="s">
        <v>616</v>
      </c>
      <c r="Q101" s="1017" t="n">
        <v>1</v>
      </c>
      <c r="R101" s="1018" t="n">
        <v>2</v>
      </c>
      <c r="S101" s="63"/>
      <c r="T101" s="63"/>
      <c r="U101" s="63"/>
      <c r="V101" s="63"/>
      <c r="W101" s="860"/>
      <c r="X101" s="502"/>
      <c r="Y101" s="502"/>
      <c r="Z101" s="63"/>
      <c r="AA101" s="63"/>
      <c r="AB101" s="63"/>
      <c r="AC101" s="63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</row>
    <row r="102" customFormat="false" ht="14.15" hidden="false" customHeight="true" outlineLevel="0" collapsed="false">
      <c r="A102" s="63"/>
      <c r="B102" s="1031" t="n">
        <f aca="false">($L102+$L197)*BERGHEAT!N133</f>
        <v>-278398.544751045</v>
      </c>
      <c r="C102" s="1032" t="n">
        <f aca="false">IF($C$21&lt;1,0,1000*I102/$C$46/$G$9)</f>
        <v>14.0084186145135</v>
      </c>
      <c r="D102" s="980"/>
      <c r="E102" s="980"/>
      <c r="F102" s="980"/>
      <c r="G102" s="989" t="n">
        <f aca="false">D103</f>
        <v>65.0364</v>
      </c>
      <c r="H102" s="565" t="s">
        <v>590</v>
      </c>
      <c r="I102" s="990" t="n">
        <f aca="false">0.001*24*365*((D103*I103*$C$41)+(D105*I105*$C$41)+(D107*I107*$C$41)+(D109*I109*$C$41)+(D111*I111*$C$41))</f>
        <v>12640.0605548742</v>
      </c>
      <c r="J102" s="982"/>
      <c r="K102" s="991" t="n">
        <f aca="false">SUM(K103:K112)</f>
        <v>47.566824</v>
      </c>
      <c r="L102" s="992" t="n">
        <f aca="false">IF(C21&lt;1,0,SUM(L103:L112))</f>
        <v>8121.9154934098</v>
      </c>
      <c r="M102" s="993" t="n">
        <f aca="false">L102/$C$46</f>
        <v>43.062969582709</v>
      </c>
      <c r="N102" s="994" t="str">
        <f aca="false">LOOKUP(N101,Data!$O$100:$P$135)</f>
        <v>Tyypillinen 2002</v>
      </c>
      <c r="O102" s="63"/>
      <c r="P102" s="1008" t="s">
        <v>617</v>
      </c>
      <c r="Q102" s="1008"/>
      <c r="R102" s="1008"/>
      <c r="S102" s="63"/>
      <c r="T102" s="63"/>
      <c r="U102" s="63"/>
      <c r="V102" s="63"/>
      <c r="W102" s="860"/>
      <c r="X102" s="502"/>
      <c r="Y102" s="502"/>
      <c r="Z102" s="63"/>
      <c r="AA102" s="63"/>
      <c r="AB102" s="63"/>
      <c r="AC102" s="63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</row>
    <row r="103" customFormat="false" ht="14.15" hidden="false" customHeight="true" outlineLevel="0" collapsed="false">
      <c r="A103" s="63"/>
      <c r="B103" s="987"/>
      <c r="C103" s="997" t="n">
        <f aca="false">$D$103*I103*$C$41*24*365/1000</f>
        <v>2665.15239173722</v>
      </c>
      <c r="D103" s="913" t="n">
        <f aca="false">C49</f>
        <v>65.0364</v>
      </c>
      <c r="E103" s="108" t="s">
        <v>593</v>
      </c>
      <c r="F103" s="108"/>
      <c r="G103" s="998" t="n">
        <v>65.04</v>
      </c>
      <c r="H103" s="999" t="n">
        <f aca="false">IF($C$21&lt;1,0,G103)</f>
        <v>65.04</v>
      </c>
      <c r="I103" s="1000" t="n">
        <f aca="false">VLOOKUP($C$23,Data!$R$101:$W$121,2)</f>
        <v>0.24</v>
      </c>
      <c r="J103" s="1001" t="n">
        <v>0.05</v>
      </c>
      <c r="K103" s="1002" t="n">
        <f aca="false">IF(H103&lt;0.1,"",H103*J103)</f>
        <v>3.252</v>
      </c>
      <c r="L103" s="847" t="n">
        <f aca="false">IF(H103&lt;1,"",24*365*K103*$C$41/1000)</f>
        <v>555.27081615894</v>
      </c>
      <c r="M103" s="1003" t="n">
        <f aca="false">SUM(L103:L104)</f>
        <v>555.27081615894</v>
      </c>
      <c r="N103" s="1004" t="n">
        <f aca="false">$C$42*H103*J103</f>
        <v>172.356</v>
      </c>
      <c r="O103" s="63"/>
      <c r="P103" s="1016" t="s">
        <v>573</v>
      </c>
      <c r="Q103" s="1017" t="n">
        <v>0.26</v>
      </c>
      <c r="R103" s="1018" t="n">
        <v>0.6</v>
      </c>
      <c r="S103" s="63"/>
      <c r="T103" s="63"/>
      <c r="U103" s="63"/>
      <c r="V103" s="63"/>
      <c r="W103" s="860"/>
      <c r="X103" s="502"/>
      <c r="Y103" s="502"/>
      <c r="Z103" s="63"/>
      <c r="AA103" s="63"/>
      <c r="AB103" s="63"/>
      <c r="AC103" s="63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</row>
    <row r="104" customFormat="false" ht="14.15" hidden="false" customHeight="true" outlineLevel="0" collapsed="false">
      <c r="A104" s="63"/>
      <c r="B104" s="987"/>
      <c r="C104" s="502"/>
      <c r="D104" s="913"/>
      <c r="E104" s="108" t="s">
        <v>597</v>
      </c>
      <c r="F104" s="108"/>
      <c r="G104" s="1007" t="n">
        <f aca="false">G102-G103</f>
        <v>-0.00360000000000582</v>
      </c>
      <c r="H104" s="999" t="n">
        <f aca="false">IF($C$21&lt;1,0,G104)</f>
        <v>-0.00360000000000582</v>
      </c>
      <c r="I104" s="1000"/>
      <c r="J104" s="1001" t="n">
        <v>0</v>
      </c>
      <c r="K104" s="1002" t="str">
        <f aca="false">IF(H104&lt;0.1,"",H104*J104)</f>
        <v/>
      </c>
      <c r="L104" s="847" t="str">
        <f aca="false">IF(H104&lt;1,"",24*365*K104*$C$41/1000)</f>
        <v/>
      </c>
      <c r="M104" s="1003"/>
      <c r="N104" s="1004" t="n">
        <f aca="false">$C$42*H104*J104</f>
        <v>-0</v>
      </c>
      <c r="O104" s="63"/>
      <c r="P104" s="1020" t="s">
        <v>601</v>
      </c>
      <c r="Q104" s="1021" t="n">
        <v>0.6</v>
      </c>
      <c r="R104" s="1018" t="n">
        <v>0.6</v>
      </c>
      <c r="S104" s="63"/>
      <c r="T104" s="63"/>
      <c r="U104" s="63"/>
      <c r="V104" s="63"/>
      <c r="W104" s="860"/>
      <c r="X104" s="502"/>
      <c r="Y104" s="502"/>
      <c r="Z104" s="63"/>
      <c r="AA104" s="63"/>
      <c r="AB104" s="63"/>
      <c r="AC104" s="63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</row>
    <row r="105" customFormat="false" ht="14.15" hidden="false" customHeight="true" outlineLevel="0" collapsed="false">
      <c r="A105" s="63"/>
      <c r="B105" s="987"/>
      <c r="C105" s="997" t="n">
        <f aca="false">$D$105*I105*$C$41*24*365/1000</f>
        <v>2887.24842438199</v>
      </c>
      <c r="D105" s="1009" t="n">
        <f aca="false">D103</f>
        <v>65.0364</v>
      </c>
      <c r="E105" s="1010" t="s">
        <v>599</v>
      </c>
      <c r="F105" s="1010"/>
      <c r="G105" s="998" t="n">
        <v>35</v>
      </c>
      <c r="H105" s="1011" t="n">
        <f aca="false">IF($C$21&lt;1,0,G105)</f>
        <v>35</v>
      </c>
      <c r="I105" s="1000" t="n">
        <f aca="false">VLOOKUP($C$23,Data!$R$101:$W$121,3)</f>
        <v>0.26</v>
      </c>
      <c r="J105" s="1001" t="n">
        <v>0</v>
      </c>
      <c r="K105" s="1012" t="n">
        <f aca="false">IF(H105&lt;0.1,"",H105*J105)</f>
        <v>0</v>
      </c>
      <c r="L105" s="1013" t="n">
        <f aca="false">IF(H105&lt;1,"",24*365*K105*$C$41/1000)</f>
        <v>0</v>
      </c>
      <c r="M105" s="1014" t="n">
        <f aca="false">SUM(L105:L106)</f>
        <v>820.582353873377</v>
      </c>
      <c r="N105" s="1015" t="n">
        <f aca="false">$C$42*H105*J105</f>
        <v>0</v>
      </c>
      <c r="O105" s="63"/>
      <c r="P105" s="1016" t="s">
        <v>575</v>
      </c>
      <c r="Q105" s="1017" t="n">
        <v>0.14</v>
      </c>
      <c r="R105" s="1018" t="n">
        <v>0.6</v>
      </c>
      <c r="S105" s="63"/>
      <c r="T105" s="63"/>
      <c r="U105" s="63"/>
      <c r="V105" s="63"/>
      <c r="W105" s="860"/>
      <c r="X105" s="502"/>
      <c r="Y105" s="5"/>
      <c r="Z105" s="63"/>
      <c r="AA105" s="63"/>
      <c r="AB105" s="63"/>
      <c r="AC105" s="63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</row>
    <row r="106" customFormat="false" ht="14.15" hidden="false" customHeight="true" outlineLevel="0" collapsed="false">
      <c r="A106" s="63"/>
      <c r="B106" s="987"/>
      <c r="C106" s="502"/>
      <c r="D106" s="1009"/>
      <c r="E106" s="1010" t="s">
        <v>600</v>
      </c>
      <c r="F106" s="1010"/>
      <c r="G106" s="1019" t="n">
        <f aca="false">G102-G105</f>
        <v>30.0364</v>
      </c>
      <c r="H106" s="1011" t="n">
        <f aca="false">IF($C$21&lt;1,0,G106)</f>
        <v>30.0364</v>
      </c>
      <c r="I106" s="1000"/>
      <c r="J106" s="1001" t="n">
        <v>0.16</v>
      </c>
      <c r="K106" s="1012" t="n">
        <f aca="false">IF(H106&lt;0.1,"",H106*J106)</f>
        <v>4.805824</v>
      </c>
      <c r="L106" s="1013" t="n">
        <f aca="false">IF(H106&lt;1,"",24*365*K106*$C$41/1000)</f>
        <v>820.582353873377</v>
      </c>
      <c r="M106" s="1014"/>
      <c r="N106" s="1015" t="n">
        <f aca="false">$C$42*H106*J106</f>
        <v>254.708672</v>
      </c>
      <c r="O106" s="63"/>
      <c r="P106" s="1016" t="s">
        <v>604</v>
      </c>
      <c r="Q106" s="1017" t="n">
        <v>0.14</v>
      </c>
      <c r="R106" s="1018" t="n">
        <v>0.6</v>
      </c>
      <c r="S106" s="63"/>
      <c r="T106" s="63"/>
      <c r="U106" s="63"/>
      <c r="V106" s="63"/>
      <c r="W106" s="860"/>
      <c r="X106" s="502"/>
      <c r="Y106" s="5"/>
      <c r="Z106" s="63"/>
      <c r="AA106" s="63"/>
      <c r="AB106" s="63"/>
      <c r="AC106" s="63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</row>
    <row r="107" customFormat="false" ht="14.15" hidden="false" customHeight="true" outlineLevel="0" collapsed="false">
      <c r="A107" s="63"/>
      <c r="B107" s="987"/>
      <c r="C107" s="997" t="n">
        <f aca="false">$D$107*I107*$C$41*24*365/1000</f>
        <v>580.541443708609</v>
      </c>
      <c r="D107" s="1022" t="n">
        <f aca="false">SUM(H107:H108)</f>
        <v>2</v>
      </c>
      <c r="E107" s="108" t="s">
        <v>602</v>
      </c>
      <c r="F107" s="108"/>
      <c r="G107" s="998" t="n">
        <v>2</v>
      </c>
      <c r="H107" s="999" t="n">
        <f aca="false">IF($C$21&lt;1,0,G107)</f>
        <v>2</v>
      </c>
      <c r="I107" s="1000" t="n">
        <f aca="false">VLOOKUP($C$23,Data!$R$101:$W$121,4)</f>
        <v>1.7</v>
      </c>
      <c r="J107" s="1001" t="n">
        <v>1.6</v>
      </c>
      <c r="K107" s="1002" t="n">
        <f aca="false">IF(H107&lt;0.1,"",H107*J107)</f>
        <v>3.2</v>
      </c>
      <c r="L107" s="847" t="n">
        <f aca="false">IF(H107&lt;1,"",24*365*K107*$C$41/1000)</f>
        <v>546.391947019868</v>
      </c>
      <c r="M107" s="1023" t="n">
        <f aca="false">SUM(L107:L108)</f>
        <v>546.391947019868</v>
      </c>
      <c r="N107" s="1004" t="n">
        <f aca="false">$C$42*H107*J107</f>
        <v>169.6</v>
      </c>
      <c r="O107" s="63"/>
      <c r="P107" s="1016" t="s">
        <v>607</v>
      </c>
      <c r="Q107" s="1017" t="n">
        <v>0.26</v>
      </c>
      <c r="R107" s="1018" t="n">
        <v>0.6</v>
      </c>
      <c r="S107" s="63"/>
      <c r="T107" s="63"/>
      <c r="U107" s="63"/>
      <c r="V107" s="63"/>
      <c r="W107" s="860"/>
      <c r="X107" s="502"/>
      <c r="Y107" s="5"/>
      <c r="Z107" s="63"/>
      <c r="AA107" s="63"/>
      <c r="AB107" s="63"/>
      <c r="AC107" s="63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</row>
    <row r="108" customFormat="false" ht="14.15" hidden="false" customHeight="true" outlineLevel="0" collapsed="false">
      <c r="A108" s="63"/>
      <c r="B108" s="987"/>
      <c r="C108" s="502"/>
      <c r="D108" s="1022"/>
      <c r="E108" s="108" t="s">
        <v>603</v>
      </c>
      <c r="F108" s="108"/>
      <c r="G108" s="998" t="n">
        <v>0</v>
      </c>
      <c r="H108" s="999" t="n">
        <f aca="false">IF($C$21&lt;1,0,G108)</f>
        <v>0</v>
      </c>
      <c r="I108" s="1000"/>
      <c r="J108" s="1001" t="n">
        <v>0</v>
      </c>
      <c r="K108" s="1002" t="str">
        <f aca="false">IF(H108&lt;0.1,"",H108*J108)</f>
        <v/>
      </c>
      <c r="L108" s="847" t="str">
        <f aca="false">IF(H108&lt;1,"",24*365*K108*$C$41/1000)</f>
        <v/>
      </c>
      <c r="M108" s="1023"/>
      <c r="N108" s="1004" t="n">
        <f aca="false">$C$42*H108*J108</f>
        <v>0</v>
      </c>
      <c r="O108" s="63"/>
      <c r="P108" s="1016" t="s">
        <v>609</v>
      </c>
      <c r="Q108" s="1017" t="n">
        <v>0.24</v>
      </c>
      <c r="R108" s="1018" t="n">
        <v>0.6</v>
      </c>
      <c r="S108" s="63"/>
      <c r="T108" s="63"/>
      <c r="U108" s="63"/>
      <c r="V108" s="63"/>
      <c r="W108" s="860"/>
      <c r="X108" s="502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</row>
    <row r="109" customFormat="false" ht="14.15" hidden="false" customHeight="true" outlineLevel="0" collapsed="false">
      <c r="A109" s="63"/>
      <c r="B109" s="756" t="s">
        <v>605</v>
      </c>
      <c r="C109" s="997" t="n">
        <f aca="false">$D$109*I109*$C$41*24*365/1000</f>
        <v>2766.10923178808</v>
      </c>
      <c r="D109" s="1025" t="n">
        <f aca="false">SUM(H109:H110)</f>
        <v>9</v>
      </c>
      <c r="E109" s="1010" t="s">
        <v>606</v>
      </c>
      <c r="F109" s="1010"/>
      <c r="G109" s="998" t="n">
        <v>9</v>
      </c>
      <c r="H109" s="1011" t="n">
        <f aca="false">IF($C$21&lt;1,0,G109)</f>
        <v>9</v>
      </c>
      <c r="I109" s="1000" t="n">
        <f aca="false">VLOOKUP($C$23,Data!$R$101:$W$121,5)</f>
        <v>1.8</v>
      </c>
      <c r="J109" s="1001" t="n">
        <v>1.6</v>
      </c>
      <c r="K109" s="1012" t="n">
        <f aca="false">IF(H109&lt;0.1,"",H109*J109)</f>
        <v>14.4</v>
      </c>
      <c r="L109" s="1013" t="n">
        <f aca="false">IF(H109&lt;1,"",24*365*K109*$C$41/1000)</f>
        <v>2458.7637615894</v>
      </c>
      <c r="M109" s="1026" t="n">
        <f aca="false">SUM(L109:L110)</f>
        <v>2458.7637615894</v>
      </c>
      <c r="N109" s="1015" t="n">
        <f aca="false">$C$42*H109*J109</f>
        <v>763.2</v>
      </c>
      <c r="O109" s="63"/>
      <c r="P109" s="1016" t="s">
        <v>611</v>
      </c>
      <c r="Q109" s="1017" t="n">
        <v>0.24</v>
      </c>
      <c r="R109" s="1018" t="n">
        <v>0.6</v>
      </c>
      <c r="S109" s="63"/>
      <c r="T109" s="63"/>
      <c r="U109" s="63"/>
      <c r="V109" s="63"/>
      <c r="W109" s="860"/>
      <c r="X109" s="502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</row>
    <row r="110" customFormat="false" ht="14.15" hidden="false" customHeight="true" outlineLevel="0" collapsed="false">
      <c r="A110" s="63"/>
      <c r="B110" s="1027" t="n">
        <f aca="false">$B$143*D103</f>
        <v>9.75546</v>
      </c>
      <c r="C110" s="502"/>
      <c r="D110" s="1025"/>
      <c r="E110" s="1010" t="s">
        <v>608</v>
      </c>
      <c r="F110" s="1010"/>
      <c r="G110" s="998" t="n">
        <v>0</v>
      </c>
      <c r="H110" s="1011" t="n">
        <f aca="false">IF($C$21&lt;1,0,G110)</f>
        <v>0</v>
      </c>
      <c r="I110" s="1000"/>
      <c r="J110" s="1001" t="n">
        <v>0</v>
      </c>
      <c r="K110" s="1012" t="str">
        <f aca="false">IF(H110&lt;0.1,"",H110*J110)</f>
        <v/>
      </c>
      <c r="L110" s="1013" t="str">
        <f aca="false">IF(H110&lt;1,"",24*365*K110*$C$41/1000)</f>
        <v/>
      </c>
      <c r="M110" s="1026"/>
      <c r="N110" s="1015" t="n">
        <f aca="false">$C$42*H110*J110</f>
        <v>0</v>
      </c>
      <c r="O110" s="63"/>
      <c r="P110" s="1016" t="s">
        <v>579</v>
      </c>
      <c r="Q110" s="1017" t="n">
        <v>1.4</v>
      </c>
      <c r="R110" s="1018" t="n">
        <v>2.8</v>
      </c>
      <c r="S110" s="63"/>
      <c r="T110" s="63"/>
      <c r="U110" s="63"/>
      <c r="V110" s="63"/>
      <c r="W110" s="860"/>
      <c r="X110" s="8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</row>
    <row r="111" customFormat="false" ht="14.15" hidden="false" customHeight="true" outlineLevel="0" collapsed="false">
      <c r="A111" s="63"/>
      <c r="B111" s="987"/>
      <c r="C111" s="997" t="n">
        <f aca="false">$D$111*I111*$C$41*24*365/1000</f>
        <v>3741.00906325828</v>
      </c>
      <c r="D111" s="1022" t="n">
        <f aca="false">$C$50-SUM(G107:G110)</f>
        <v>73.032</v>
      </c>
      <c r="E111" s="108" t="s">
        <v>610</v>
      </c>
      <c r="F111" s="108"/>
      <c r="G111" s="998" t="n">
        <v>73.03</v>
      </c>
      <c r="H111" s="999" t="n">
        <f aca="false">IF($C$21&lt;1,0,G111)</f>
        <v>73.03</v>
      </c>
      <c r="I111" s="1000" t="n">
        <f aca="false">VLOOKUP($C$23,Data!$R$101:$W$121,6)</f>
        <v>0.3</v>
      </c>
      <c r="J111" s="1001" t="n">
        <v>0.3</v>
      </c>
      <c r="K111" s="1002" t="n">
        <f aca="false">IF(H111&lt;0.1,"",H111*J111)</f>
        <v>21.909</v>
      </c>
      <c r="L111" s="847" t="n">
        <f aca="false">IF(H111&lt;1,"",24*365*K111*$C$41/1000)</f>
        <v>3740.90661476821</v>
      </c>
      <c r="M111" s="1003" t="n">
        <f aca="false">SUM(L111:L112)</f>
        <v>3740.90661476821</v>
      </c>
      <c r="N111" s="1004" t="n">
        <f aca="false">$C$42*H111*J111</f>
        <v>1161.177</v>
      </c>
      <c r="O111" s="63"/>
      <c r="P111" s="1016" t="s">
        <v>614</v>
      </c>
      <c r="Q111" s="1017" t="n">
        <v>1.4</v>
      </c>
      <c r="R111" s="1018" t="n">
        <v>2.8</v>
      </c>
      <c r="S111" s="63"/>
      <c r="T111" s="63"/>
      <c r="U111" s="63"/>
      <c r="V111" s="63"/>
      <c r="W111" s="860"/>
      <c r="X111" s="8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</row>
    <row r="112" customFormat="false" ht="14.15" hidden="false" customHeight="true" outlineLevel="0" collapsed="false">
      <c r="A112" s="63"/>
      <c r="B112" s="410" t="s">
        <v>612</v>
      </c>
      <c r="C112" s="997" t="n">
        <f aca="false">SUM(C103:C111)</f>
        <v>12640.0605548742</v>
      </c>
      <c r="D112" s="1022"/>
      <c r="E112" s="108" t="s">
        <v>613</v>
      </c>
      <c r="F112" s="108"/>
      <c r="G112" s="1007" t="n">
        <f aca="false">D111-G111</f>
        <v>0.00200000000000955</v>
      </c>
      <c r="H112" s="999" t="n">
        <f aca="false">IF($C$21&lt;1,0,G112)</f>
        <v>0.00200000000000955</v>
      </c>
      <c r="I112" s="1000"/>
      <c r="J112" s="1001" t="n">
        <v>0</v>
      </c>
      <c r="K112" s="1002" t="str">
        <f aca="false">IF(H112&lt;0.1,"",H112*J112)</f>
        <v/>
      </c>
      <c r="L112" s="14" t="str">
        <f aca="false">IF(H112&lt;1,"",24*365*K112*$C$41/1000)</f>
        <v/>
      </c>
      <c r="M112" s="1003"/>
      <c r="N112" s="1004" t="n">
        <f aca="false">$C$42*H112*J112</f>
        <v>0</v>
      </c>
      <c r="O112" s="63"/>
      <c r="P112" s="1016" t="s">
        <v>615</v>
      </c>
      <c r="Q112" s="1017" t="n">
        <v>1.4</v>
      </c>
      <c r="R112" s="1018" t="n">
        <v>2.8</v>
      </c>
      <c r="S112" s="63"/>
      <c r="T112" s="63"/>
      <c r="U112" s="63"/>
      <c r="V112" s="63"/>
      <c r="W112" s="860"/>
      <c r="X112" s="8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</row>
    <row r="113" customFormat="false" ht="14.15" hidden="false" customHeight="true" outlineLevel="0" collapsed="false">
      <c r="A113" s="63"/>
      <c r="B113" s="987"/>
      <c r="C113" s="502"/>
      <c r="D113" s="502"/>
      <c r="E113" s="502"/>
      <c r="F113" s="502"/>
      <c r="G113" s="502"/>
      <c r="H113" s="63"/>
      <c r="I113" s="502"/>
      <c r="J113" s="502"/>
      <c r="K113" s="502"/>
      <c r="L113" s="606"/>
      <c r="M113" s="1028" t="n">
        <f aca="false">SUM(M103:M111)</f>
        <v>8121.9154934098</v>
      </c>
      <c r="N113" s="1029" t="n">
        <f aca="false">SUM(N103:N112)</f>
        <v>2521.041672</v>
      </c>
      <c r="O113" s="63"/>
      <c r="P113" s="1016" t="s">
        <v>616</v>
      </c>
      <c r="Q113" s="1017" t="n">
        <v>1.4</v>
      </c>
      <c r="R113" s="1018" t="n">
        <v>2.8</v>
      </c>
      <c r="S113" s="63"/>
      <c r="T113" s="63"/>
      <c r="U113" s="63"/>
      <c r="V113" s="63"/>
      <c r="W113" s="1033"/>
      <c r="X113" s="8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</row>
    <row r="114" customFormat="false" ht="14.15" hidden="false" customHeight="true" outlineLevel="0" collapsed="false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1034"/>
      <c r="Q114" s="1034"/>
      <c r="R114" s="1034"/>
      <c r="S114" s="63"/>
      <c r="T114" s="63"/>
      <c r="U114" s="63"/>
      <c r="V114" s="63"/>
      <c r="W114" s="1033"/>
      <c r="X114" s="8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</row>
    <row r="115" customFormat="false" ht="14.15" hidden="false" customHeight="true" outlineLevel="0" collapsed="false">
      <c r="A115" s="63"/>
      <c r="B115" s="410" t="s">
        <v>584</v>
      </c>
      <c r="C115" s="1030" t="n">
        <f aca="false">$D$23</f>
        <v>1975</v>
      </c>
      <c r="D115" s="980" t="n">
        <f aca="false">$D$23</f>
        <v>1975</v>
      </c>
      <c r="E115" s="980" t="str">
        <f aca="false">IF($D$21&lt;1,"Rakennus 3 ei valittu!",D22)</f>
        <v>Talon yläkerta</v>
      </c>
      <c r="F115" s="980"/>
      <c r="G115" s="981" t="s">
        <v>585</v>
      </c>
      <c r="H115" s="565" t="s">
        <v>586</v>
      </c>
      <c r="I115" s="410" t="s">
        <v>587</v>
      </c>
      <c r="J115" s="982" t="s">
        <v>588</v>
      </c>
      <c r="K115" s="983" t="n">
        <f aca="false">$G$9</f>
        <v>4784.15841584159</v>
      </c>
      <c r="L115" s="981" t="s">
        <v>514</v>
      </c>
      <c r="M115" s="984" t="n">
        <f aca="false">L116/$D$49</f>
        <v>168.343798407799</v>
      </c>
      <c r="N115" s="985" t="n">
        <f aca="false">1000*M116/$G$9</f>
        <v>15.9944344890011</v>
      </c>
      <c r="O115" s="63"/>
      <c r="P115" s="1008" t="s">
        <v>618</v>
      </c>
      <c r="Q115" s="1008"/>
      <c r="R115" s="1008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</row>
    <row r="116" customFormat="false" ht="14.15" hidden="false" customHeight="true" outlineLevel="0" collapsed="false">
      <c r="A116" s="63"/>
      <c r="B116" s="987"/>
      <c r="C116" s="1032" t="n">
        <f aca="false">IF($D$21&lt;1,0,1000*I116/$D$46/$G$9)</f>
        <v>18.6364014582179</v>
      </c>
      <c r="D116" s="980"/>
      <c r="E116" s="980"/>
      <c r="F116" s="980"/>
      <c r="G116" s="989" t="n">
        <f aca="false">D117</f>
        <v>35.0064</v>
      </c>
      <c r="H116" s="565" t="s">
        <v>590</v>
      </c>
      <c r="I116" s="990" t="n">
        <f aca="false">0.001*24*365*((D117*I117*$D$41)+(D119*I119*$D$41)+(D121*I121*$D$41)+(D123*I123*$D$41)+(D125*I125*$D$41))</f>
        <v>6866.53662527086</v>
      </c>
      <c r="J116" s="982"/>
      <c r="K116" s="991" t="n">
        <f aca="false">SUM(K117:K126)</f>
        <v>34.5136</v>
      </c>
      <c r="L116" s="992" t="n">
        <f aca="false">IF(D21&lt;1,0,SUM(L117:L126))</f>
        <v>5893.11034458278</v>
      </c>
      <c r="M116" s="993" t="n">
        <f aca="false">L116/$D$46</f>
        <v>76.5199083671814</v>
      </c>
      <c r="N116" s="994" t="str">
        <f aca="false">LOOKUP(N115,Data!$O$100:$P$135)</f>
        <v>Tyypillinen 1935</v>
      </c>
      <c r="O116" s="63"/>
      <c r="P116" s="1035" t="s">
        <v>619</v>
      </c>
      <c r="Q116" s="1035"/>
      <c r="R116" s="1018" t="n">
        <v>0.6</v>
      </c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</row>
    <row r="117" customFormat="false" ht="14.15" hidden="false" customHeight="true" outlineLevel="0" collapsed="false">
      <c r="A117" s="63"/>
      <c r="B117" s="987"/>
      <c r="C117" s="997" t="n">
        <f aca="false">$D$117*$I$117*$D$41*24*365/1000</f>
        <v>1434.54112906172</v>
      </c>
      <c r="D117" s="913" t="n">
        <f aca="false">D49</f>
        <v>35.0064</v>
      </c>
      <c r="E117" s="108" t="s">
        <v>593</v>
      </c>
      <c r="F117" s="108"/>
      <c r="G117" s="998" t="n">
        <v>35.01</v>
      </c>
      <c r="H117" s="999" t="n">
        <f aca="false">IF($D$21&lt;1,0,G117)</f>
        <v>35.01</v>
      </c>
      <c r="I117" s="1000" t="n">
        <f aca="false">VLOOKUP($D$23,Data!$R$101:$W$121,2)</f>
        <v>0.24</v>
      </c>
      <c r="J117" s="1001" t="n">
        <v>0.2</v>
      </c>
      <c r="K117" s="1002" t="n">
        <f aca="false">IF(H117&lt;0.1,"",H117*J117)</f>
        <v>7.002</v>
      </c>
      <c r="L117" s="847" t="n">
        <f aca="false">IF(H117&lt;1,"",24*365*K117*$D$41/1000)</f>
        <v>1195.57387907285</v>
      </c>
      <c r="M117" s="1003" t="n">
        <f aca="false">SUM(L117:L118)</f>
        <v>1195.57387907285</v>
      </c>
      <c r="N117" s="1004" t="n">
        <f aca="false">$D$42*H117*J117</f>
        <v>371.106</v>
      </c>
      <c r="O117" s="63"/>
      <c r="P117" s="1035" t="s">
        <v>620</v>
      </c>
      <c r="Q117" s="1035"/>
      <c r="R117" s="1018" t="n">
        <v>2.8</v>
      </c>
      <c r="S117" s="63"/>
      <c r="T117" s="63"/>
      <c r="U117" s="63"/>
      <c r="V117" s="1036"/>
      <c r="W117" s="63"/>
      <c r="X117" s="63"/>
      <c r="Y117" s="63"/>
      <c r="Z117" s="63"/>
      <c r="AA117" s="63"/>
      <c r="AB117" s="63"/>
      <c r="AC117" s="63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</row>
    <row r="118" customFormat="false" ht="14.15" hidden="false" customHeight="true" outlineLevel="0" collapsed="false">
      <c r="A118" s="63"/>
      <c r="B118" s="987"/>
      <c r="C118" s="502"/>
      <c r="D118" s="913"/>
      <c r="E118" s="108" t="s">
        <v>597</v>
      </c>
      <c r="F118" s="108"/>
      <c r="G118" s="1007" t="n">
        <f aca="false">G116-G117</f>
        <v>-0.00359999999999872</v>
      </c>
      <c r="H118" s="999" t="n">
        <f aca="false">IF($D$21&lt;1,0,G118)</f>
        <v>-0.00359999999999872</v>
      </c>
      <c r="I118" s="1000"/>
      <c r="J118" s="1001" t="n">
        <v>0</v>
      </c>
      <c r="K118" s="1002" t="str">
        <f aca="false">IF(H118&lt;0.1,"",H118*J118)</f>
        <v/>
      </c>
      <c r="L118" s="847" t="str">
        <f aca="false">IF(H118&lt;1,"",24*365*K118*$D$41/1000)</f>
        <v/>
      </c>
      <c r="M118" s="1003"/>
      <c r="N118" s="1004" t="n">
        <f aca="false">$D$42*H118*J118</f>
        <v>-0</v>
      </c>
      <c r="O118" s="63"/>
      <c r="P118" s="1008" t="s">
        <v>621</v>
      </c>
      <c r="Q118" s="1008"/>
      <c r="R118" s="1008"/>
      <c r="S118" s="63"/>
      <c r="T118" s="63"/>
      <c r="U118" s="63"/>
      <c r="V118" s="8"/>
      <c r="W118" s="63"/>
      <c r="X118" s="63"/>
      <c r="Y118" s="63"/>
      <c r="Z118" s="63"/>
      <c r="AA118" s="63"/>
      <c r="AB118" s="63"/>
      <c r="AC118" s="63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</row>
    <row r="119" customFormat="false" ht="14.15" hidden="false" customHeight="true" outlineLevel="0" collapsed="false">
      <c r="A119" s="63"/>
      <c r="B119" s="987"/>
      <c r="C119" s="997" t="n">
        <f aca="false">$D$119*I119*$D$41*24*365/1000</f>
        <v>1554.0862231502</v>
      </c>
      <c r="D119" s="1009" t="n">
        <f aca="false">D117</f>
        <v>35.0064</v>
      </c>
      <c r="E119" s="1010" t="s">
        <v>599</v>
      </c>
      <c r="F119" s="1010"/>
      <c r="G119" s="998" t="n">
        <v>35.01</v>
      </c>
      <c r="H119" s="1011" t="n">
        <f aca="false">IF($D$21&lt;1,0,G119)</f>
        <v>35.01</v>
      </c>
      <c r="I119" s="1000" t="n">
        <f aca="false">VLOOKUP($D$23,Data!$R$101:$W$121,3)</f>
        <v>0.26</v>
      </c>
      <c r="J119" s="1001" t="n">
        <v>0.16</v>
      </c>
      <c r="K119" s="1012" t="n">
        <f aca="false">IF(H119&lt;0.1,"",H119*J119)</f>
        <v>5.6016</v>
      </c>
      <c r="L119" s="1013" t="n">
        <f aca="false">IF(H119&lt;1,"",24*365*K119*$D$41/1000)</f>
        <v>956.459103258278</v>
      </c>
      <c r="M119" s="1014" t="n">
        <f aca="false">SUM(L119:L120)</f>
        <v>956.459103258278</v>
      </c>
      <c r="N119" s="1015" t="n">
        <f aca="false">$D$42*H119*J119</f>
        <v>296.8848</v>
      </c>
      <c r="O119" s="63"/>
      <c r="P119" s="1035" t="s">
        <v>619</v>
      </c>
      <c r="Q119" s="1035"/>
      <c r="R119" s="1018" t="n">
        <v>0.27</v>
      </c>
      <c r="S119" s="63"/>
      <c r="T119" s="63"/>
      <c r="U119" s="63"/>
      <c r="V119" s="8"/>
      <c r="W119" s="63"/>
      <c r="X119" s="63"/>
      <c r="Y119" s="63"/>
      <c r="Z119" s="63"/>
      <c r="AA119" s="63"/>
      <c r="AB119" s="63"/>
      <c r="AC119" s="63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</row>
    <row r="120" customFormat="false" ht="14.15" hidden="false" customHeight="true" outlineLevel="0" collapsed="false">
      <c r="A120" s="63"/>
      <c r="B120" s="987"/>
      <c r="C120" s="502"/>
      <c r="D120" s="1009"/>
      <c r="E120" s="1010" t="s">
        <v>600</v>
      </c>
      <c r="F120" s="1010"/>
      <c r="G120" s="1019" t="n">
        <f aca="false">G116-G119</f>
        <v>-0.00359999999999872</v>
      </c>
      <c r="H120" s="1011" t="n">
        <f aca="false">IF($D$21&lt;1,0,G120)</f>
        <v>-0.00359999999999872</v>
      </c>
      <c r="I120" s="1000"/>
      <c r="J120" s="1001" t="n">
        <v>0</v>
      </c>
      <c r="K120" s="1012" t="str">
        <f aca="false">IF(H120&lt;0.1,"",H120*J120)</f>
        <v/>
      </c>
      <c r="L120" s="1013" t="str">
        <f aca="false">IF(H120&lt;1,"",24*365*K120*$D$41/1000)</f>
        <v/>
      </c>
      <c r="M120" s="1014"/>
      <c r="N120" s="1015" t="n">
        <f aca="false">$D$42*H120*J120</f>
        <v>-0</v>
      </c>
      <c r="O120" s="63"/>
      <c r="P120" s="1035" t="s">
        <v>581</v>
      </c>
      <c r="Q120" s="1035"/>
      <c r="R120" s="1018" t="n">
        <v>1.4</v>
      </c>
      <c r="S120" s="63"/>
      <c r="T120" s="63"/>
      <c r="U120" s="63"/>
      <c r="V120" s="8"/>
      <c r="W120" s="63"/>
      <c r="X120" s="63"/>
      <c r="Y120" s="63"/>
      <c r="Z120" s="63"/>
      <c r="AA120" s="63"/>
      <c r="AB120" s="63"/>
      <c r="AC120" s="63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</row>
    <row r="121" customFormat="false" ht="14.15" hidden="false" customHeight="true" outlineLevel="0" collapsed="false">
      <c r="A121" s="63"/>
      <c r="B121" s="987"/>
      <c r="C121" s="997" t="n">
        <f aca="false">$D$121*I121*$D$41*24*365/1000</f>
        <v>0.0290270721854305</v>
      </c>
      <c r="D121" s="1022" t="n">
        <f aca="false">SUM(H121:H122)+0.0001</f>
        <v>0.0001</v>
      </c>
      <c r="E121" s="108" t="s">
        <v>602</v>
      </c>
      <c r="F121" s="108"/>
      <c r="G121" s="998" t="n">
        <v>0</v>
      </c>
      <c r="H121" s="999" t="n">
        <f aca="false">IF($D$21&lt;1,0,G121)</f>
        <v>0</v>
      </c>
      <c r="I121" s="1000" t="n">
        <f aca="false">VLOOKUP($D$23,Data!$R$101:$W$121,4)</f>
        <v>1.7</v>
      </c>
      <c r="J121" s="1001" t="n">
        <v>0</v>
      </c>
      <c r="K121" s="1002" t="str">
        <f aca="false">IF(H121&lt;0.1,"",H121*J121)</f>
        <v/>
      </c>
      <c r="L121" s="847" t="str">
        <f aca="false">IF(H121&lt;1,"",24*365*K121*$D$41/1000)</f>
        <v/>
      </c>
      <c r="M121" s="1023" t="n">
        <f aca="false">SUM(L121:L122)</f>
        <v>0</v>
      </c>
      <c r="N121" s="1004" t="n">
        <f aca="false">$D$42*H121*J121</f>
        <v>0</v>
      </c>
      <c r="O121" s="63"/>
      <c r="P121" s="466"/>
      <c r="Q121" s="1037"/>
      <c r="R121" s="1037"/>
      <c r="S121" s="63"/>
      <c r="T121" s="63"/>
      <c r="U121" s="63"/>
      <c r="V121" s="8"/>
      <c r="W121" s="63"/>
      <c r="X121" s="63"/>
      <c r="Y121" s="63"/>
      <c r="Z121" s="63"/>
      <c r="AA121" s="63"/>
      <c r="AB121" s="63"/>
      <c r="AC121" s="63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</row>
    <row r="122" customFormat="false" ht="14.15" hidden="false" customHeight="true" outlineLevel="0" collapsed="false">
      <c r="A122" s="63"/>
      <c r="B122" s="987"/>
      <c r="C122" s="502"/>
      <c r="D122" s="1022"/>
      <c r="E122" s="108" t="s">
        <v>603</v>
      </c>
      <c r="F122" s="108"/>
      <c r="G122" s="998" t="n">
        <v>0</v>
      </c>
      <c r="H122" s="999" t="n">
        <f aca="false">IF($D$21&lt;1,0,G122)</f>
        <v>0</v>
      </c>
      <c r="I122" s="1000"/>
      <c r="J122" s="1001" t="n">
        <v>0</v>
      </c>
      <c r="K122" s="1002" t="str">
        <f aca="false">IF(H122&lt;0.1,"",H122*J122)</f>
        <v/>
      </c>
      <c r="L122" s="847" t="str">
        <f aca="false">IF(H122&lt;1,"",24*365*K122*$D$41/1000)</f>
        <v/>
      </c>
      <c r="M122" s="1023"/>
      <c r="N122" s="1004" t="n">
        <f aca="false">$D$42*H122*J122</f>
        <v>0</v>
      </c>
      <c r="O122" s="8"/>
      <c r="P122" s="1038" t="s">
        <v>622</v>
      </c>
      <c r="Q122" s="1039" t="s">
        <v>592</v>
      </c>
      <c r="R122" s="1039"/>
      <c r="S122" s="63"/>
      <c r="T122" s="63"/>
      <c r="U122" s="63"/>
      <c r="V122" s="8"/>
      <c r="W122" s="63"/>
      <c r="X122" s="63"/>
      <c r="Y122" s="63"/>
      <c r="Z122" s="63"/>
      <c r="AA122" s="63"/>
      <c r="AB122" s="63"/>
      <c r="AC122" s="63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</row>
    <row r="123" customFormat="false" ht="14.15" hidden="false" customHeight="true" outlineLevel="0" collapsed="false">
      <c r="A123" s="63"/>
      <c r="B123" s="756" t="s">
        <v>605</v>
      </c>
      <c r="C123" s="997" t="n">
        <f aca="false">$D$123*I123*$D$41*24*365/1000</f>
        <v>1229.3818807947</v>
      </c>
      <c r="D123" s="1025" t="n">
        <f aca="false">SUM(H123:H124)</f>
        <v>4</v>
      </c>
      <c r="E123" s="1010" t="s">
        <v>606</v>
      </c>
      <c r="F123" s="1010"/>
      <c r="G123" s="998" t="n">
        <v>4</v>
      </c>
      <c r="H123" s="1011" t="n">
        <f aca="false">IF($D$21&lt;1,0,G123)</f>
        <v>4</v>
      </c>
      <c r="I123" s="1000" t="n">
        <f aca="false">VLOOKUP($D$23,Data!$R$101:$W$121,5)</f>
        <v>1.8</v>
      </c>
      <c r="J123" s="1001" t="n">
        <v>1.6</v>
      </c>
      <c r="K123" s="1012" t="n">
        <f aca="false">IF(H123&lt;0.1,"",H123*J123)</f>
        <v>6.4</v>
      </c>
      <c r="L123" s="1013" t="n">
        <f aca="false">IF(H123&lt;1,"",24*365*K123*$D$41/1000)</f>
        <v>1092.78389403974</v>
      </c>
      <c r="M123" s="1026" t="n">
        <f aca="false">SUM(L123:L124)</f>
        <v>1092.78389403974</v>
      </c>
      <c r="N123" s="1015" t="n">
        <f aca="false">$D$42*H123*J123</f>
        <v>339.2</v>
      </c>
      <c r="O123" s="8"/>
      <c r="P123" s="1005" t="s">
        <v>594</v>
      </c>
      <c r="Q123" s="1006" t="s">
        <v>595</v>
      </c>
      <c r="R123" s="1040" t="s">
        <v>68</v>
      </c>
      <c r="S123" s="63"/>
      <c r="T123" s="63"/>
      <c r="U123" s="63"/>
      <c r="V123" s="8"/>
      <c r="W123" s="63"/>
      <c r="X123" s="63"/>
      <c r="Y123" s="63"/>
      <c r="Z123" s="63"/>
      <c r="AA123" s="63"/>
      <c r="AB123" s="63"/>
      <c r="AC123" s="63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</row>
    <row r="124" customFormat="false" ht="14.15" hidden="false" customHeight="true" outlineLevel="0" collapsed="false">
      <c r="A124" s="63"/>
      <c r="B124" s="1027" t="n">
        <f aca="false">$B$143*D117</f>
        <v>5.25096</v>
      </c>
      <c r="C124" s="502"/>
      <c r="D124" s="1025"/>
      <c r="E124" s="1010" t="s">
        <v>608</v>
      </c>
      <c r="F124" s="1010"/>
      <c r="G124" s="998" t="n">
        <v>0</v>
      </c>
      <c r="H124" s="1011" t="n">
        <f aca="false">IF($D$21&lt;1,0,G124)</f>
        <v>0</v>
      </c>
      <c r="I124" s="1000"/>
      <c r="J124" s="1001" t="n">
        <v>0</v>
      </c>
      <c r="K124" s="1012" t="str">
        <f aca="false">IF(H124&lt;0.1,"",H124*J124)</f>
        <v/>
      </c>
      <c r="L124" s="1013" t="str">
        <f aca="false">IF(H124&lt;1,"",24*365*K124*$D$41/1000)</f>
        <v/>
      </c>
      <c r="M124" s="1026"/>
      <c r="N124" s="1015" t="n">
        <f aca="false">$D$42*H124*J124</f>
        <v>0</v>
      </c>
      <c r="O124" s="8"/>
      <c r="P124" s="1016" t="s">
        <v>573</v>
      </c>
      <c r="Q124" s="1017" t="n">
        <v>0.24</v>
      </c>
      <c r="R124" s="1037"/>
      <c r="S124" s="63"/>
      <c r="T124" s="63"/>
      <c r="U124" s="63"/>
      <c r="V124" s="8"/>
      <c r="W124" s="63"/>
      <c r="X124" s="63"/>
      <c r="Y124" s="63"/>
      <c r="Z124" s="63"/>
      <c r="AA124" s="63"/>
      <c r="AB124" s="63"/>
      <c r="AC124" s="63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</row>
    <row r="125" customFormat="false" ht="14.15" hidden="false" customHeight="true" outlineLevel="0" collapsed="false">
      <c r="A125" s="63"/>
      <c r="B125" s="987"/>
      <c r="C125" s="997" t="n">
        <f aca="false">$D$125*I125*$D$41*24*365/1000</f>
        <v>2648.49836519205</v>
      </c>
      <c r="D125" s="1022" t="n">
        <f aca="false">$D$50-SUM(G121:G124)</f>
        <v>51.704</v>
      </c>
      <c r="E125" s="108" t="s">
        <v>610</v>
      </c>
      <c r="F125" s="108"/>
      <c r="G125" s="998" t="n">
        <v>51.7</v>
      </c>
      <c r="H125" s="999" t="n">
        <f aca="false">IF($D$21&lt;1,0,G125)</f>
        <v>51.7</v>
      </c>
      <c r="I125" s="1000" t="n">
        <f aca="false">VLOOKUP($D$23,Data!$R$101:$W$121,6)</f>
        <v>0.3</v>
      </c>
      <c r="J125" s="1001" t="n">
        <v>0.3</v>
      </c>
      <c r="K125" s="1002" t="n">
        <f aca="false">IF(H125&lt;0.1,"",H125*J125)</f>
        <v>15.51</v>
      </c>
      <c r="L125" s="847" t="n">
        <f aca="false">IF(H125&lt;1,"",24*365*K125*$D$41/1000)</f>
        <v>2648.29346821192</v>
      </c>
      <c r="M125" s="1003" t="n">
        <f aca="false">SUM(L125:L126)</f>
        <v>2648.29346821192</v>
      </c>
      <c r="N125" s="1004" t="n">
        <f aca="false">$D$42*H125*J125</f>
        <v>822.03</v>
      </c>
      <c r="O125" s="8"/>
      <c r="P125" s="1020" t="s">
        <v>601</v>
      </c>
      <c r="Q125" s="1021" t="n">
        <v>0.8</v>
      </c>
      <c r="R125" s="1037"/>
      <c r="S125" s="63"/>
      <c r="T125" s="63"/>
      <c r="U125" s="63"/>
      <c r="V125" s="8"/>
      <c r="W125" s="63"/>
      <c r="X125" s="63"/>
      <c r="Y125" s="63"/>
      <c r="Z125" s="63"/>
      <c r="AA125" s="63"/>
      <c r="AB125" s="63"/>
      <c r="AC125" s="63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</row>
    <row r="126" customFormat="false" ht="14.15" hidden="false" customHeight="true" outlineLevel="0" collapsed="false">
      <c r="A126" s="63"/>
      <c r="B126" s="410" t="s">
        <v>612</v>
      </c>
      <c r="C126" s="997" t="n">
        <f aca="false">SUM(C117:C125)</f>
        <v>6866.53662527086</v>
      </c>
      <c r="D126" s="1022"/>
      <c r="E126" s="108" t="s">
        <v>613</v>
      </c>
      <c r="F126" s="108"/>
      <c r="G126" s="1007" t="n">
        <f aca="false">D125-G125</f>
        <v>0.00400000000000489</v>
      </c>
      <c r="H126" s="999" t="n">
        <f aca="false">IF($D$21&lt;1,0,G126)</f>
        <v>0.00400000000000489</v>
      </c>
      <c r="I126" s="1000"/>
      <c r="J126" s="1001" t="n">
        <v>0</v>
      </c>
      <c r="K126" s="1002" t="str">
        <f aca="false">IF(H126&lt;0.1,"",H126*J126)</f>
        <v/>
      </c>
      <c r="L126" s="847" t="str">
        <f aca="false">IF(H126&lt;1,"",24*365*K126*$D$41/1000)</f>
        <v/>
      </c>
      <c r="M126" s="1003"/>
      <c r="N126" s="1004" t="n">
        <f aca="false">$D$42*H126*J126</f>
        <v>0</v>
      </c>
      <c r="O126" s="8"/>
      <c r="P126" s="1016" t="s">
        <v>575</v>
      </c>
      <c r="Q126" s="1017" t="n">
        <v>0.15</v>
      </c>
      <c r="R126" s="1037"/>
      <c r="S126" s="63"/>
      <c r="T126" s="63"/>
      <c r="U126" s="63"/>
      <c r="V126" s="8"/>
      <c r="W126" s="63"/>
      <c r="X126" s="63"/>
      <c r="Y126" s="63"/>
      <c r="Z126" s="63"/>
      <c r="AA126" s="63"/>
      <c r="AB126" s="63"/>
      <c r="AC126" s="63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</row>
    <row r="127" customFormat="false" ht="14.15" hidden="false" customHeight="true" outlineLevel="0" collapsed="false">
      <c r="A127" s="63"/>
      <c r="B127" s="987"/>
      <c r="C127" s="8"/>
      <c r="D127" s="8"/>
      <c r="E127" s="5"/>
      <c r="F127" s="5"/>
      <c r="G127" s="8"/>
      <c r="H127" s="63"/>
      <c r="I127" s="8"/>
      <c r="J127" s="8"/>
      <c r="K127" s="8"/>
      <c r="L127" s="8"/>
      <c r="M127" s="1028" t="n">
        <f aca="false">SUM(M117:M125)</f>
        <v>5893.11034458278</v>
      </c>
      <c r="N127" s="1029" t="n">
        <f aca="false">SUM(N117:N126)</f>
        <v>1829.2208</v>
      </c>
      <c r="O127" s="8"/>
      <c r="P127" s="1016" t="s">
        <v>604</v>
      </c>
      <c r="Q127" s="1017" t="n">
        <v>0.15</v>
      </c>
      <c r="R127" s="1037"/>
      <c r="S127" s="63"/>
      <c r="T127" s="63"/>
      <c r="U127" s="63"/>
      <c r="V127" s="8"/>
      <c r="W127" s="63"/>
      <c r="X127" s="63"/>
      <c r="Y127" s="63"/>
      <c r="Z127" s="63"/>
      <c r="AA127" s="63"/>
      <c r="AB127" s="63"/>
      <c r="AC127" s="63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</row>
    <row r="128" customFormat="false" ht="14.15" hidden="false" customHeight="true" outlineLevel="0" collapsed="false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8"/>
      <c r="P128" s="1016" t="s">
        <v>607</v>
      </c>
      <c r="Q128" s="1017" t="n">
        <v>0.19</v>
      </c>
      <c r="R128" s="1037"/>
      <c r="S128" s="63"/>
      <c r="T128" s="63"/>
      <c r="U128" s="63"/>
      <c r="V128" s="8"/>
      <c r="W128" s="63"/>
      <c r="X128" s="63"/>
      <c r="Y128" s="63"/>
      <c r="Z128" s="63"/>
      <c r="AA128" s="63"/>
      <c r="AB128" s="63"/>
      <c r="AC128" s="63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</row>
    <row r="129" customFormat="false" ht="14.15" hidden="false" customHeight="true" outlineLevel="0" collapsed="false">
      <c r="A129" s="63"/>
      <c r="B129" s="410" t="s">
        <v>584</v>
      </c>
      <c r="C129" s="1030" t="n">
        <f aca="false">$E$23</f>
        <v>1992</v>
      </c>
      <c r="D129" s="980" t="n">
        <f aca="false">$E$23</f>
        <v>1992</v>
      </c>
      <c r="E129" s="980" t="str">
        <f aca="false">IF($E$21&lt;1,"Rakennus 4 ei valittu!",E22)</f>
        <v>Rakennus 4 ei valittu!</v>
      </c>
      <c r="F129" s="980"/>
      <c r="G129" s="981" t="s">
        <v>585</v>
      </c>
      <c r="H129" s="565" t="s">
        <v>586</v>
      </c>
      <c r="I129" s="410" t="s">
        <v>587</v>
      </c>
      <c r="J129" s="982" t="s">
        <v>588</v>
      </c>
      <c r="K129" s="983" t="n">
        <f aca="false">$G$9</f>
        <v>4784.15841584159</v>
      </c>
      <c r="L129" s="981" t="s">
        <v>514</v>
      </c>
      <c r="M129" s="984" t="n">
        <f aca="false">L130/$E$49</f>
        <v>0</v>
      </c>
      <c r="N129" s="985" t="n">
        <f aca="false">1000*M130/$G$9</f>
        <v>0</v>
      </c>
      <c r="O129" s="8"/>
      <c r="P129" s="1016" t="s">
        <v>609</v>
      </c>
      <c r="Q129" s="1017" t="n">
        <v>0.24</v>
      </c>
      <c r="R129" s="1037"/>
      <c r="S129" s="63"/>
      <c r="T129" s="63"/>
      <c r="U129" s="63"/>
      <c r="V129" s="8"/>
      <c r="W129" s="63"/>
      <c r="X129" s="63"/>
      <c r="Y129" s="63"/>
      <c r="Z129" s="63"/>
      <c r="AA129" s="63"/>
      <c r="AB129" s="63"/>
      <c r="AC129" s="63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</row>
    <row r="130" customFormat="false" ht="14.15" hidden="false" customHeight="true" outlineLevel="0" collapsed="false">
      <c r="A130" s="63"/>
      <c r="B130" s="987"/>
      <c r="C130" s="1032" t="n">
        <f aca="false">IF($E$21&lt;1,0,1000*I130/$E$46/$G$9)</f>
        <v>0</v>
      </c>
      <c r="D130" s="980"/>
      <c r="E130" s="980"/>
      <c r="F130" s="980"/>
      <c r="G130" s="989" t="n">
        <f aca="false">D131</f>
        <v>0.0001</v>
      </c>
      <c r="H130" s="565" t="s">
        <v>590</v>
      </c>
      <c r="I130" s="990" t="n">
        <f aca="false">0.001*24*365*((D131*I131*$E$41)+(D133*I133*$E$41)+(D135*I135*$E$41)+(D137*I137*$E$41)+(D139*I139*$E$41))</f>
        <v>0</v>
      </c>
      <c r="J130" s="982"/>
      <c r="K130" s="991" t="n">
        <f aca="false">SUM(K131:K140)</f>
        <v>0</v>
      </c>
      <c r="L130" s="992" t="n">
        <f aca="false">IF(E21&lt;1,0,SUM(L131:L140))</f>
        <v>0</v>
      </c>
      <c r="M130" s="993" t="n">
        <f aca="false">L130/$E$46</f>
        <v>0</v>
      </c>
      <c r="N130" s="994" t="str">
        <f aca="false">LOOKUP(N129,Data!$O$100:$P$135)</f>
        <v>Nollaenergiatalo</v>
      </c>
      <c r="O130" s="8"/>
      <c r="P130" s="1016" t="s">
        <v>611</v>
      </c>
      <c r="Q130" s="1017" t="n">
        <v>0.24</v>
      </c>
      <c r="R130" s="1037"/>
      <c r="S130" s="63"/>
      <c r="T130" s="63"/>
      <c r="U130" s="63"/>
      <c r="V130" s="8"/>
      <c r="W130" s="63"/>
      <c r="X130" s="63"/>
      <c r="Y130" s="63"/>
      <c r="Z130" s="63"/>
      <c r="AA130" s="63"/>
      <c r="AB130" s="63"/>
      <c r="AC130" s="63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</row>
    <row r="131" customFormat="false" ht="14.15" hidden="false" customHeight="true" outlineLevel="0" collapsed="false">
      <c r="A131" s="63"/>
      <c r="B131" s="987"/>
      <c r="C131" s="997" t="n">
        <f aca="false">$D$131*$I$131*$E$41*24*365/1000</f>
        <v>0</v>
      </c>
      <c r="D131" s="913" t="n">
        <f aca="false">E49</f>
        <v>0.0001</v>
      </c>
      <c r="E131" s="108" t="s">
        <v>593</v>
      </c>
      <c r="F131" s="108"/>
      <c r="G131" s="998" t="n">
        <v>30.93</v>
      </c>
      <c r="H131" s="999" t="n">
        <f aca="false">IF($E$21&lt;1,0,G131)</f>
        <v>0</v>
      </c>
      <c r="I131" s="1000" t="n">
        <f aca="false">VLOOKUP($E$23,Data!$R$101:$W$121,2)</f>
        <v>0.22</v>
      </c>
      <c r="J131" s="1001" t="n">
        <v>0.2</v>
      </c>
      <c r="K131" s="1002" t="str">
        <f aca="false">IF(H131&lt;0.1,"",H131*J131)</f>
        <v/>
      </c>
      <c r="L131" s="847" t="str">
        <f aca="false">IF(H131&lt;1,"",24*365*K131*$E$41/1000)</f>
        <v/>
      </c>
      <c r="M131" s="1003" t="n">
        <f aca="false">SUM(L131:L132)</f>
        <v>0</v>
      </c>
      <c r="N131" s="1004" t="n">
        <f aca="false">$E$42*H131*J131</f>
        <v>0</v>
      </c>
      <c r="O131" s="8"/>
      <c r="P131" s="1016" t="s">
        <v>579</v>
      </c>
      <c r="Q131" s="1017" t="n">
        <v>1.4</v>
      </c>
      <c r="R131" s="1037"/>
      <c r="S131" s="63"/>
      <c r="T131" s="63"/>
      <c r="U131" s="63"/>
      <c r="V131" s="8"/>
      <c r="W131" s="63"/>
      <c r="X131" s="63"/>
      <c r="Y131" s="63"/>
      <c r="Z131" s="63"/>
      <c r="AA131" s="63"/>
      <c r="AB131" s="63"/>
      <c r="AC131" s="63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</row>
    <row r="132" customFormat="false" ht="14.15" hidden="false" customHeight="true" outlineLevel="0" collapsed="false">
      <c r="A132" s="63"/>
      <c r="B132" s="987"/>
      <c r="C132" s="502"/>
      <c r="D132" s="913"/>
      <c r="E132" s="108" t="s">
        <v>597</v>
      </c>
      <c r="F132" s="108"/>
      <c r="G132" s="1007" t="n">
        <f aca="false">G130-G131</f>
        <v>-30.9299</v>
      </c>
      <c r="H132" s="999" t="n">
        <f aca="false">IF($E$21&lt;1,0,G132)</f>
        <v>0</v>
      </c>
      <c r="I132" s="1000"/>
      <c r="J132" s="1001" t="n">
        <v>0</v>
      </c>
      <c r="K132" s="1002" t="str">
        <f aca="false">IF(H132&lt;0.1,"",H132*J132)</f>
        <v/>
      </c>
      <c r="L132" s="847" t="str">
        <f aca="false">IF(H132&lt;1,"",24*365*K132*$E$41/1000)</f>
        <v/>
      </c>
      <c r="M132" s="1003"/>
      <c r="N132" s="1004" t="n">
        <f aca="false">$E$42*H132*J132</f>
        <v>0</v>
      </c>
      <c r="O132" s="8"/>
      <c r="P132" s="1016" t="s">
        <v>614</v>
      </c>
      <c r="Q132" s="1017" t="n">
        <v>1.4</v>
      </c>
      <c r="R132" s="1037"/>
      <c r="S132" s="63"/>
      <c r="T132" s="63"/>
      <c r="U132" s="63"/>
      <c r="V132" s="8"/>
      <c r="W132" s="63"/>
      <c r="X132" s="63"/>
      <c r="Y132" s="63"/>
      <c r="Z132" s="63"/>
      <c r="AA132" s="63"/>
      <c r="AB132" s="63"/>
      <c r="AC132" s="63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</row>
    <row r="133" customFormat="false" ht="14.15" hidden="false" customHeight="true" outlineLevel="0" collapsed="false">
      <c r="A133" s="63"/>
      <c r="B133" s="987"/>
      <c r="C133" s="997" t="n">
        <f aca="false">$D$133*I133*$E$41*24*365/1000</f>
        <v>0</v>
      </c>
      <c r="D133" s="1009" t="n">
        <f aca="false">D131</f>
        <v>0.0001</v>
      </c>
      <c r="E133" s="1010" t="s">
        <v>599</v>
      </c>
      <c r="F133" s="1010"/>
      <c r="G133" s="998" t="n">
        <v>30.93</v>
      </c>
      <c r="H133" s="1011" t="n">
        <f aca="false">IF($E$21&lt;1,0,G133)</f>
        <v>0</v>
      </c>
      <c r="I133" s="1000" t="n">
        <f aca="false">VLOOKUP($E$23,Data!$R$101:$W$121,3)</f>
        <v>0.22</v>
      </c>
      <c r="J133" s="1001" t="n">
        <v>0.15</v>
      </c>
      <c r="K133" s="1012" t="str">
        <f aca="false">IF(H133&lt;0.1,"",H133*J133)</f>
        <v/>
      </c>
      <c r="L133" s="1013" t="str">
        <f aca="false">IF(H133&lt;1,"",24*365*K133*$E$41/1000)</f>
        <v/>
      </c>
      <c r="M133" s="1014" t="n">
        <f aca="false">SUM(L133:L134)</f>
        <v>0</v>
      </c>
      <c r="N133" s="1015" t="n">
        <f aca="false">$E$42*H133*J133</f>
        <v>0</v>
      </c>
      <c r="O133" s="8"/>
      <c r="P133" s="1016" t="s">
        <v>615</v>
      </c>
      <c r="Q133" s="1017" t="n">
        <v>1.4</v>
      </c>
      <c r="R133" s="1037"/>
      <c r="S133" s="63"/>
      <c r="T133" s="63"/>
      <c r="U133" s="63"/>
      <c r="V133" s="606"/>
      <c r="W133" s="63"/>
      <c r="X133" s="63"/>
      <c r="Y133" s="63"/>
      <c r="Z133" s="63"/>
      <c r="AA133" s="63"/>
      <c r="AB133" s="63"/>
      <c r="AC133" s="63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</row>
    <row r="134" customFormat="false" ht="14.15" hidden="false" customHeight="true" outlineLevel="0" collapsed="false">
      <c r="A134" s="63"/>
      <c r="B134" s="987"/>
      <c r="C134" s="502"/>
      <c r="D134" s="1009"/>
      <c r="E134" s="1010" t="s">
        <v>600</v>
      </c>
      <c r="F134" s="1010"/>
      <c r="G134" s="1019" t="n">
        <f aca="false">G130-G133</f>
        <v>-30.9299</v>
      </c>
      <c r="H134" s="1011" t="n">
        <f aca="false">IF($E$21&lt;1,0,G134)</f>
        <v>0</v>
      </c>
      <c r="I134" s="1000"/>
      <c r="J134" s="1001" t="n">
        <v>0</v>
      </c>
      <c r="K134" s="1012" t="str">
        <f aca="false">IF(H134&lt;0.1,"",H134*J134)</f>
        <v/>
      </c>
      <c r="L134" s="1013" t="str">
        <f aca="false">IF(H134&lt;1,"",24*365*K134*$E$41/1000)</f>
        <v/>
      </c>
      <c r="M134" s="1014"/>
      <c r="N134" s="1015" t="n">
        <f aca="false">$E$42*H134*J134</f>
        <v>0</v>
      </c>
      <c r="O134" s="8"/>
      <c r="P134" s="1016" t="s">
        <v>616</v>
      </c>
      <c r="Q134" s="1017" t="n">
        <v>1.4</v>
      </c>
      <c r="R134" s="1037"/>
      <c r="S134" s="63"/>
      <c r="T134" s="63"/>
      <c r="U134" s="63"/>
      <c r="V134" s="606"/>
      <c r="W134" s="5"/>
      <c r="X134" s="8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</row>
    <row r="135" customFormat="false" ht="14.15" hidden="false" customHeight="true" outlineLevel="0" collapsed="false">
      <c r="A135" s="63"/>
      <c r="B135" s="987"/>
      <c r="C135" s="997" t="n">
        <f aca="false">$D$135*I135*$E$41*24*365/1000</f>
        <v>0</v>
      </c>
      <c r="D135" s="1022" t="n">
        <f aca="false">SUM(H135:H136)</f>
        <v>0</v>
      </c>
      <c r="E135" s="108" t="s">
        <v>602</v>
      </c>
      <c r="F135" s="108"/>
      <c r="G135" s="998" t="n">
        <v>6</v>
      </c>
      <c r="H135" s="999" t="n">
        <f aca="false">IF($E$21&lt;1,0,G135)</f>
        <v>0</v>
      </c>
      <c r="I135" s="1000" t="n">
        <f aca="false">VLOOKUP($E$23,Data!$R$101:$W$121,4)</f>
        <v>1.5</v>
      </c>
      <c r="J135" s="1001" t="n">
        <v>2</v>
      </c>
      <c r="K135" s="1002" t="str">
        <f aca="false">IF(H135&lt;0.1,"",H135*J135)</f>
        <v/>
      </c>
      <c r="L135" s="847" t="str">
        <f aca="false">IF(H135&lt;1,"",24*365*K135*$E$41/1000)</f>
        <v/>
      </c>
      <c r="M135" s="1023" t="n">
        <f aca="false">SUM(L135:L136)</f>
        <v>0</v>
      </c>
      <c r="N135" s="1004" t="n">
        <f aca="false">$E$42*H135*J135</f>
        <v>0</v>
      </c>
      <c r="O135" s="8"/>
      <c r="P135" s="63"/>
      <c r="Q135" s="63"/>
      <c r="R135" s="63"/>
      <c r="S135" s="63"/>
      <c r="T135" s="63"/>
      <c r="U135" s="63"/>
      <c r="V135" s="8"/>
      <c r="W135" s="5"/>
      <c r="X135" s="8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</row>
    <row r="136" customFormat="false" ht="14.15" hidden="false" customHeight="true" outlineLevel="0" collapsed="false">
      <c r="A136" s="63"/>
      <c r="B136" s="987"/>
      <c r="C136" s="502"/>
      <c r="D136" s="1022"/>
      <c r="E136" s="108" t="s">
        <v>603</v>
      </c>
      <c r="F136" s="108"/>
      <c r="G136" s="998" t="n">
        <v>0</v>
      </c>
      <c r="H136" s="999" t="n">
        <f aca="false">IF($E$21&lt;1,0,G136)</f>
        <v>0</v>
      </c>
      <c r="I136" s="1000"/>
      <c r="J136" s="1001" t="n">
        <v>1.4</v>
      </c>
      <c r="K136" s="1002" t="str">
        <f aca="false">IF(H136&lt;0.1,"",H136*J136)</f>
        <v/>
      </c>
      <c r="L136" s="847" t="str">
        <f aca="false">IF(H136&lt;1,"",24*365*K136*$E$41/1000)</f>
        <v/>
      </c>
      <c r="M136" s="1023"/>
      <c r="N136" s="1004" t="n">
        <f aca="false">$E$42*H136*J136</f>
        <v>0</v>
      </c>
      <c r="O136" s="8"/>
      <c r="P136" s="63"/>
      <c r="Q136" s="63"/>
      <c r="R136" s="63"/>
      <c r="S136" s="63"/>
      <c r="T136" s="63"/>
      <c r="U136" s="63"/>
      <c r="V136" s="8"/>
      <c r="W136" s="5"/>
      <c r="X136" s="8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</row>
    <row r="137" customFormat="false" ht="14.15" hidden="false" customHeight="true" outlineLevel="0" collapsed="false">
      <c r="A137" s="63"/>
      <c r="B137" s="756" t="s">
        <v>605</v>
      </c>
      <c r="C137" s="997" t="n">
        <f aca="false">$D$137*I137*$E$41*24*365/1000</f>
        <v>0</v>
      </c>
      <c r="D137" s="1025" t="n">
        <f aca="false">SUM(H137:H138)</f>
        <v>0</v>
      </c>
      <c r="E137" s="1010" t="s">
        <v>606</v>
      </c>
      <c r="F137" s="1010"/>
      <c r="G137" s="998" t="n">
        <v>2</v>
      </c>
      <c r="H137" s="1011" t="n">
        <f aca="false">IF($E$21&lt;1,0,G137)</f>
        <v>0</v>
      </c>
      <c r="I137" s="1000" t="n">
        <f aca="false">VLOOKUP($E$23,Data!$R$101:$W$121,5)</f>
        <v>1.6</v>
      </c>
      <c r="J137" s="1001" t="n">
        <v>1</v>
      </c>
      <c r="K137" s="1012" t="str">
        <f aca="false">IF(H137&lt;0.1,"",H137*J137)</f>
        <v/>
      </c>
      <c r="L137" s="1013" t="str">
        <f aca="false">IF(H137&lt;1,"",24*365*K137*$E$41/1000)</f>
        <v/>
      </c>
      <c r="M137" s="1026" t="n">
        <f aca="false">SUM(L137:L138)</f>
        <v>0</v>
      </c>
      <c r="N137" s="1015" t="n">
        <f aca="false">$E$42*H137*J137</f>
        <v>0</v>
      </c>
      <c r="O137" s="8"/>
      <c r="P137" s="63"/>
      <c r="Q137" s="63"/>
      <c r="R137" s="63"/>
      <c r="S137" s="63"/>
      <c r="T137" s="63"/>
      <c r="U137" s="63"/>
      <c r="V137" s="8"/>
      <c r="W137" s="5"/>
      <c r="X137" s="8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</row>
    <row r="138" customFormat="false" ht="14.15" hidden="false" customHeight="true" outlineLevel="0" collapsed="false">
      <c r="A138" s="63"/>
      <c r="B138" s="1027" t="n">
        <f aca="false">$B$143*D131</f>
        <v>1.5E-005</v>
      </c>
      <c r="C138" s="502"/>
      <c r="D138" s="1025"/>
      <c r="E138" s="1010" t="s">
        <v>608</v>
      </c>
      <c r="F138" s="1010"/>
      <c r="G138" s="998" t="n">
        <v>0</v>
      </c>
      <c r="H138" s="1011" t="n">
        <f aca="false">IF($E$21&lt;1,0,G138)</f>
        <v>0</v>
      </c>
      <c r="I138" s="1000"/>
      <c r="J138" s="1001" t="n">
        <v>0</v>
      </c>
      <c r="K138" s="1012" t="str">
        <f aca="false">IF(H138&lt;0.1,"",H138*J138)</f>
        <v/>
      </c>
      <c r="L138" s="1013" t="str">
        <f aca="false">IF(H138&lt;1,"",24*365*K138*$E$41/1000)</f>
        <v/>
      </c>
      <c r="M138" s="1026"/>
      <c r="N138" s="1015" t="n">
        <f aca="false">$E$42*H138*J138</f>
        <v>0</v>
      </c>
      <c r="O138" s="8"/>
      <c r="P138" s="63"/>
      <c r="Q138" s="63"/>
      <c r="R138" s="63"/>
      <c r="S138" s="63"/>
      <c r="T138" s="63"/>
      <c r="U138" s="502"/>
      <c r="V138" s="8"/>
      <c r="W138" s="5"/>
      <c r="X138" s="8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</row>
    <row r="139" customFormat="false" ht="14.15" hidden="false" customHeight="true" outlineLevel="0" collapsed="false">
      <c r="A139" s="63"/>
      <c r="B139" s="987"/>
      <c r="C139" s="997" t="n">
        <f aca="false">$D$139*I139*$E$41*24*365/1000</f>
        <v>-0</v>
      </c>
      <c r="D139" s="1022" t="n">
        <f aca="false">$E$50-SUM(G135:G138)</f>
        <v>-8</v>
      </c>
      <c r="E139" s="108" t="s">
        <v>610</v>
      </c>
      <c r="F139" s="108"/>
      <c r="G139" s="998" t="n">
        <v>46.14</v>
      </c>
      <c r="H139" s="999" t="n">
        <f aca="false">IF($E$21&lt;1,0,G139)</f>
        <v>0</v>
      </c>
      <c r="I139" s="1000" t="n">
        <f aca="false">VLOOKUP($E$23,Data!$R$101:$W$121,6)</f>
        <v>0.25</v>
      </c>
      <c r="J139" s="1001" t="n">
        <v>0.2</v>
      </c>
      <c r="K139" s="1002" t="str">
        <f aca="false">IF(H139&lt;0.1,"",H139*J139)</f>
        <v/>
      </c>
      <c r="L139" s="847" t="str">
        <f aca="false">IF(H139&lt;1,"",24*365*K139*$E$41/1000)</f>
        <v/>
      </c>
      <c r="M139" s="1003" t="n">
        <f aca="false">SUM(L139:L140)</f>
        <v>0</v>
      </c>
      <c r="N139" s="1004" t="n">
        <f aca="false">$E$42*H139*J139</f>
        <v>0</v>
      </c>
      <c r="O139" s="8"/>
      <c r="P139" s="248" t="s">
        <v>623</v>
      </c>
      <c r="Q139" s="248"/>
      <c r="R139" s="248"/>
      <c r="S139" s="248"/>
      <c r="T139" s="248"/>
      <c r="U139" s="502"/>
      <c r="V139" s="8"/>
      <c r="W139" s="5"/>
      <c r="X139" s="8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</row>
    <row r="140" customFormat="false" ht="14.15" hidden="false" customHeight="true" outlineLevel="0" collapsed="false">
      <c r="A140" s="63"/>
      <c r="B140" s="410" t="s">
        <v>612</v>
      </c>
      <c r="C140" s="997" t="n">
        <f aca="false">SUM(C131:C139)</f>
        <v>0</v>
      </c>
      <c r="D140" s="1022"/>
      <c r="E140" s="108" t="s">
        <v>613</v>
      </c>
      <c r="F140" s="108"/>
      <c r="G140" s="1007" t="n">
        <f aca="false">D139-G139</f>
        <v>-54.14</v>
      </c>
      <c r="H140" s="999" t="n">
        <f aca="false">IF($E$21&lt;1,0,G140)</f>
        <v>0</v>
      </c>
      <c r="I140" s="1000"/>
      <c r="J140" s="1001" t="n">
        <v>0</v>
      </c>
      <c r="K140" s="1002" t="str">
        <f aca="false">IF(H140&lt;0.1,"",H140*J140)</f>
        <v/>
      </c>
      <c r="L140" s="847" t="str">
        <f aca="false">IF(H140&lt;1,"",24*365*K140*$E$41/1000)</f>
        <v/>
      </c>
      <c r="M140" s="1003"/>
      <c r="N140" s="1004" t="n">
        <f aca="false">$E$42*H140*J140</f>
        <v>0</v>
      </c>
      <c r="O140" s="8"/>
      <c r="P140" s="7" t="s">
        <v>624</v>
      </c>
      <c r="Q140" s="7" t="s">
        <v>625</v>
      </c>
      <c r="R140" s="7" t="s">
        <v>626</v>
      </c>
      <c r="S140" s="7" t="s">
        <v>627</v>
      </c>
      <c r="T140" s="7" t="s">
        <v>628</v>
      </c>
      <c r="U140" s="502"/>
      <c r="V140" s="8"/>
      <c r="W140" s="5"/>
      <c r="X140" s="8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</row>
    <row r="141" customFormat="false" ht="14.15" hidden="false" customHeight="true" outlineLevel="0" collapsed="false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1028" t="n">
        <f aca="false">SUM(M131:M139)</f>
        <v>0</v>
      </c>
      <c r="N141" s="1029" t="n">
        <f aca="false">SUM(N131:N140)</f>
        <v>0</v>
      </c>
      <c r="O141" s="8"/>
      <c r="P141" s="13" t="s">
        <v>629</v>
      </c>
      <c r="Q141" s="13" t="n">
        <v>2.7</v>
      </c>
      <c r="R141" s="13"/>
      <c r="S141" s="13"/>
      <c r="T141" s="13"/>
      <c r="U141" s="502"/>
      <c r="V141" s="8"/>
      <c r="W141" s="5"/>
      <c r="X141" s="8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</row>
    <row r="142" customFormat="false" ht="14.15" hidden="false" customHeight="true" outlineLevel="0" collapsed="false">
      <c r="A142" s="63"/>
      <c r="B142" s="756" t="s">
        <v>630</v>
      </c>
      <c r="C142" s="502"/>
      <c r="D142" s="502"/>
      <c r="E142" s="502"/>
      <c r="F142" s="502"/>
      <c r="G142" s="502"/>
      <c r="H142" s="502"/>
      <c r="I142" s="502"/>
      <c r="J142" s="502"/>
      <c r="K142" s="502"/>
      <c r="L142" s="502"/>
      <c r="M142" s="502"/>
      <c r="N142" s="502"/>
      <c r="O142" s="8"/>
      <c r="P142" s="13" t="s">
        <v>631</v>
      </c>
      <c r="Q142" s="13" t="n">
        <v>1.8</v>
      </c>
      <c r="R142" s="13"/>
      <c r="S142" s="13"/>
      <c r="T142" s="13"/>
      <c r="U142" s="502"/>
      <c r="V142" s="8"/>
      <c r="W142" s="5"/>
      <c r="X142" s="8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</row>
    <row r="143" customFormat="false" ht="14.15" hidden="false" customHeight="true" outlineLevel="0" collapsed="false">
      <c r="A143" s="63"/>
      <c r="B143" s="1041" t="n">
        <v>0.15</v>
      </c>
      <c r="C143" s="20" t="s">
        <v>632</v>
      </c>
      <c r="D143" s="20"/>
      <c r="E143" s="20"/>
      <c r="F143" s="20"/>
      <c r="G143" s="20"/>
      <c r="H143" s="20"/>
      <c r="I143" s="20"/>
      <c r="J143" s="20"/>
      <c r="K143" s="20" t="s">
        <v>633</v>
      </c>
      <c r="L143" s="20"/>
      <c r="M143" s="20"/>
      <c r="N143" s="502"/>
      <c r="O143" s="8"/>
      <c r="P143" s="1042" t="s">
        <v>634</v>
      </c>
      <c r="Q143" s="882" t="s">
        <v>635</v>
      </c>
      <c r="R143" s="1043" t="n">
        <v>0.74</v>
      </c>
      <c r="S143" s="1043" t="n">
        <v>0.69</v>
      </c>
      <c r="T143" s="1043" t="n">
        <v>0.5</v>
      </c>
      <c r="U143" s="502"/>
      <c r="V143" s="8"/>
      <c r="W143" s="5"/>
      <c r="X143" s="8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</row>
    <row r="144" customFormat="false" ht="14.15" hidden="false" customHeight="true" outlineLevel="0" collapsed="false">
      <c r="A144" s="502"/>
      <c r="B144" s="5"/>
      <c r="C144" s="366" t="s">
        <v>636</v>
      </c>
      <c r="D144" s="366"/>
      <c r="E144" s="366"/>
      <c r="F144" s="248" t="s">
        <v>598</v>
      </c>
      <c r="G144" s="248"/>
      <c r="H144" s="366" t="s">
        <v>637</v>
      </c>
      <c r="I144" s="366"/>
      <c r="J144" s="355" t="s">
        <v>638</v>
      </c>
      <c r="K144" s="7" t="s">
        <v>639</v>
      </c>
      <c r="L144" s="7" t="s">
        <v>640</v>
      </c>
      <c r="M144" s="7" t="s">
        <v>640</v>
      </c>
      <c r="N144" s="502"/>
      <c r="O144" s="8"/>
      <c r="P144" s="255" t="s">
        <v>641</v>
      </c>
      <c r="Q144" s="310" t="s">
        <v>642</v>
      </c>
      <c r="R144" s="1044" t="n">
        <v>0.68</v>
      </c>
      <c r="S144" s="1044" t="n">
        <v>0.55</v>
      </c>
      <c r="T144" s="1044" t="n">
        <v>0.7</v>
      </c>
      <c r="U144" s="502"/>
      <c r="V144" s="8"/>
      <c r="W144" s="5"/>
      <c r="X144" s="8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</row>
    <row r="145" customFormat="false" ht="14.15" hidden="false" customHeight="true" outlineLevel="0" collapsed="false">
      <c r="A145" s="502"/>
      <c r="B145" s="5"/>
      <c r="C145" s="366"/>
      <c r="D145" s="366"/>
      <c r="E145" s="366"/>
      <c r="F145" s="355" t="s">
        <v>643</v>
      </c>
      <c r="G145" s="355" t="s">
        <v>644</v>
      </c>
      <c r="H145" s="7" t="s">
        <v>643</v>
      </c>
      <c r="I145" s="7" t="s">
        <v>644</v>
      </c>
      <c r="J145" s="355" t="s">
        <v>645</v>
      </c>
      <c r="K145" s="1045" t="s">
        <v>646</v>
      </c>
      <c r="L145" s="7" t="s">
        <v>647</v>
      </c>
      <c r="M145" s="7" t="s">
        <v>647</v>
      </c>
      <c r="N145" s="502"/>
      <c r="O145" s="8"/>
      <c r="P145" s="255" t="s">
        <v>648</v>
      </c>
      <c r="Q145" s="310" t="s">
        <v>649</v>
      </c>
      <c r="R145" s="1044" t="n">
        <v>0.68</v>
      </c>
      <c r="S145" s="1044" t="n">
        <v>0.55</v>
      </c>
      <c r="T145" s="1044" t="n">
        <v>0.7</v>
      </c>
      <c r="U145" s="502"/>
      <c r="V145" s="8"/>
      <c r="W145" s="5"/>
      <c r="X145" s="8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</row>
    <row r="146" customFormat="false" ht="14.15" hidden="false" customHeight="true" outlineLevel="0" collapsed="false">
      <c r="A146" s="502"/>
      <c r="B146" s="5"/>
      <c r="C146" s="366"/>
      <c r="D146" s="366"/>
      <c r="E146" s="366"/>
      <c r="F146" s="355" t="s">
        <v>650</v>
      </c>
      <c r="G146" s="355" t="s">
        <v>651</v>
      </c>
      <c r="H146" s="7" t="s">
        <v>650</v>
      </c>
      <c r="I146" s="7" t="s">
        <v>651</v>
      </c>
      <c r="J146" s="355" t="s">
        <v>652</v>
      </c>
      <c r="K146" s="7"/>
      <c r="L146" s="7" t="s">
        <v>646</v>
      </c>
      <c r="M146" s="7" t="s">
        <v>653</v>
      </c>
      <c r="N146" s="502"/>
      <c r="O146" s="8"/>
      <c r="P146" s="1042" t="s">
        <v>654</v>
      </c>
      <c r="Q146" s="882" t="s">
        <v>655</v>
      </c>
      <c r="R146" s="1043" t="n">
        <v>0.7</v>
      </c>
      <c r="S146" s="1043" t="n">
        <v>0.37</v>
      </c>
      <c r="T146" s="1043" t="n">
        <v>0.98</v>
      </c>
      <c r="U146" s="502"/>
      <c r="V146" s="8"/>
      <c r="W146" s="5"/>
      <c r="X146" s="8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</row>
    <row r="147" customFormat="false" ht="14.15" hidden="false" customHeight="true" outlineLevel="0" collapsed="false">
      <c r="A147" s="502"/>
      <c r="B147" s="5"/>
      <c r="C147" s="1046" t="s">
        <v>573</v>
      </c>
      <c r="D147" s="1046"/>
      <c r="E147" s="1046"/>
      <c r="F147" s="1047" t="n">
        <v>0.17</v>
      </c>
      <c r="G147" s="1047" t="n">
        <v>0.6</v>
      </c>
      <c r="H147" s="1047" t="n">
        <v>0.26</v>
      </c>
      <c r="I147" s="1047" t="n">
        <v>0.6</v>
      </c>
      <c r="J147" s="1047" t="n">
        <v>0.24</v>
      </c>
      <c r="K147" s="1048" t="n">
        <v>0.25</v>
      </c>
      <c r="L147" s="1048" t="n">
        <v>0.179</v>
      </c>
      <c r="M147" s="1048" t="n">
        <v>0.15</v>
      </c>
      <c r="N147" s="502"/>
      <c r="O147" s="8"/>
      <c r="P147" s="255" t="s">
        <v>656</v>
      </c>
      <c r="Q147" s="310" t="s">
        <v>657</v>
      </c>
      <c r="R147" s="1044" t="n">
        <v>0.74</v>
      </c>
      <c r="S147" s="1044" t="n">
        <v>0.69</v>
      </c>
      <c r="T147" s="1044" t="n">
        <v>0.55</v>
      </c>
      <c r="U147" s="502"/>
      <c r="V147" s="8"/>
      <c r="W147" s="5"/>
      <c r="X147" s="8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</row>
    <row r="148" customFormat="false" ht="14.15" hidden="false" customHeight="true" outlineLevel="0" collapsed="false">
      <c r="A148" s="502"/>
      <c r="B148" s="5"/>
      <c r="C148" s="1049" t="s">
        <v>601</v>
      </c>
      <c r="D148" s="1049"/>
      <c r="E148" s="1049"/>
      <c r="F148" s="1050" t="n">
        <v>0.4</v>
      </c>
      <c r="G148" s="1050" t="n">
        <v>0.6</v>
      </c>
      <c r="H148" s="1050" t="n">
        <v>0.6</v>
      </c>
      <c r="I148" s="1050" t="n">
        <v>0.6</v>
      </c>
      <c r="J148" s="1050" t="n">
        <v>0.8</v>
      </c>
      <c r="K148" s="1051"/>
      <c r="L148" s="1051"/>
      <c r="M148" s="1051"/>
      <c r="N148" s="502"/>
      <c r="O148" s="8"/>
      <c r="P148" s="255" t="s">
        <v>658</v>
      </c>
      <c r="Q148" s="310" t="s">
        <v>659</v>
      </c>
      <c r="R148" s="1044" t="n">
        <v>0.68</v>
      </c>
      <c r="S148" s="1044" t="n">
        <v>0.53</v>
      </c>
      <c r="T148" s="1044" t="n">
        <v>0.69</v>
      </c>
      <c r="U148" s="502"/>
      <c r="V148" s="8"/>
      <c r="W148" s="5"/>
      <c r="X148" s="8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</row>
    <row r="149" customFormat="false" ht="14.15" hidden="false" customHeight="true" outlineLevel="0" collapsed="false">
      <c r="A149" s="502"/>
      <c r="B149" s="5"/>
      <c r="C149" s="1046" t="s">
        <v>575</v>
      </c>
      <c r="D149" s="1046"/>
      <c r="E149" s="1046"/>
      <c r="F149" s="1047" t="n">
        <v>0.09</v>
      </c>
      <c r="G149" s="1047" t="n">
        <v>0.6</v>
      </c>
      <c r="H149" s="1047" t="n">
        <v>0.14</v>
      </c>
      <c r="I149" s="1047" t="n">
        <v>0.6</v>
      </c>
      <c r="J149" s="1047" t="n">
        <v>0.15</v>
      </c>
      <c r="K149" s="1052" t="n">
        <v>0.016</v>
      </c>
      <c r="L149" s="1052" t="n">
        <v>0.094</v>
      </c>
      <c r="M149" s="1052" t="n">
        <v>0.094</v>
      </c>
      <c r="N149" s="502"/>
      <c r="O149" s="8"/>
      <c r="P149" s="1042" t="s">
        <v>660</v>
      </c>
      <c r="Q149" s="882" t="s">
        <v>649</v>
      </c>
      <c r="R149" s="1043" t="n">
        <v>0.7</v>
      </c>
      <c r="S149" s="1043" t="n">
        <v>0.37</v>
      </c>
      <c r="T149" s="1043" t="n">
        <v>0.98</v>
      </c>
      <c r="U149" s="502"/>
      <c r="V149" s="8"/>
      <c r="W149" s="5"/>
      <c r="X149" s="8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</row>
    <row r="150" customFormat="false" ht="14.15" hidden="false" customHeight="true" outlineLevel="0" collapsed="false">
      <c r="A150" s="502"/>
      <c r="B150" s="5"/>
      <c r="C150" s="1049" t="s">
        <v>604</v>
      </c>
      <c r="D150" s="1049"/>
      <c r="E150" s="1049"/>
      <c r="F150" s="1050" t="n">
        <v>0.09</v>
      </c>
      <c r="G150" s="1050" t="n">
        <v>0.6</v>
      </c>
      <c r="H150" s="1050" t="n">
        <v>0.14</v>
      </c>
      <c r="I150" s="1050" t="n">
        <v>0.6</v>
      </c>
      <c r="J150" s="1050" t="n">
        <v>0.15</v>
      </c>
      <c r="K150" s="1051" t="n">
        <v>0.2</v>
      </c>
      <c r="L150" s="1051" t="n">
        <v>0.137</v>
      </c>
      <c r="M150" s="1051" t="n">
        <v>0.137</v>
      </c>
      <c r="N150" s="502"/>
      <c r="O150" s="8"/>
      <c r="P150" s="255" t="s">
        <v>661</v>
      </c>
      <c r="Q150" s="310" t="s">
        <v>662</v>
      </c>
      <c r="R150" s="1044" t="n">
        <v>0.82</v>
      </c>
      <c r="S150" s="1044" t="n">
        <v>0.73</v>
      </c>
      <c r="T150" s="1044" t="n">
        <v>0.46</v>
      </c>
      <c r="U150" s="502"/>
      <c r="V150" s="8"/>
      <c r="W150" s="5"/>
      <c r="X150" s="8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</row>
    <row r="151" customFormat="false" ht="14.15" hidden="false" customHeight="true" outlineLevel="0" collapsed="false">
      <c r="A151" s="502"/>
      <c r="B151" s="5"/>
      <c r="C151" s="1049" t="s">
        <v>607</v>
      </c>
      <c r="D151" s="1049"/>
      <c r="E151" s="1049"/>
      <c r="F151" s="1050" t="n">
        <v>0.17</v>
      </c>
      <c r="G151" s="1050" t="n">
        <v>0.6</v>
      </c>
      <c r="H151" s="1050" t="n">
        <v>0.26</v>
      </c>
      <c r="I151" s="1050" t="n">
        <v>0.6</v>
      </c>
      <c r="J151" s="1050" t="n">
        <v>0.19</v>
      </c>
      <c r="K151" s="1051"/>
      <c r="L151" s="1051"/>
      <c r="M151" s="1051"/>
      <c r="N151" s="502"/>
      <c r="O151" s="8"/>
      <c r="P151" s="1053" t="s">
        <v>663</v>
      </c>
      <c r="Q151" s="1053"/>
      <c r="R151" s="1053"/>
      <c r="S151" s="1053"/>
      <c r="T151" s="1053"/>
      <c r="U151" s="502"/>
      <c r="V151" s="8"/>
      <c r="W151" s="5"/>
      <c r="X151" s="8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</row>
    <row r="152" customFormat="false" ht="14.15" hidden="false" customHeight="true" outlineLevel="0" collapsed="false">
      <c r="A152" s="502"/>
      <c r="B152" s="5"/>
      <c r="C152" s="1046" t="s">
        <v>609</v>
      </c>
      <c r="D152" s="1046"/>
      <c r="E152" s="1046"/>
      <c r="F152" s="1050" t="n">
        <v>0.16</v>
      </c>
      <c r="G152" s="1050" t="n">
        <v>0.6</v>
      </c>
      <c r="H152" s="1050" t="n">
        <v>0.24</v>
      </c>
      <c r="I152" s="1050" t="n">
        <v>0.6</v>
      </c>
      <c r="J152" s="1050" t="n">
        <v>0.24</v>
      </c>
      <c r="K152" s="1051"/>
      <c r="L152" s="1051"/>
      <c r="M152" s="1051"/>
      <c r="N152" s="502"/>
      <c r="O152" s="8"/>
      <c r="P152" s="1053"/>
      <c r="Q152" s="1053"/>
      <c r="R152" s="1053"/>
      <c r="S152" s="1053"/>
      <c r="T152" s="1053"/>
      <c r="U152" s="502"/>
      <c r="V152" s="8"/>
      <c r="W152" s="5"/>
      <c r="X152" s="8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</row>
    <row r="153" customFormat="false" ht="14.15" hidden="false" customHeight="true" outlineLevel="0" collapsed="false">
      <c r="A153" s="502"/>
      <c r="B153" s="5"/>
      <c r="C153" s="255" t="s">
        <v>611</v>
      </c>
      <c r="D153" s="255"/>
      <c r="E153" s="255"/>
      <c r="F153" s="1047" t="n">
        <v>0.16</v>
      </c>
      <c r="G153" s="1047" t="n">
        <v>0.6</v>
      </c>
      <c r="H153" s="1047" t="n">
        <v>0.24</v>
      </c>
      <c r="I153" s="1047" t="n">
        <v>0.6</v>
      </c>
      <c r="J153" s="1047" t="n">
        <v>0.24</v>
      </c>
      <c r="K153" s="1052"/>
      <c r="L153" s="1052"/>
      <c r="M153" s="1052"/>
      <c r="N153" s="502"/>
      <c r="O153" s="8"/>
      <c r="P153" s="1053"/>
      <c r="Q153" s="1053"/>
      <c r="R153" s="1053"/>
      <c r="S153" s="1053"/>
      <c r="T153" s="1053"/>
      <c r="U153" s="502"/>
      <c r="V153" s="8"/>
      <c r="W153" s="5"/>
      <c r="X153" s="8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</row>
    <row r="154" customFormat="false" ht="14.15" hidden="false" customHeight="true" outlineLevel="0" collapsed="false">
      <c r="A154" s="502"/>
      <c r="B154" s="5"/>
      <c r="C154" s="1046" t="s">
        <v>579</v>
      </c>
      <c r="D154" s="1046"/>
      <c r="E154" s="1046"/>
      <c r="F154" s="1047" t="n">
        <v>1</v>
      </c>
      <c r="G154" s="1047" t="n">
        <v>1.8</v>
      </c>
      <c r="H154" s="1047" t="n">
        <v>1.4</v>
      </c>
      <c r="I154" s="1047" t="n">
        <v>2.8</v>
      </c>
      <c r="J154" s="1047" t="n">
        <v>1.4</v>
      </c>
      <c r="K154" s="1052" t="n">
        <v>1.4</v>
      </c>
      <c r="L154" s="1052" t="n">
        <v>1</v>
      </c>
      <c r="M154" s="1052" t="n">
        <v>1</v>
      </c>
      <c r="N154" s="502"/>
      <c r="O154" s="8"/>
      <c r="P154" s="1053"/>
      <c r="Q154" s="1053"/>
      <c r="R154" s="1053"/>
      <c r="S154" s="1053"/>
      <c r="T154" s="1053"/>
      <c r="U154" s="502"/>
      <c r="V154" s="8"/>
      <c r="W154" s="5"/>
      <c r="X154" s="8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</row>
    <row r="155" customFormat="false" ht="14.15" hidden="false" customHeight="true" outlineLevel="0" collapsed="false">
      <c r="A155" s="502"/>
      <c r="B155" s="5"/>
      <c r="C155" s="1046" t="s">
        <v>614</v>
      </c>
      <c r="D155" s="1046"/>
      <c r="E155" s="1046"/>
      <c r="F155" s="1050" t="n">
        <v>1</v>
      </c>
      <c r="G155" s="1050" t="n">
        <v>1.8</v>
      </c>
      <c r="H155" s="1050" t="n">
        <v>1.4</v>
      </c>
      <c r="I155" s="1050" t="n">
        <v>2.8</v>
      </c>
      <c r="J155" s="1050" t="n">
        <v>1.4</v>
      </c>
      <c r="K155" s="1051" t="n">
        <v>1.4</v>
      </c>
      <c r="L155" s="1051" t="n">
        <v>1</v>
      </c>
      <c r="M155" s="1051" t="n">
        <v>1</v>
      </c>
      <c r="N155" s="502"/>
      <c r="O155" s="8"/>
      <c r="P155" s="1053"/>
      <c r="Q155" s="1053"/>
      <c r="R155" s="1053"/>
      <c r="S155" s="1053"/>
      <c r="T155" s="1053"/>
      <c r="U155" s="502"/>
      <c r="V155" s="8"/>
      <c r="W155" s="5"/>
      <c r="X155" s="8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</row>
    <row r="156" customFormat="false" ht="14.15" hidden="false" customHeight="true" outlineLevel="0" collapsed="false">
      <c r="A156" s="502"/>
      <c r="B156" s="5"/>
      <c r="C156" s="255" t="s">
        <v>615</v>
      </c>
      <c r="D156" s="255"/>
      <c r="E156" s="255"/>
      <c r="F156" s="1047" t="n">
        <v>1</v>
      </c>
      <c r="G156" s="1047" t="n">
        <v>1.8</v>
      </c>
      <c r="H156" s="1047" t="n">
        <v>1.4</v>
      </c>
      <c r="I156" s="1047" t="n">
        <v>2.8</v>
      </c>
      <c r="J156" s="1047" t="n">
        <v>1.4</v>
      </c>
      <c r="K156" s="1052"/>
      <c r="L156" s="1052"/>
      <c r="M156" s="1052"/>
      <c r="N156" s="502"/>
      <c r="O156" s="8"/>
      <c r="P156" s="1053"/>
      <c r="Q156" s="1053"/>
      <c r="R156" s="1053"/>
      <c r="S156" s="1053"/>
      <c r="T156" s="1053"/>
      <c r="U156" s="502"/>
      <c r="V156" s="8"/>
      <c r="W156" s="5"/>
      <c r="X156" s="8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</row>
    <row r="157" customFormat="false" ht="14.15" hidden="false" customHeight="true" outlineLevel="0" collapsed="false">
      <c r="A157" s="502"/>
      <c r="B157" s="5"/>
      <c r="C157" s="255" t="s">
        <v>616</v>
      </c>
      <c r="D157" s="255"/>
      <c r="E157" s="255"/>
      <c r="F157" s="1047" t="n">
        <v>1</v>
      </c>
      <c r="G157" s="1047" t="n">
        <v>2</v>
      </c>
      <c r="H157" s="1047" t="n">
        <v>1.4</v>
      </c>
      <c r="I157" s="1047" t="n">
        <v>2.8</v>
      </c>
      <c r="J157" s="1047" t="n">
        <v>1.4</v>
      </c>
      <c r="K157" s="1052"/>
      <c r="L157" s="1052"/>
      <c r="M157" s="1052"/>
      <c r="N157" s="502"/>
      <c r="O157" s="8"/>
      <c r="P157" s="1053"/>
      <c r="Q157" s="1053"/>
      <c r="R157" s="1053"/>
      <c r="S157" s="1053"/>
      <c r="T157" s="1053"/>
      <c r="U157" s="502"/>
      <c r="V157" s="8"/>
      <c r="W157" s="5"/>
      <c r="X157" s="8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</row>
    <row r="158" customFormat="false" ht="14.15" hidden="false" customHeight="true" outlineLevel="0" collapsed="false">
      <c r="A158" s="502"/>
      <c r="B158" s="5"/>
      <c r="C158" s="185" t="s">
        <v>618</v>
      </c>
      <c r="D158" s="185"/>
      <c r="E158" s="185"/>
      <c r="F158" s="185"/>
      <c r="G158" s="185"/>
      <c r="H158" s="185"/>
      <c r="I158" s="185"/>
      <c r="J158" s="185"/>
      <c r="K158" s="1054"/>
      <c r="L158" s="1054"/>
      <c r="M158" s="1054"/>
      <c r="N158" s="502"/>
      <c r="O158" s="8"/>
      <c r="P158" s="1053"/>
      <c r="Q158" s="1053"/>
      <c r="R158" s="1053"/>
      <c r="S158" s="1053"/>
      <c r="T158" s="1053"/>
      <c r="U158" s="502"/>
      <c r="V158" s="8"/>
      <c r="W158" s="5"/>
      <c r="X158" s="8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</row>
    <row r="159" customFormat="false" ht="14.15" hidden="false" customHeight="true" outlineLevel="0" collapsed="false">
      <c r="A159" s="502"/>
      <c r="B159" s="5"/>
      <c r="C159" s="255" t="s">
        <v>619</v>
      </c>
      <c r="D159" s="255"/>
      <c r="E159" s="255"/>
      <c r="F159" s="255"/>
      <c r="G159" s="1047" t="n">
        <v>0.6</v>
      </c>
      <c r="H159" s="1055"/>
      <c r="I159" s="1055"/>
      <c r="J159" s="1055"/>
      <c r="K159" s="1054"/>
      <c r="L159" s="1054"/>
      <c r="M159" s="1054"/>
      <c r="N159" s="502"/>
      <c r="O159" s="8"/>
      <c r="P159" s="1053"/>
      <c r="Q159" s="1053"/>
      <c r="R159" s="1053"/>
      <c r="S159" s="1053"/>
      <c r="T159" s="1053"/>
      <c r="U159" s="502"/>
      <c r="V159" s="8"/>
      <c r="W159" s="5"/>
      <c r="X159" s="8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</row>
    <row r="160" customFormat="false" ht="14.15" hidden="false" customHeight="true" outlineLevel="0" collapsed="false">
      <c r="A160" s="502"/>
      <c r="B160" s="5"/>
      <c r="C160" s="255" t="s">
        <v>620</v>
      </c>
      <c r="D160" s="255"/>
      <c r="E160" s="255"/>
      <c r="F160" s="255"/>
      <c r="G160" s="1047" t="n">
        <v>2.8</v>
      </c>
      <c r="H160" s="1055"/>
      <c r="I160" s="1055"/>
      <c r="J160" s="1055"/>
      <c r="K160" s="1054"/>
      <c r="L160" s="1054"/>
      <c r="M160" s="1054"/>
      <c r="N160" s="502"/>
      <c r="O160" s="8"/>
      <c r="P160" s="502"/>
      <c r="Q160" s="502"/>
      <c r="R160" s="502"/>
      <c r="S160" s="502"/>
      <c r="T160" s="502"/>
      <c r="U160" s="502"/>
      <c r="V160" s="8"/>
      <c r="W160" s="5"/>
      <c r="X160" s="8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</row>
    <row r="161" customFormat="false" ht="14.15" hidden="false" customHeight="true" outlineLevel="0" collapsed="false">
      <c r="A161" s="502"/>
      <c r="B161" s="5"/>
      <c r="C161" s="185" t="s">
        <v>618</v>
      </c>
      <c r="D161" s="185"/>
      <c r="E161" s="185"/>
      <c r="F161" s="185"/>
      <c r="G161" s="185"/>
      <c r="H161" s="185"/>
      <c r="I161" s="185"/>
      <c r="J161" s="185"/>
      <c r="K161" s="1054"/>
      <c r="L161" s="1054"/>
      <c r="M161" s="1054"/>
      <c r="N161" s="502"/>
      <c r="O161" s="8"/>
      <c r="P161" s="502"/>
      <c r="Q161" s="502"/>
      <c r="R161" s="502"/>
      <c r="S161" s="502"/>
      <c r="T161" s="502"/>
      <c r="U161" s="502"/>
      <c r="V161" s="8"/>
      <c r="W161" s="5"/>
      <c r="X161" s="8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</row>
    <row r="162" customFormat="false" ht="14.15" hidden="false" customHeight="true" outlineLevel="0" collapsed="false">
      <c r="A162" s="502"/>
      <c r="B162" s="5"/>
      <c r="C162" s="255" t="s">
        <v>619</v>
      </c>
      <c r="D162" s="255"/>
      <c r="E162" s="255"/>
      <c r="F162" s="255"/>
      <c r="G162" s="1047" t="n">
        <v>0.27</v>
      </c>
      <c r="H162" s="1055"/>
      <c r="I162" s="1055"/>
      <c r="J162" s="1055"/>
      <c r="K162" s="1054"/>
      <c r="L162" s="1054"/>
      <c r="M162" s="1054"/>
      <c r="N162" s="502"/>
      <c r="O162" s="8"/>
      <c r="P162" s="502"/>
      <c r="Q162" s="502"/>
      <c r="R162" s="502"/>
      <c r="S162" s="502"/>
      <c r="T162" s="502"/>
      <c r="U162" s="502"/>
      <c r="V162" s="502"/>
      <c r="W162" s="5"/>
      <c r="X162" s="8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</row>
    <row r="163" customFormat="false" ht="14.15" hidden="false" customHeight="true" outlineLevel="0" collapsed="false">
      <c r="A163" s="502"/>
      <c r="B163" s="5"/>
      <c r="C163" s="255" t="s">
        <v>581</v>
      </c>
      <c r="D163" s="255"/>
      <c r="E163" s="255"/>
      <c r="F163" s="255"/>
      <c r="G163" s="1047" t="n">
        <v>1.4</v>
      </c>
      <c r="H163" s="1055"/>
      <c r="I163" s="1055"/>
      <c r="J163" s="1055"/>
      <c r="K163" s="1054"/>
      <c r="L163" s="1054"/>
      <c r="M163" s="1054"/>
      <c r="N163" s="502"/>
      <c r="O163" s="8"/>
      <c r="P163" s="502"/>
      <c r="Q163" s="502"/>
      <c r="R163" s="502"/>
      <c r="S163" s="502"/>
      <c r="T163" s="502"/>
      <c r="U163" s="502"/>
      <c r="V163" s="502"/>
      <c r="W163" s="5"/>
      <c r="X163" s="8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</row>
    <row r="164" customFormat="false" ht="14.15" hidden="false" customHeight="true" outlineLevel="0" collapsed="false">
      <c r="A164" s="63"/>
      <c r="B164" s="5"/>
      <c r="C164" s="502"/>
      <c r="D164" s="502"/>
      <c r="E164" s="502"/>
      <c r="F164" s="502"/>
      <c r="G164" s="502"/>
      <c r="H164" s="502"/>
      <c r="I164" s="502"/>
      <c r="J164" s="502"/>
      <c r="K164" s="502"/>
      <c r="L164" s="502"/>
      <c r="M164" s="502"/>
      <c r="N164" s="502"/>
      <c r="O164" s="8"/>
      <c r="P164" s="502"/>
      <c r="Q164" s="502"/>
      <c r="R164" s="502"/>
      <c r="S164" s="502"/>
      <c r="T164" s="502"/>
      <c r="U164" s="502"/>
      <c r="V164" s="502"/>
      <c r="W164" s="5"/>
      <c r="X164" s="8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</row>
    <row r="165" customFormat="false" ht="14.15" hidden="false" customHeight="true" outlineLevel="0" collapsed="false">
      <c r="A165" s="63"/>
      <c r="B165" s="5"/>
      <c r="C165" s="502"/>
      <c r="D165" s="502"/>
      <c r="E165" s="1056" t="s">
        <v>664</v>
      </c>
      <c r="F165" s="1056"/>
      <c r="G165" s="1056"/>
      <c r="H165" s="1056"/>
      <c r="I165" s="1056"/>
      <c r="J165" s="1056"/>
      <c r="K165" s="1056"/>
      <c r="L165" s="1056"/>
      <c r="M165" s="502"/>
      <c r="N165" s="502"/>
      <c r="O165" s="8"/>
      <c r="P165" s="502"/>
      <c r="Q165" s="502"/>
      <c r="R165" s="502"/>
      <c r="S165" s="502"/>
      <c r="T165" s="502"/>
      <c r="U165" s="502"/>
      <c r="V165" s="502"/>
      <c r="W165" s="5"/>
      <c r="X165" s="8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</row>
    <row r="166" customFormat="false" ht="14.15" hidden="false" customHeight="true" outlineLevel="0" collapsed="false">
      <c r="A166" s="63"/>
      <c r="B166" s="5"/>
      <c r="C166" s="502"/>
      <c r="D166" s="502"/>
      <c r="E166" s="1057" t="str">
        <f aca="false">IF(B21&lt;1,E87,E87&amp;",  ilmanvaihto ja vuotoilma mukana")</f>
        <v>Kellarikerros,  ilmanvaihto ja vuotoilma mukana</v>
      </c>
      <c r="F166" s="1057"/>
      <c r="G166" s="1057"/>
      <c r="H166" s="1058" t="s">
        <v>665</v>
      </c>
      <c r="I166" s="1059" t="n">
        <f aca="false">IF($B$21&gt;0,$B$23,"")</f>
        <v>1975</v>
      </c>
      <c r="J166" s="1058" t="s">
        <v>666</v>
      </c>
      <c r="K166" s="1060" t="n">
        <f aca="false">IF($B$21&gt;0,$B$30,"")</f>
        <v>15</v>
      </c>
      <c r="L166" s="1061" t="n">
        <f aca="false">IF($B$21&lt;1,0,SUM(L179:L181))</f>
        <v>5792.67930210763</v>
      </c>
      <c r="M166" s="502"/>
      <c r="N166" s="502"/>
      <c r="O166" s="8"/>
      <c r="P166" s="502"/>
      <c r="Q166" s="502"/>
      <c r="R166" s="502"/>
      <c r="S166" s="502"/>
      <c r="T166" s="502"/>
      <c r="U166" s="502"/>
      <c r="V166" s="502"/>
      <c r="W166" s="5"/>
      <c r="X166" s="8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</row>
    <row r="167" customFormat="false" ht="14.15" hidden="false" customHeight="true" outlineLevel="0" collapsed="false">
      <c r="A167" s="63"/>
      <c r="B167" s="5"/>
      <c r="C167" s="502"/>
      <c r="D167" s="502"/>
      <c r="E167" s="255" t="s">
        <v>667</v>
      </c>
      <c r="F167" s="255"/>
      <c r="G167" s="255"/>
      <c r="H167" s="1062" t="n">
        <f aca="false">IF($B$21=0,"",$B$24)</f>
        <v>9</v>
      </c>
      <c r="I167" s="1062" t="n">
        <f aca="false">IF($B$21&lt;1,"",$B$25)</f>
        <v>8</v>
      </c>
      <c r="J167" s="1062" t="n">
        <f aca="false">IF($B$21&lt;1,"",$B$26+2*$B$27)</f>
        <v>2.86</v>
      </c>
      <c r="K167" s="1063" t="n">
        <f aca="false">IF($B$21&lt;1,"",H167*I167)</f>
        <v>72</v>
      </c>
      <c r="L167" s="1064" t="n">
        <f aca="false">IF($B$21&lt;1,"",B45)</f>
        <v>180</v>
      </c>
      <c r="M167" s="502"/>
      <c r="N167" s="502"/>
      <c r="O167" s="8"/>
      <c r="P167" s="502"/>
      <c r="Q167" s="502"/>
      <c r="R167" s="502"/>
      <c r="S167" s="502"/>
      <c r="T167" s="502"/>
      <c r="U167" s="502"/>
      <c r="V167" s="502"/>
      <c r="W167" s="5"/>
      <c r="X167" s="8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</row>
    <row r="168" customFormat="false" ht="14.15" hidden="false" customHeight="true" outlineLevel="0" collapsed="false">
      <c r="A168" s="63"/>
      <c r="B168" s="5"/>
      <c r="C168" s="502"/>
      <c r="D168" s="502"/>
      <c r="E168" s="255" t="s">
        <v>668</v>
      </c>
      <c r="F168" s="255"/>
      <c r="G168" s="255"/>
      <c r="H168" s="1065" t="n">
        <f aca="false">IF($B$21&lt;1,"",$B$43)</f>
        <v>8.34</v>
      </c>
      <c r="I168" s="1065" t="n">
        <f aca="false">IF($B$21&lt;1,"",$B$44)</f>
        <v>7.34</v>
      </c>
      <c r="J168" s="1066" t="n">
        <f aca="false">IF($B$21&lt;1,"",$B$26)</f>
        <v>2.2</v>
      </c>
      <c r="K168" s="1067" t="n">
        <f aca="false">IF($B$21&lt;1,"",H168*I168)</f>
        <v>61.2156</v>
      </c>
      <c r="L168" s="1064" t="n">
        <f aca="false">IF($B$21&lt;1,"",H168*I168*J168)</f>
        <v>134.67432</v>
      </c>
      <c r="M168" s="502"/>
      <c r="N168" s="502"/>
      <c r="O168" s="8"/>
      <c r="P168" s="502"/>
      <c r="Q168" s="502"/>
      <c r="R168" s="502"/>
      <c r="S168" s="502"/>
      <c r="T168" s="502"/>
      <c r="U168" s="502"/>
      <c r="V168" s="502"/>
      <c r="W168" s="5"/>
      <c r="X168" s="8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</row>
    <row r="169" customFormat="false" ht="14.15" hidden="false" customHeight="true" outlineLevel="0" collapsed="false">
      <c r="A169" s="63"/>
      <c r="B169" s="5"/>
      <c r="C169" s="502"/>
      <c r="D169" s="502"/>
      <c r="E169" s="255" t="s">
        <v>669</v>
      </c>
      <c r="F169" s="255"/>
      <c r="G169" s="255"/>
      <c r="H169" s="1062" t="n">
        <f aca="false">IF($B$21&lt;1,"",$B$27)</f>
        <v>0.33</v>
      </c>
      <c r="I169" s="1068" t="n">
        <f aca="false">IF($B$21&lt;1,0,K88/$B$51)</f>
        <v>0.189846371808642</v>
      </c>
      <c r="J169" s="1069" t="n">
        <f aca="false">M87</f>
        <v>70.1626927748452</v>
      </c>
      <c r="K169" s="1067" t="n">
        <f aca="false">IF($B$21&lt;1,0,$B$51)</f>
        <v>191.4232</v>
      </c>
      <c r="L169" s="1070" t="n">
        <f aca="false">IF(B21&lt;1,0,L88)</f>
        <v>4295.05133582782</v>
      </c>
      <c r="M169" s="502"/>
      <c r="N169" s="502"/>
      <c r="O169" s="8"/>
      <c r="P169" s="502"/>
      <c r="Q169" s="502"/>
      <c r="R169" s="502"/>
      <c r="S169" s="502"/>
      <c r="T169" s="502"/>
      <c r="U169" s="502"/>
      <c r="V169" s="502"/>
      <c r="W169" s="5"/>
      <c r="X169" s="8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</row>
    <row r="170" customFormat="false" ht="14.15" hidden="false" customHeight="true" outlineLevel="0" collapsed="false">
      <c r="A170" s="63"/>
      <c r="B170" s="5"/>
      <c r="C170" s="502"/>
      <c r="D170" s="502"/>
      <c r="E170" s="255" t="s">
        <v>670</v>
      </c>
      <c r="F170" s="255"/>
      <c r="G170" s="255"/>
      <c r="H170" s="1065"/>
      <c r="I170" s="310"/>
      <c r="J170" s="310"/>
      <c r="K170" s="1064" t="n">
        <f aca="false">B46</f>
        <v>153.039</v>
      </c>
      <c r="L170" s="1071" t="n">
        <f aca="false">IF($B$21&lt;1,0,L166/K170)</f>
        <v>37.8510007390772</v>
      </c>
      <c r="M170" s="502"/>
      <c r="N170" s="502"/>
      <c r="O170" s="8"/>
      <c r="P170" s="502"/>
      <c r="Q170" s="502"/>
      <c r="R170" s="502"/>
      <c r="S170" s="502"/>
      <c r="T170" s="502"/>
      <c r="U170" s="502"/>
      <c r="V170" s="502"/>
      <c r="W170" s="5"/>
      <c r="X170" s="8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</row>
    <row r="171" customFormat="false" ht="14.15" hidden="false" customHeight="true" outlineLevel="0" collapsed="false">
      <c r="A171" s="63"/>
      <c r="B171" s="5"/>
      <c r="C171" s="502"/>
      <c r="D171" s="502"/>
      <c r="E171" s="255" t="s">
        <v>671</v>
      </c>
      <c r="F171" s="255"/>
      <c r="G171" s="255"/>
      <c r="H171" s="1065"/>
      <c r="I171" s="310"/>
      <c r="J171" s="310"/>
      <c r="K171" s="1064" t="n">
        <f aca="false">B46</f>
        <v>153.039</v>
      </c>
      <c r="L171" s="1072" t="n">
        <f aca="false">IF($B$21&lt;1,0,1000*L166/$G$9/K171)</f>
        <v>7.91173649554386</v>
      </c>
      <c r="M171" s="502"/>
      <c r="N171" s="502"/>
      <c r="O171" s="8"/>
      <c r="P171" s="502"/>
      <c r="Q171" s="502"/>
      <c r="R171" s="502"/>
      <c r="S171" s="502"/>
      <c r="T171" s="502"/>
      <c r="U171" s="502"/>
      <c r="V171" s="502"/>
      <c r="W171" s="5"/>
      <c r="X171" s="8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</row>
    <row r="172" customFormat="false" ht="14.15" hidden="false" customHeight="true" outlineLevel="0" collapsed="false">
      <c r="A172" s="63"/>
      <c r="B172" s="5"/>
      <c r="C172" s="502"/>
      <c r="D172" s="502"/>
      <c r="E172" s="255" t="s">
        <v>672</v>
      </c>
      <c r="F172" s="255"/>
      <c r="G172" s="255"/>
      <c r="H172" s="1065"/>
      <c r="I172" s="310"/>
      <c r="J172" s="310"/>
      <c r="K172" s="1067" t="n">
        <f aca="false">IF($B$21&lt;1,0,$B$47)</f>
        <v>72</v>
      </c>
      <c r="L172" s="1073" t="n">
        <f aca="false">IF(K172&lt;3,0,L166/K172)</f>
        <v>80.4538791959393</v>
      </c>
      <c r="M172" s="502"/>
      <c r="N172" s="502"/>
      <c r="O172" s="8"/>
      <c r="P172" s="502"/>
      <c r="Q172" s="502"/>
      <c r="R172" s="502"/>
      <c r="S172" s="502"/>
      <c r="T172" s="502"/>
      <c r="U172" s="502"/>
      <c r="V172" s="502"/>
      <c r="W172" s="5"/>
      <c r="X172" s="8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</row>
    <row r="173" customFormat="false" ht="14.15" hidden="false" customHeight="true" outlineLevel="0" collapsed="false">
      <c r="A173" s="63"/>
      <c r="B173" s="5"/>
      <c r="C173" s="502"/>
      <c r="D173" s="502"/>
      <c r="E173" s="255" t="s">
        <v>673</v>
      </c>
      <c r="F173" s="255"/>
      <c r="G173" s="255"/>
      <c r="H173" s="1065"/>
      <c r="I173" s="310"/>
      <c r="J173" s="310"/>
      <c r="K173" s="1067" t="n">
        <f aca="false">IF($B$21&lt;1,0,$B$49)</f>
        <v>61.2156</v>
      </c>
      <c r="L173" s="1073" t="n">
        <f aca="false">IF(K173&lt;3,0,L166/K173)</f>
        <v>94.6275018476929</v>
      </c>
      <c r="M173" s="502"/>
      <c r="N173" s="502"/>
      <c r="O173" s="8"/>
      <c r="P173" s="502"/>
      <c r="Q173" s="502"/>
      <c r="R173" s="502"/>
      <c r="S173" s="502"/>
      <c r="T173" s="502"/>
      <c r="U173" s="502"/>
      <c r="V173" s="502"/>
      <c r="W173" s="5"/>
      <c r="X173" s="8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</row>
    <row r="174" customFormat="false" ht="14.15" hidden="false" customHeight="true" outlineLevel="0" collapsed="false">
      <c r="A174" s="63"/>
      <c r="B174" s="5"/>
      <c r="C174" s="502"/>
      <c r="D174" s="502"/>
      <c r="E174" s="255" t="s">
        <v>577</v>
      </c>
      <c r="F174" s="255"/>
      <c r="G174" s="255"/>
      <c r="H174" s="1065"/>
      <c r="I174" s="1068" t="n">
        <f aca="false">IF($B$21&lt;1,0,SUM(K89:K90)/D89)</f>
        <v>0.200014375420644</v>
      </c>
      <c r="J174" s="1068"/>
      <c r="K174" s="1074" t="n">
        <f aca="false">IF($B$21&lt;1,"",D91)</f>
        <v>61.2156</v>
      </c>
      <c r="L174" s="1070" t="n">
        <f aca="false">IF($B$21&lt;1,0,L89)</f>
        <v>1447.08754728477</v>
      </c>
      <c r="M174" s="502"/>
      <c r="N174" s="502"/>
      <c r="O174" s="8"/>
      <c r="P174" s="502"/>
      <c r="Q174" s="502"/>
      <c r="R174" s="502"/>
      <c r="S174" s="502"/>
      <c r="T174" s="502"/>
      <c r="U174" s="502"/>
      <c r="V174" s="502"/>
      <c r="W174" s="5"/>
      <c r="X174" s="8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</row>
    <row r="175" customFormat="false" ht="14.15" hidden="false" customHeight="true" outlineLevel="0" collapsed="false">
      <c r="A175" s="63"/>
      <c r="B175" s="5"/>
      <c r="C175" s="502"/>
      <c r="D175" s="502"/>
      <c r="E175" s="255" t="s">
        <v>575</v>
      </c>
      <c r="F175" s="255"/>
      <c r="G175" s="255"/>
      <c r="H175" s="1065"/>
      <c r="I175" s="1068" t="n">
        <f aca="false">IF(B21&lt;1,0,SUM(K91:K92)/D91)</f>
        <v>0</v>
      </c>
      <c r="J175" s="1068"/>
      <c r="K175" s="1074" t="n">
        <f aca="false">IF($B$21&lt;1,"",D91)</f>
        <v>61.2156</v>
      </c>
      <c r="L175" s="1070" t="n">
        <f aca="false">IF($B$21&lt;1,0,L91)</f>
        <v>0</v>
      </c>
      <c r="M175" s="502"/>
      <c r="N175" s="502"/>
      <c r="O175" s="8"/>
      <c r="P175" s="502"/>
      <c r="Q175" s="502"/>
      <c r="R175" s="502"/>
      <c r="S175" s="502"/>
      <c r="T175" s="502"/>
      <c r="U175" s="502"/>
      <c r="V175" s="502"/>
      <c r="W175" s="5"/>
      <c r="X175" s="8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</row>
    <row r="176" customFormat="false" ht="14.15" hidden="false" customHeight="true" outlineLevel="0" collapsed="false">
      <c r="A176" s="63"/>
      <c r="B176" s="5"/>
      <c r="C176" s="502"/>
      <c r="D176" s="502"/>
      <c r="E176" s="255" t="s">
        <v>674</v>
      </c>
      <c r="F176" s="255"/>
      <c r="G176" s="255"/>
      <c r="H176" s="1065"/>
      <c r="I176" s="1068" t="n">
        <f aca="false">IF($B$21&lt;1,0,SUM(K97:K98)/D97)</f>
        <v>0.299991043706711</v>
      </c>
      <c r="J176" s="1068"/>
      <c r="K176" s="1074" t="n">
        <f aca="false">IF($B$21&lt;1,"",SUM(H97:H98))</f>
        <v>66.992</v>
      </c>
      <c r="L176" s="1070" t="n">
        <f aca="false">IF($B$21&lt;1,0,M97)</f>
        <v>2375.21385476821</v>
      </c>
      <c r="M176" s="502"/>
      <c r="N176" s="502"/>
      <c r="O176" s="8"/>
      <c r="P176" s="502"/>
      <c r="Q176" s="502"/>
      <c r="R176" s="502"/>
      <c r="S176" s="502"/>
      <c r="T176" s="502"/>
      <c r="U176" s="502"/>
      <c r="V176" s="502"/>
      <c r="W176" s="5"/>
      <c r="X176" s="8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</row>
    <row r="177" customFormat="false" ht="14.15" hidden="false" customHeight="true" outlineLevel="0" collapsed="false">
      <c r="A177" s="63"/>
      <c r="B177" s="5"/>
      <c r="C177" s="502"/>
      <c r="D177" s="502"/>
      <c r="E177" s="255" t="s">
        <v>579</v>
      </c>
      <c r="F177" s="255"/>
      <c r="G177" s="255"/>
      <c r="H177" s="1065"/>
      <c r="I177" s="1068" t="n">
        <f aca="false">IF(M95&lt;1,0,SUM(K95:K96)/D95)</f>
        <v>2</v>
      </c>
      <c r="J177" s="1068"/>
      <c r="K177" s="1074" t="n">
        <f aca="false">IF($B$21&lt;1,"",D95)</f>
        <v>2</v>
      </c>
      <c r="L177" s="1070" t="n">
        <f aca="false">IF($B$21&lt;1,0,M95)</f>
        <v>472.749933774835</v>
      </c>
      <c r="M177" s="502"/>
      <c r="N177" s="502"/>
      <c r="O177" s="502"/>
      <c r="P177" s="502"/>
      <c r="Q177" s="502"/>
      <c r="R177" s="502"/>
      <c r="S177" s="502"/>
      <c r="T177" s="502"/>
      <c r="U177" s="502"/>
      <c r="V177" s="502"/>
      <c r="W177" s="5"/>
      <c r="X177" s="8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</row>
    <row r="178" customFormat="false" ht="14.15" hidden="false" customHeight="true" outlineLevel="0" collapsed="false">
      <c r="A178" s="63"/>
      <c r="B178" s="5"/>
      <c r="C178" s="502"/>
      <c r="D178" s="502"/>
      <c r="E178" s="255" t="s">
        <v>581</v>
      </c>
      <c r="F178" s="255"/>
      <c r="G178" s="255"/>
      <c r="H178" s="1065"/>
      <c r="I178" s="1068" t="n">
        <f aca="false">IF(M93&lt;1,0,SUM(K93:K94)/(D93+0.0001))</f>
        <v>0</v>
      </c>
      <c r="J178" s="1068"/>
      <c r="K178" s="1074" t="n">
        <f aca="false">IF($B$21&lt;1,"",D93)</f>
        <v>0</v>
      </c>
      <c r="L178" s="1070" t="n">
        <f aca="false">IF($B$21&lt;1,0,M93)</f>
        <v>0</v>
      </c>
      <c r="M178" s="502"/>
      <c r="N178" s="502"/>
      <c r="O178" s="502"/>
      <c r="P178" s="8"/>
      <c r="Q178" s="8"/>
      <c r="R178" s="502"/>
      <c r="S178" s="502"/>
      <c r="T178" s="502"/>
      <c r="U178" s="502"/>
      <c r="V178" s="8"/>
      <c r="W178" s="5"/>
      <c r="X178" s="8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</row>
    <row r="179" customFormat="false" ht="14.15" hidden="false" customHeight="true" outlineLevel="0" collapsed="false">
      <c r="A179" s="63"/>
      <c r="B179" s="5"/>
      <c r="C179" s="502"/>
      <c r="D179" s="502"/>
      <c r="E179" s="255" t="s">
        <v>675</v>
      </c>
      <c r="F179" s="255"/>
      <c r="G179" s="255"/>
      <c r="H179" s="310"/>
      <c r="I179" s="1075" t="n">
        <f aca="false">IF($B$21&lt;1,0,K88/K179)</f>
        <v>0.189846371808642</v>
      </c>
      <c r="J179" s="1075"/>
      <c r="K179" s="1067" t="n">
        <f aca="false">$B$51</f>
        <v>191.4232</v>
      </c>
      <c r="L179" s="1070" t="n">
        <f aca="false">L88</f>
        <v>4295.05133582782</v>
      </c>
      <c r="M179" s="502"/>
      <c r="N179" s="502"/>
      <c r="O179" s="502"/>
      <c r="P179" s="502"/>
      <c r="Q179" s="502"/>
      <c r="R179" s="502"/>
      <c r="S179" s="502"/>
      <c r="T179" s="502"/>
      <c r="U179" s="502"/>
      <c r="V179" s="8"/>
      <c r="W179" s="5"/>
      <c r="X179" s="8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</row>
    <row r="180" customFormat="false" ht="14.15" hidden="false" customHeight="true" outlineLevel="0" collapsed="false">
      <c r="A180" s="63"/>
      <c r="B180" s="5"/>
      <c r="C180" s="502"/>
      <c r="D180" s="502"/>
      <c r="E180" s="255" t="s">
        <v>676</v>
      </c>
      <c r="F180" s="255"/>
      <c r="G180" s="255"/>
      <c r="H180" s="1076" t="n">
        <f aca="false">IF($B$21&lt;1,0,$B$31)</f>
        <v>0.2</v>
      </c>
      <c r="I180" s="1077" t="n">
        <f aca="false">IF($B$21&gt;0,$B$32,0)</f>
        <v>0</v>
      </c>
      <c r="J180" s="1078" t="n">
        <f aca="false">3600*K180/1000</f>
        <v>30.6078</v>
      </c>
      <c r="K180" s="1079" t="n">
        <f aca="false">B33</f>
        <v>8.50216666666667</v>
      </c>
      <c r="L180" s="1080" t="n">
        <f aca="false">B34</f>
        <v>1302.2851880694</v>
      </c>
      <c r="M180" s="502"/>
      <c r="N180" s="502"/>
      <c r="O180" s="502"/>
      <c r="P180" s="502"/>
      <c r="Q180" s="502"/>
      <c r="R180" s="502"/>
      <c r="S180" s="502"/>
      <c r="T180" s="502"/>
      <c r="U180" s="502"/>
      <c r="V180" s="8"/>
      <c r="W180" s="5"/>
      <c r="X180" s="8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</row>
    <row r="181" customFormat="false" ht="14.15" hidden="false" customHeight="true" outlineLevel="0" collapsed="false">
      <c r="A181" s="63"/>
      <c r="B181" s="5"/>
      <c r="C181" s="502"/>
      <c r="D181" s="502"/>
      <c r="E181" s="255" t="s">
        <v>677</v>
      </c>
      <c r="F181" s="255"/>
      <c r="G181" s="255"/>
      <c r="H181" s="1076" t="n">
        <f aca="false">IF($B$21&lt;1,0,B39)</f>
        <v>0.03</v>
      </c>
      <c r="I181" s="1077" t="s">
        <v>68</v>
      </c>
      <c r="J181" s="1078" t="n">
        <f aca="false">B37</f>
        <v>4.59117</v>
      </c>
      <c r="K181" s="1079" t="n">
        <f aca="false">B38</f>
        <v>1.275325</v>
      </c>
      <c r="L181" s="1080" t="n">
        <f aca="false">B40</f>
        <v>195.342778210411</v>
      </c>
      <c r="M181" s="502"/>
      <c r="N181" s="502"/>
      <c r="O181" s="502"/>
      <c r="P181" s="502"/>
      <c r="Q181" s="502"/>
      <c r="R181" s="502"/>
      <c r="S181" s="502"/>
      <c r="T181" s="502"/>
      <c r="U181" s="502"/>
      <c r="V181" s="8"/>
      <c r="W181" s="5"/>
      <c r="X181" s="8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</row>
    <row r="182" customFormat="false" ht="14.15" hidden="false" customHeight="true" outlineLevel="0" collapsed="false">
      <c r="A182" s="63"/>
      <c r="B182" s="5"/>
      <c r="C182" s="502"/>
      <c r="D182" s="502"/>
      <c r="E182" s="255" t="s">
        <v>678</v>
      </c>
      <c r="F182" s="255"/>
      <c r="G182" s="255"/>
      <c r="H182" s="255"/>
      <c r="I182" s="1081" t="n">
        <f aca="false">B56/1000</f>
        <v>2.3035935724</v>
      </c>
      <c r="J182" s="1082" t="s">
        <v>679</v>
      </c>
      <c r="K182" s="1082"/>
      <c r="L182" s="1082"/>
      <c r="M182" s="502"/>
      <c r="N182" s="502"/>
      <c r="O182" s="502"/>
      <c r="P182" s="502"/>
      <c r="Q182" s="502"/>
      <c r="R182" s="502"/>
      <c r="S182" s="502"/>
      <c r="T182" s="502"/>
      <c r="U182" s="502"/>
      <c r="V182" s="8"/>
      <c r="W182" s="5"/>
      <c r="X182" s="8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</row>
    <row r="183" customFormat="false" ht="14.15" hidden="false" customHeight="true" outlineLevel="0" collapsed="false">
      <c r="A183" s="63"/>
      <c r="B183" s="5"/>
      <c r="C183" s="502"/>
      <c r="D183" s="502"/>
      <c r="E183" s="1083" t="str">
        <f aca="false">IF(C21&lt;1,E101,E101&amp;", ilmanvaihto ja vuotoilma mukana")</f>
        <v>Talo, ilmanvaihto ja vuotoilma mukana</v>
      </c>
      <c r="F183" s="1083"/>
      <c r="G183" s="1083"/>
      <c r="H183" s="1084" t="s">
        <v>665</v>
      </c>
      <c r="I183" s="1085" t="n">
        <f aca="false">IF($C$21&gt;0,$C$23,"")</f>
        <v>1975</v>
      </c>
      <c r="J183" s="1084" t="s">
        <v>666</v>
      </c>
      <c r="K183" s="1086" t="n">
        <f aca="false">IF($C$21&lt;1,"",$C$30)</f>
        <v>21</v>
      </c>
      <c r="L183" s="1061" t="n">
        <f aca="false">IF($C$21&lt;1,0,SUM(L196:L198))</f>
        <v>12179.6100098297</v>
      </c>
      <c r="M183" s="502"/>
      <c r="N183" s="502"/>
      <c r="O183" s="502"/>
      <c r="P183" s="502"/>
      <c r="Q183" s="502"/>
      <c r="R183" s="502"/>
      <c r="S183" s="502"/>
      <c r="T183" s="502"/>
      <c r="U183" s="502"/>
      <c r="V183" s="8"/>
      <c r="W183" s="5"/>
      <c r="X183" s="8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</row>
    <row r="184" customFormat="false" ht="14.15" hidden="false" customHeight="true" outlineLevel="0" collapsed="false">
      <c r="A184" s="63"/>
      <c r="B184" s="5"/>
      <c r="C184" s="502"/>
      <c r="D184" s="502"/>
      <c r="E184" s="255" t="s">
        <v>667</v>
      </c>
      <c r="F184" s="255"/>
      <c r="G184" s="255"/>
      <c r="H184" s="1062" t="n">
        <f aca="false">IF($C$21=0,"",$C$24)</f>
        <v>9</v>
      </c>
      <c r="I184" s="1062" t="n">
        <f aca="false">IF($C$21&lt;1,"",$C$25)</f>
        <v>8</v>
      </c>
      <c r="J184" s="1062" t="n">
        <f aca="false">IF($C$21&lt;1,"",$C$26+2*$C$27)</f>
        <v>3.02</v>
      </c>
      <c r="K184" s="1063" t="n">
        <f aca="false">IF($C$21&lt;1,"",H184*I184)</f>
        <v>72</v>
      </c>
      <c r="L184" s="1064" t="n">
        <f aca="false">IF($C$21&lt;1,"",C45)</f>
        <v>208.8</v>
      </c>
      <c r="M184" s="502"/>
      <c r="N184" s="502"/>
      <c r="O184" s="502"/>
      <c r="P184" s="502"/>
      <c r="Q184" s="502"/>
      <c r="R184" s="502"/>
      <c r="S184" s="502"/>
      <c r="T184" s="502"/>
      <c r="U184" s="502"/>
      <c r="V184" s="8"/>
      <c r="W184" s="5"/>
      <c r="X184" s="8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</row>
    <row r="185" customFormat="false" ht="14.15" hidden="false" customHeight="true" outlineLevel="0" collapsed="false">
      <c r="A185" s="63"/>
      <c r="B185" s="5"/>
      <c r="C185" s="502"/>
      <c r="D185" s="502"/>
      <c r="E185" s="255" t="s">
        <v>668</v>
      </c>
      <c r="F185" s="255"/>
      <c r="G185" s="255"/>
      <c r="H185" s="1065" t="n">
        <f aca="false">IF($C$21&lt;1,"",$C$43)</f>
        <v>8.58</v>
      </c>
      <c r="I185" s="1065" t="n">
        <f aca="false">IF($C$21&lt;1,"",$C$44)</f>
        <v>7.58</v>
      </c>
      <c r="J185" s="1066" t="n">
        <f aca="false">IF($C$21&lt;1,"",$C$26)</f>
        <v>2.6</v>
      </c>
      <c r="K185" s="1067" t="n">
        <f aca="false">IF($C$21&lt;1,"",H185*I185)</f>
        <v>65.0364</v>
      </c>
      <c r="L185" s="1064" t="n">
        <f aca="false">IF($C$21&lt;1,"",H185*I185*J185)</f>
        <v>169.09464</v>
      </c>
      <c r="M185" s="502"/>
      <c r="N185" s="502"/>
      <c r="O185" s="502"/>
      <c r="P185" s="502"/>
      <c r="Q185" s="502"/>
      <c r="R185" s="502"/>
      <c r="S185" s="502"/>
      <c r="T185" s="502"/>
      <c r="U185" s="502"/>
      <c r="V185" s="8"/>
      <c r="W185" s="5"/>
      <c r="X185" s="8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</row>
    <row r="186" customFormat="false" ht="14.15" hidden="false" customHeight="true" outlineLevel="0" collapsed="false">
      <c r="A186" s="63"/>
      <c r="B186" s="5"/>
      <c r="C186" s="502"/>
      <c r="D186" s="502"/>
      <c r="E186" s="255" t="s">
        <v>669</v>
      </c>
      <c r="F186" s="255"/>
      <c r="G186" s="255"/>
      <c r="H186" s="1062" t="n">
        <f aca="false">IF($C$21&lt;1,"",$C$27)</f>
        <v>0.21</v>
      </c>
      <c r="I186" s="1068" t="n">
        <f aca="false">IF($C$21&lt;1,0,K102/$C$51)</f>
        <v>0.222166079415314</v>
      </c>
      <c r="J186" s="1069" t="n">
        <f aca="false">M101</f>
        <v>124.882611789856</v>
      </c>
      <c r="K186" s="1067" t="n">
        <f aca="false">IF($C$21&lt;1,0,$C$51)</f>
        <v>214.1048</v>
      </c>
      <c r="L186" s="1070" t="n">
        <f aca="false">IF($C21&lt;1,0,L102)</f>
        <v>8121.9154934098</v>
      </c>
      <c r="M186" s="502"/>
      <c r="N186" s="502"/>
      <c r="O186" s="502"/>
      <c r="P186" s="502"/>
      <c r="Q186" s="502"/>
      <c r="R186" s="502"/>
      <c r="S186" s="502"/>
      <c r="T186" s="502"/>
      <c r="U186" s="502"/>
      <c r="V186" s="8"/>
      <c r="W186" s="5"/>
      <c r="X186" s="8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</row>
    <row r="187" customFormat="false" ht="14.15" hidden="false" customHeight="true" outlineLevel="0" collapsed="false">
      <c r="A187" s="63"/>
      <c r="B187" s="5"/>
      <c r="C187" s="502"/>
      <c r="D187" s="502"/>
      <c r="E187" s="255" t="s">
        <v>670</v>
      </c>
      <c r="F187" s="255"/>
      <c r="G187" s="255"/>
      <c r="H187" s="1065"/>
      <c r="I187" s="310"/>
      <c r="J187" s="310"/>
      <c r="K187" s="1064" t="n">
        <f aca="false">C46</f>
        <v>188.60556</v>
      </c>
      <c r="L187" s="1071" t="n">
        <f aca="false">IF($C$21&lt;1,0,L183/K187)</f>
        <v>64.5771524966163</v>
      </c>
      <c r="M187" s="502"/>
      <c r="N187" s="502"/>
      <c r="O187" s="502"/>
      <c r="P187" s="502"/>
      <c r="Q187" s="502"/>
      <c r="R187" s="502"/>
      <c r="S187" s="502"/>
      <c r="T187" s="502"/>
      <c r="U187" s="502"/>
      <c r="V187" s="8"/>
      <c r="W187" s="5"/>
      <c r="X187" s="8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</row>
    <row r="188" customFormat="false" ht="14.15" hidden="false" customHeight="true" outlineLevel="0" collapsed="false">
      <c r="A188" s="63"/>
      <c r="B188" s="5"/>
      <c r="C188" s="502"/>
      <c r="D188" s="502"/>
      <c r="E188" s="255" t="s">
        <v>671</v>
      </c>
      <c r="F188" s="255"/>
      <c r="G188" s="255"/>
      <c r="H188" s="1065"/>
      <c r="I188" s="310"/>
      <c r="J188" s="310"/>
      <c r="K188" s="1064" t="n">
        <f aca="false">C46</f>
        <v>188.60556</v>
      </c>
      <c r="L188" s="1072" t="n">
        <f aca="false">IF($C$21&lt;1,0,1000*L183/$G$9/K188)</f>
        <v>13.4981216932083</v>
      </c>
      <c r="M188" s="502"/>
      <c r="N188" s="502"/>
      <c r="O188" s="502"/>
      <c r="P188" s="502"/>
      <c r="Q188" s="502"/>
      <c r="R188" s="502"/>
      <c r="S188" s="502"/>
      <c r="T188" s="502"/>
      <c r="U188" s="502"/>
      <c r="V188" s="8"/>
      <c r="W188" s="5"/>
      <c r="X188" s="8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</row>
    <row r="189" customFormat="false" ht="14.15" hidden="false" customHeight="true" outlineLevel="0" collapsed="false">
      <c r="A189" s="63"/>
      <c r="B189" s="5"/>
      <c r="C189" s="502"/>
      <c r="D189" s="502"/>
      <c r="E189" s="255" t="s">
        <v>672</v>
      </c>
      <c r="F189" s="255"/>
      <c r="G189" s="255"/>
      <c r="H189" s="1065"/>
      <c r="I189" s="310"/>
      <c r="J189" s="310"/>
      <c r="K189" s="1067" t="n">
        <f aca="false">IF($C$21&lt;1,0,$C$47)</f>
        <v>72</v>
      </c>
      <c r="L189" s="1073" t="n">
        <f aca="false">IF(K189&lt;3,0,L183/K189)</f>
        <v>169.161250136524</v>
      </c>
      <c r="M189" s="502"/>
      <c r="N189" s="502"/>
      <c r="O189" s="502"/>
      <c r="P189" s="502"/>
      <c r="Q189" s="502"/>
      <c r="R189" s="502"/>
      <c r="S189" s="502"/>
      <c r="T189" s="502"/>
      <c r="U189" s="502"/>
      <c r="V189" s="8"/>
      <c r="W189" s="5"/>
      <c r="X189" s="8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</row>
    <row r="190" customFormat="false" ht="14.15" hidden="false" customHeight="true" outlineLevel="0" collapsed="false">
      <c r="A190" s="63"/>
      <c r="B190" s="5"/>
      <c r="C190" s="502"/>
      <c r="D190" s="502"/>
      <c r="E190" s="255" t="s">
        <v>673</v>
      </c>
      <c r="F190" s="255"/>
      <c r="G190" s="255"/>
      <c r="H190" s="1087"/>
      <c r="I190" s="114"/>
      <c r="J190" s="114"/>
      <c r="K190" s="1088" t="n">
        <f aca="false">IF($C$21&lt;1,0,$C$49)</f>
        <v>65.0364</v>
      </c>
      <c r="L190" s="1089" t="n">
        <f aca="false">IF(K190&lt;3,0,L183/K190)</f>
        <v>187.273742240187</v>
      </c>
      <c r="M190" s="502"/>
      <c r="N190" s="502"/>
      <c r="O190" s="502"/>
      <c r="P190" s="502"/>
      <c r="Q190" s="502"/>
      <c r="R190" s="502"/>
      <c r="S190" s="502"/>
      <c r="T190" s="502"/>
      <c r="U190" s="502"/>
      <c r="V190" s="8"/>
      <c r="W190" s="5"/>
      <c r="X190" s="8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</row>
    <row r="191" customFormat="false" ht="14.15" hidden="false" customHeight="true" outlineLevel="0" collapsed="false">
      <c r="A191" s="63"/>
      <c r="B191" s="5"/>
      <c r="C191" s="502"/>
      <c r="D191" s="502"/>
      <c r="E191" s="255" t="s">
        <v>577</v>
      </c>
      <c r="F191" s="255"/>
      <c r="G191" s="255"/>
      <c r="H191" s="1065"/>
      <c r="I191" s="1068" t="n">
        <f aca="false">IF($C$21&lt;1,0,SUM(K103:K104)/D103)</f>
        <v>0.050002767680868</v>
      </c>
      <c r="J191" s="1068"/>
      <c r="K191" s="1074" t="n">
        <f aca="false">IF($C$21&lt;1,"",D105)</f>
        <v>65.0364</v>
      </c>
      <c r="L191" s="1070" t="n">
        <f aca="false">IF($C$21&lt;1,0,L103)</f>
        <v>555.27081615894</v>
      </c>
      <c r="M191" s="502"/>
      <c r="N191" s="502"/>
      <c r="O191" s="502"/>
      <c r="P191" s="502"/>
      <c r="Q191" s="502"/>
      <c r="R191" s="502"/>
      <c r="S191" s="502"/>
      <c r="T191" s="502"/>
      <c r="U191" s="502"/>
      <c r="V191" s="8"/>
      <c r="W191" s="5"/>
      <c r="X191" s="8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</row>
    <row r="192" customFormat="false" ht="14.15" hidden="false" customHeight="true" outlineLevel="0" collapsed="false">
      <c r="A192" s="63"/>
      <c r="B192" s="5"/>
      <c r="C192" s="502"/>
      <c r="D192" s="502"/>
      <c r="E192" s="255" t="s">
        <v>575</v>
      </c>
      <c r="F192" s="255"/>
      <c r="G192" s="255"/>
      <c r="H192" s="1065"/>
      <c r="I192" s="1068" t="n">
        <f aca="false">IF(C21&lt;1,0,SUM(K105:K106)/D105)</f>
        <v>0.0738943729972754</v>
      </c>
      <c r="J192" s="1068"/>
      <c r="K192" s="1074" t="n">
        <f aca="false">IF($C$21&lt;1,"",D105)</f>
        <v>65.0364</v>
      </c>
      <c r="L192" s="1070" t="n">
        <f aca="false">IF($C$21&lt;1,0,L105)</f>
        <v>0</v>
      </c>
      <c r="M192" s="502"/>
      <c r="N192" s="502"/>
      <c r="O192" s="502"/>
      <c r="P192" s="502"/>
      <c r="Q192" s="502"/>
      <c r="R192" s="502"/>
      <c r="S192" s="502"/>
      <c r="T192" s="502"/>
      <c r="U192" s="502"/>
      <c r="V192" s="8"/>
      <c r="W192" s="5"/>
      <c r="X192" s="8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</row>
    <row r="193" customFormat="false" ht="14.15" hidden="false" customHeight="true" outlineLevel="0" collapsed="false">
      <c r="A193" s="63"/>
      <c r="B193" s="5"/>
      <c r="C193" s="502"/>
      <c r="D193" s="502"/>
      <c r="E193" s="255" t="s">
        <v>674</v>
      </c>
      <c r="F193" s="255"/>
      <c r="G193" s="255"/>
      <c r="H193" s="1065"/>
      <c r="I193" s="1068" t="n">
        <f aca="false">IF($C$21&lt;1,0,SUM(K111:K112)/D111)</f>
        <v>0.299991784423266</v>
      </c>
      <c r="J193" s="1068"/>
      <c r="K193" s="1074" t="n">
        <f aca="false">IF($C$21&lt;1,"",SUM(H111:H112))</f>
        <v>73.032</v>
      </c>
      <c r="L193" s="1070" t="n">
        <f aca="false">IF($C$21&lt;1,0,M111)</f>
        <v>3740.90661476821</v>
      </c>
      <c r="M193" s="502"/>
      <c r="N193" s="502"/>
      <c r="O193" s="502"/>
      <c r="P193" s="502"/>
      <c r="Q193" s="502"/>
      <c r="R193" s="502"/>
      <c r="S193" s="502"/>
      <c r="T193" s="502"/>
      <c r="U193" s="502"/>
      <c r="V193" s="8"/>
      <c r="W193" s="5"/>
      <c r="X193" s="8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</row>
    <row r="194" customFormat="false" ht="14.15" hidden="false" customHeight="true" outlineLevel="0" collapsed="false">
      <c r="A194" s="63"/>
      <c r="B194" s="5"/>
      <c r="C194" s="502"/>
      <c r="D194" s="502"/>
      <c r="E194" s="255" t="s">
        <v>579</v>
      </c>
      <c r="F194" s="255"/>
      <c r="G194" s="255"/>
      <c r="H194" s="1065"/>
      <c r="I194" s="1068" t="n">
        <f aca="false">IF(M109&lt;1,0,SUM(K109:K110)/D109)</f>
        <v>1.6</v>
      </c>
      <c r="J194" s="1068"/>
      <c r="K194" s="1074" t="n">
        <f aca="false">IF($C$21&lt;1,"",D109)</f>
        <v>9</v>
      </c>
      <c r="L194" s="1070" t="n">
        <f aca="false">IF($C$21&lt;1,0,M109)</f>
        <v>2458.7637615894</v>
      </c>
      <c r="M194" s="502"/>
      <c r="N194" s="502"/>
      <c r="O194" s="502"/>
      <c r="P194" s="502"/>
      <c r="Q194" s="502"/>
      <c r="R194" s="502"/>
      <c r="S194" s="502"/>
      <c r="T194" s="502"/>
      <c r="U194" s="502"/>
      <c r="V194" s="8"/>
      <c r="W194" s="5"/>
      <c r="X194" s="8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</row>
    <row r="195" customFormat="false" ht="14.15" hidden="false" customHeight="true" outlineLevel="0" collapsed="false">
      <c r="A195" s="63"/>
      <c r="B195" s="5"/>
      <c r="C195" s="502"/>
      <c r="D195" s="502"/>
      <c r="E195" s="255" t="s">
        <v>581</v>
      </c>
      <c r="F195" s="255"/>
      <c r="G195" s="255"/>
      <c r="H195" s="1065"/>
      <c r="I195" s="1068" t="n">
        <f aca="false">IF(M107&lt;1,0,SUM(K107:K108)/(D107+0.0001))</f>
        <v>1.5999200039998</v>
      </c>
      <c r="J195" s="1068"/>
      <c r="K195" s="1074" t="n">
        <f aca="false">IF($C$21&lt;1,"",D107)</f>
        <v>2</v>
      </c>
      <c r="L195" s="1070" t="n">
        <f aca="false">IF($C$21&lt;1,0,M107)</f>
        <v>546.391947019868</v>
      </c>
      <c r="M195" s="502"/>
      <c r="N195" s="502"/>
      <c r="O195" s="502"/>
      <c r="P195" s="502"/>
      <c r="Q195" s="502"/>
      <c r="R195" s="502"/>
      <c r="S195" s="502"/>
      <c r="T195" s="502"/>
      <c r="U195" s="502"/>
      <c r="V195" s="8"/>
      <c r="W195" s="5"/>
      <c r="X195" s="8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</row>
    <row r="196" customFormat="false" ht="14.15" hidden="false" customHeight="true" outlineLevel="0" collapsed="false">
      <c r="A196" s="63"/>
      <c r="B196" s="5"/>
      <c r="C196" s="502"/>
      <c r="D196" s="502"/>
      <c r="E196" s="255" t="s">
        <v>675</v>
      </c>
      <c r="F196" s="255"/>
      <c r="G196" s="255"/>
      <c r="H196" s="310"/>
      <c r="I196" s="1075" t="n">
        <f aca="false">IF($C$21&lt;1,0,K102/K196)</f>
        <v>0.222166079415314</v>
      </c>
      <c r="J196" s="1075"/>
      <c r="K196" s="1067" t="n">
        <f aca="false">$C$51</f>
        <v>214.1048</v>
      </c>
      <c r="L196" s="1070" t="n">
        <f aca="false">L102</f>
        <v>8121.9154934098</v>
      </c>
      <c r="M196" s="502"/>
      <c r="N196" s="502"/>
      <c r="O196" s="502"/>
      <c r="P196" s="502"/>
      <c r="Q196" s="502"/>
      <c r="R196" s="502"/>
      <c r="S196" s="502"/>
      <c r="T196" s="502"/>
      <c r="U196" s="502"/>
      <c r="V196" s="8"/>
      <c r="W196" s="5"/>
      <c r="X196" s="8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</row>
    <row r="197" customFormat="false" ht="14.15" hidden="false" customHeight="true" outlineLevel="0" collapsed="false">
      <c r="A197" s="63"/>
      <c r="B197" s="5"/>
      <c r="C197" s="502"/>
      <c r="D197" s="502"/>
      <c r="E197" s="255" t="s">
        <v>676</v>
      </c>
      <c r="F197" s="255"/>
      <c r="G197" s="255"/>
      <c r="H197" s="1076" t="n">
        <f aca="false">IF($C$21&lt;1,0,$C$31)</f>
        <v>0.3</v>
      </c>
      <c r="I197" s="1077" t="n">
        <f aca="false">IF($C$21&gt;0,$C$32,0)</f>
        <v>0</v>
      </c>
      <c r="J197" s="1078" t="n">
        <f aca="false">3600*K197/1000</f>
        <v>56.581668</v>
      </c>
      <c r="K197" s="1079" t="n">
        <f aca="false">C33</f>
        <v>15.71713</v>
      </c>
      <c r="L197" s="1080" t="n">
        <f aca="false">C34</f>
        <v>3478.02387121707</v>
      </c>
      <c r="M197" s="502" t="s">
        <v>68</v>
      </c>
      <c r="N197" s="502"/>
      <c r="O197" s="502"/>
      <c r="P197" s="502"/>
      <c r="Q197" s="502"/>
      <c r="R197" s="502"/>
      <c r="S197" s="502"/>
      <c r="T197" s="502"/>
      <c r="U197" s="502"/>
      <c r="V197" s="8"/>
      <c r="W197" s="5"/>
      <c r="X197" s="8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</row>
    <row r="198" customFormat="false" ht="14.15" hidden="false" customHeight="true" outlineLevel="0" collapsed="false">
      <c r="A198" s="63"/>
      <c r="B198" s="5"/>
      <c r="C198" s="502"/>
      <c r="D198" s="502"/>
      <c r="E198" s="255" t="s">
        <v>677</v>
      </c>
      <c r="F198" s="255"/>
      <c r="G198" s="255"/>
      <c r="H198" s="1076" t="n">
        <f aca="false">IF($C$21&lt;1,0,C39)</f>
        <v>0.05</v>
      </c>
      <c r="I198" s="1077" t="s">
        <v>68</v>
      </c>
      <c r="J198" s="1078" t="n">
        <f aca="false">C37</f>
        <v>9.430278</v>
      </c>
      <c r="K198" s="1079" t="n">
        <f aca="false">C38</f>
        <v>2.61952166666667</v>
      </c>
      <c r="L198" s="1080" t="n">
        <f aca="false">C40</f>
        <v>579.670645202845</v>
      </c>
      <c r="M198" s="502"/>
      <c r="N198" s="502"/>
      <c r="O198" s="502"/>
      <c r="P198" s="502"/>
      <c r="Q198" s="502"/>
      <c r="R198" s="502"/>
      <c r="S198" s="502"/>
      <c r="T198" s="502"/>
      <c r="U198" s="502"/>
      <c r="V198" s="8"/>
      <c r="W198" s="5"/>
      <c r="X198" s="8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</row>
    <row r="199" customFormat="false" ht="14.15" hidden="false" customHeight="true" outlineLevel="0" collapsed="false">
      <c r="A199" s="63"/>
      <c r="B199" s="5"/>
      <c r="C199" s="502"/>
      <c r="D199" s="502"/>
      <c r="E199" s="255" t="s">
        <v>678</v>
      </c>
      <c r="F199" s="255"/>
      <c r="G199" s="255"/>
      <c r="H199" s="255"/>
      <c r="I199" s="1081" t="n">
        <f aca="false">C56/1000</f>
        <v>3.78054960168</v>
      </c>
      <c r="J199" s="1082" t="s">
        <v>679</v>
      </c>
      <c r="K199" s="1082"/>
      <c r="L199" s="1082"/>
      <c r="M199" s="502" t="s">
        <v>68</v>
      </c>
      <c r="N199" s="502"/>
      <c r="O199" s="502"/>
      <c r="P199" s="502"/>
      <c r="Q199" s="502"/>
      <c r="R199" s="502"/>
      <c r="S199" s="502"/>
      <c r="T199" s="502"/>
      <c r="U199" s="502"/>
      <c r="V199" s="8"/>
      <c r="W199" s="5"/>
      <c r="X199" s="8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</row>
    <row r="200" customFormat="false" ht="14.15" hidden="false" customHeight="true" outlineLevel="0" collapsed="false">
      <c r="A200" s="63"/>
      <c r="B200" s="5"/>
      <c r="C200" s="502"/>
      <c r="D200" s="502"/>
      <c r="E200" s="1083" t="str">
        <f aca="false">IF(D21&lt;1,E115,E115&amp;", ilmanvaihto ja vuotoilma mukana")</f>
        <v>Talon yläkerta, ilmanvaihto ja vuotoilma mukana</v>
      </c>
      <c r="F200" s="1083"/>
      <c r="G200" s="1083"/>
      <c r="H200" s="1084" t="s">
        <v>665</v>
      </c>
      <c r="I200" s="1085" t="n">
        <f aca="false">IF($D$21&gt;0,$D$23,"")</f>
        <v>1975</v>
      </c>
      <c r="J200" s="1084" t="s">
        <v>666</v>
      </c>
      <c r="K200" s="1086" t="n">
        <f aca="false">IF($D$21&lt;1,"",$D$30)</f>
        <v>21</v>
      </c>
      <c r="L200" s="1061" t="n">
        <f aca="false">IF($D$21&lt;1,0,SUM(L213:L215))</f>
        <v>7360.64591961292</v>
      </c>
      <c r="M200" s="502"/>
      <c r="N200" s="502"/>
      <c r="O200" s="502"/>
      <c r="P200" s="502"/>
      <c r="Q200" s="502"/>
      <c r="R200" s="502"/>
      <c r="S200" s="502"/>
      <c r="T200" s="502"/>
      <c r="U200" s="502"/>
      <c r="V200" s="8"/>
      <c r="W200" s="5"/>
      <c r="X200" s="8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</row>
    <row r="201" customFormat="false" ht="14.15" hidden="false" customHeight="true" outlineLevel="0" collapsed="false">
      <c r="A201" s="63"/>
      <c r="B201" s="5"/>
      <c r="C201" s="502"/>
      <c r="D201" s="502"/>
      <c r="E201" s="255" t="s">
        <v>667</v>
      </c>
      <c r="F201" s="255"/>
      <c r="G201" s="255"/>
      <c r="H201" s="1062" t="n">
        <f aca="false">IF($D$21=0,"",$D$24)</f>
        <v>9</v>
      </c>
      <c r="I201" s="1062" t="n">
        <f aca="false">IF($D$21&lt;1,"",$D$25)</f>
        <v>4.5</v>
      </c>
      <c r="J201" s="1062" t="n">
        <f aca="false">IF($D$21&lt;1,"",$D$26+2*$D$27)</f>
        <v>2.62</v>
      </c>
      <c r="K201" s="1063" t="n">
        <f aca="false">IF($D$21&lt;1,"",H201*I201)</f>
        <v>40.5</v>
      </c>
      <c r="L201" s="1064" t="n">
        <f aca="false">IF($D$21&lt;1,"",D45)</f>
        <v>89.1</v>
      </c>
      <c r="M201" s="502"/>
      <c r="N201" s="502"/>
      <c r="O201" s="502"/>
      <c r="P201" s="502"/>
      <c r="Q201" s="502"/>
      <c r="R201" s="502"/>
      <c r="S201" s="502"/>
      <c r="T201" s="502"/>
      <c r="U201" s="502"/>
      <c r="V201" s="8"/>
      <c r="W201" s="5"/>
      <c r="X201" s="8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</row>
    <row r="202" customFormat="false" ht="14.15" hidden="false" customHeight="true" outlineLevel="0" collapsed="false">
      <c r="A202" s="63"/>
      <c r="B202" s="5"/>
      <c r="C202" s="502"/>
      <c r="D202" s="502"/>
      <c r="E202" s="255" t="s">
        <v>668</v>
      </c>
      <c r="F202" s="255"/>
      <c r="G202" s="255"/>
      <c r="H202" s="1065" t="n">
        <f aca="false">IF($D$21&lt;1,"",$D$43)</f>
        <v>8.58</v>
      </c>
      <c r="I202" s="1065" t="n">
        <f aca="false">IF($D$21&lt;1,"",$D$44)</f>
        <v>4.08</v>
      </c>
      <c r="J202" s="1066" t="n">
        <f aca="false">IF($D$21&lt;1,"",$D$26)</f>
        <v>2.2</v>
      </c>
      <c r="K202" s="1067" t="n">
        <f aca="false">IF($D$21&lt;1,"",H202*I202)</f>
        <v>35.0064</v>
      </c>
      <c r="L202" s="1064" t="n">
        <f aca="false">IF($D$21&lt;1,"",H202*I202*J202)</f>
        <v>77.01408</v>
      </c>
      <c r="M202" s="502"/>
      <c r="N202" s="502"/>
      <c r="O202" s="502"/>
      <c r="P202" s="502"/>
      <c r="Q202" s="502"/>
      <c r="R202" s="502"/>
      <c r="S202" s="502"/>
      <c r="T202" s="502"/>
      <c r="U202" s="502"/>
      <c r="V202" s="8"/>
      <c r="W202" s="5"/>
      <c r="X202" s="8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</row>
    <row r="203" customFormat="false" ht="14.15" hidden="false" customHeight="true" outlineLevel="0" collapsed="false">
      <c r="A203" s="63"/>
      <c r="B203" s="5"/>
      <c r="C203" s="502"/>
      <c r="D203" s="502"/>
      <c r="E203" s="255" t="s">
        <v>669</v>
      </c>
      <c r="F203" s="255"/>
      <c r="G203" s="255"/>
      <c r="H203" s="1062" t="n">
        <f aca="false">IF($D$21&lt;1,"",$D$27)</f>
        <v>0.21</v>
      </c>
      <c r="I203" s="1068" t="n">
        <f aca="false">IF($D$21&lt;1,0,K116/$D$51)</f>
        <v>0.274534509309814</v>
      </c>
      <c r="J203" s="1069" t="n">
        <f aca="false">M115</f>
        <v>168.343798407799</v>
      </c>
      <c r="K203" s="1067" t="n">
        <f aca="false">IF($D$21&lt;1,0,$D$51)</f>
        <v>125.7168</v>
      </c>
      <c r="L203" s="1070" t="n">
        <f aca="false">IF($D$21&lt;1,0,L116)</f>
        <v>5893.11034458278</v>
      </c>
      <c r="M203" s="502"/>
      <c r="N203" s="502"/>
      <c r="O203" s="502"/>
      <c r="P203" s="502"/>
      <c r="Q203" s="502"/>
      <c r="R203" s="502"/>
      <c r="S203" s="502"/>
      <c r="T203" s="502"/>
      <c r="U203" s="502"/>
      <c r="V203" s="8"/>
      <c r="W203" s="5"/>
      <c r="X203" s="8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</row>
    <row r="204" customFormat="false" ht="14.15" hidden="false" customHeight="true" outlineLevel="0" collapsed="false">
      <c r="A204" s="63"/>
      <c r="B204" s="5"/>
      <c r="C204" s="502"/>
      <c r="D204" s="502"/>
      <c r="E204" s="255" t="s">
        <v>670</v>
      </c>
      <c r="F204" s="255"/>
      <c r="G204" s="255"/>
      <c r="H204" s="1065"/>
      <c r="I204" s="310"/>
      <c r="J204" s="310"/>
      <c r="K204" s="1064" t="n">
        <f aca="false">D46</f>
        <v>77.01408</v>
      </c>
      <c r="L204" s="1071" t="n">
        <f aca="false">IF($D$21&lt;1,0,L200/K204)</f>
        <v>95.5753275194993</v>
      </c>
      <c r="M204" s="502"/>
      <c r="N204" s="502"/>
      <c r="O204" s="502"/>
      <c r="P204" s="502"/>
      <c r="Q204" s="502"/>
      <c r="R204" s="502"/>
      <c r="S204" s="502"/>
      <c r="T204" s="502"/>
      <c r="U204" s="502"/>
      <c r="V204" s="8"/>
      <c r="W204" s="5"/>
      <c r="X204" s="8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</row>
    <row r="205" customFormat="false" ht="14.15" hidden="false" customHeight="true" outlineLevel="0" collapsed="false">
      <c r="A205" s="63"/>
      <c r="B205" s="5"/>
      <c r="C205" s="502"/>
      <c r="D205" s="502"/>
      <c r="E205" s="255" t="s">
        <v>671</v>
      </c>
      <c r="F205" s="255"/>
      <c r="G205" s="255"/>
      <c r="H205" s="1065"/>
      <c r="I205" s="310"/>
      <c r="J205" s="310"/>
      <c r="K205" s="1064" t="n">
        <f aca="false">D46</f>
        <v>77.01408</v>
      </c>
      <c r="L205" s="1072" t="n">
        <f aca="false">IF($D$21&lt;1,0,1000*L200/$G$9/K205)</f>
        <v>19.9774587737364</v>
      </c>
      <c r="M205" s="502"/>
      <c r="N205" s="502"/>
      <c r="O205" s="502"/>
      <c r="P205" s="502"/>
      <c r="Q205" s="502"/>
      <c r="R205" s="502"/>
      <c r="S205" s="502"/>
      <c r="T205" s="502"/>
      <c r="U205" s="502"/>
      <c r="V205" s="8"/>
      <c r="W205" s="5"/>
      <c r="X205" s="8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</row>
    <row r="206" customFormat="false" ht="14.15" hidden="false" customHeight="true" outlineLevel="0" collapsed="false">
      <c r="A206" s="63"/>
      <c r="B206" s="5"/>
      <c r="C206" s="502"/>
      <c r="D206" s="502"/>
      <c r="E206" s="255" t="s">
        <v>672</v>
      </c>
      <c r="F206" s="255"/>
      <c r="G206" s="255"/>
      <c r="H206" s="1065"/>
      <c r="I206" s="310"/>
      <c r="J206" s="310"/>
      <c r="K206" s="1067" t="n">
        <f aca="false">IF($D$21&lt;1,0,$D$47)</f>
        <v>40.5</v>
      </c>
      <c r="L206" s="1073" t="n">
        <f aca="false">IF(K206&lt;3,0,L200/K206)</f>
        <v>181.744343694146</v>
      </c>
      <c r="M206" s="502"/>
      <c r="N206" s="502"/>
      <c r="O206" s="502"/>
      <c r="P206" s="502"/>
      <c r="Q206" s="502"/>
      <c r="R206" s="502"/>
      <c r="S206" s="502"/>
      <c r="T206" s="502"/>
      <c r="U206" s="502"/>
      <c r="V206" s="8"/>
      <c r="W206" s="5"/>
      <c r="X206" s="8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</row>
    <row r="207" customFormat="false" ht="14.15" hidden="false" customHeight="true" outlineLevel="0" collapsed="false">
      <c r="A207" s="63"/>
      <c r="B207" s="5"/>
      <c r="C207" s="502"/>
      <c r="D207" s="502"/>
      <c r="E207" s="255" t="s">
        <v>673</v>
      </c>
      <c r="F207" s="255"/>
      <c r="G207" s="255"/>
      <c r="H207" s="1065"/>
      <c r="I207" s="310"/>
      <c r="J207" s="310"/>
      <c r="K207" s="1067" t="n">
        <f aca="false">IF($D$21&lt;1,0,$D$49)</f>
        <v>35.0064</v>
      </c>
      <c r="L207" s="1073" t="n">
        <f aca="false">IF(K207&lt;3,0,L200/K207)</f>
        <v>210.265720542899</v>
      </c>
      <c r="M207" s="502"/>
      <c r="N207" s="502"/>
      <c r="O207" s="502"/>
      <c r="P207" s="502"/>
      <c r="Q207" s="502"/>
      <c r="R207" s="502"/>
      <c r="S207" s="502"/>
      <c r="T207" s="502"/>
      <c r="U207" s="502"/>
      <c r="V207" s="8"/>
      <c r="W207" s="5"/>
      <c r="X207" s="8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</row>
    <row r="208" customFormat="false" ht="14.15" hidden="false" customHeight="true" outlineLevel="0" collapsed="false">
      <c r="A208" s="63"/>
      <c r="B208" s="5"/>
      <c r="C208" s="5"/>
      <c r="D208" s="8"/>
      <c r="E208" s="255" t="s">
        <v>577</v>
      </c>
      <c r="F208" s="255"/>
      <c r="G208" s="255"/>
      <c r="H208" s="1065"/>
      <c r="I208" s="1068" t="n">
        <f aca="false">IF($D$21&lt;1,0,SUM(K117:K118)/D117)</f>
        <v>0.200020567667626</v>
      </c>
      <c r="J208" s="1068"/>
      <c r="K208" s="1074" t="n">
        <f aca="false">IF($D$21&lt;1,"",D119)</f>
        <v>35.0064</v>
      </c>
      <c r="L208" s="1070" t="n">
        <f aca="false">IF($D$21&lt;1,0,L117)</f>
        <v>1195.57387907285</v>
      </c>
      <c r="M208" s="502"/>
      <c r="N208" s="502"/>
      <c r="O208" s="502"/>
      <c r="P208" s="502"/>
      <c r="Q208" s="502"/>
      <c r="R208" s="502"/>
      <c r="S208" s="502"/>
      <c r="T208" s="502"/>
      <c r="U208" s="502"/>
      <c r="V208" s="8"/>
      <c r="W208" s="5"/>
      <c r="X208" s="8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</row>
    <row r="209" customFormat="false" ht="14.15" hidden="false" customHeight="true" outlineLevel="0" collapsed="false">
      <c r="A209" s="63"/>
      <c r="B209" s="5"/>
      <c r="C209" s="5"/>
      <c r="D209" s="8"/>
      <c r="E209" s="255" t="s">
        <v>575</v>
      </c>
      <c r="F209" s="255"/>
      <c r="G209" s="255"/>
      <c r="H209" s="1065"/>
      <c r="I209" s="1068" t="n">
        <f aca="false">IF($D$21&lt;1,0,SUM(K119:K120)/D119)</f>
        <v>0.160016454134101</v>
      </c>
      <c r="J209" s="1068"/>
      <c r="K209" s="1074" t="n">
        <f aca="false">IF($D$21&lt;1,"",D119)</f>
        <v>35.0064</v>
      </c>
      <c r="L209" s="1070" t="n">
        <f aca="false">IF($D$21&lt;1,0,L119)</f>
        <v>956.459103258278</v>
      </c>
      <c r="M209" s="502"/>
      <c r="N209" s="502"/>
      <c r="O209" s="502"/>
      <c r="P209" s="502"/>
      <c r="Q209" s="502"/>
      <c r="R209" s="502"/>
      <c r="S209" s="502"/>
      <c r="T209" s="502"/>
      <c r="U209" s="502"/>
      <c r="V209" s="8"/>
      <c r="W209" s="5"/>
      <c r="X209" s="8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</row>
    <row r="210" customFormat="false" ht="14.15" hidden="false" customHeight="true" outlineLevel="0" collapsed="false">
      <c r="A210" s="63"/>
      <c r="B210" s="5"/>
      <c r="C210" s="5"/>
      <c r="D210" s="8"/>
      <c r="E210" s="255" t="s">
        <v>674</v>
      </c>
      <c r="F210" s="255"/>
      <c r="G210" s="255"/>
      <c r="H210" s="1065"/>
      <c r="I210" s="1068" t="n">
        <f aca="false">IF($D$21&lt;1,0,SUM(K125:K126)/D125)</f>
        <v>0.299976790963949</v>
      </c>
      <c r="J210" s="1068"/>
      <c r="K210" s="1074" t="n">
        <f aca="false">IF($D$21&lt;1,"",SUM(H125:H126))</f>
        <v>51.704</v>
      </c>
      <c r="L210" s="1070" t="n">
        <f aca="false">IF($D$21&lt;1,0,M125)</f>
        <v>2648.29346821192</v>
      </c>
      <c r="M210" s="502"/>
      <c r="N210" s="502"/>
      <c r="O210" s="502"/>
      <c r="P210" s="502"/>
      <c r="Q210" s="502"/>
      <c r="R210" s="502"/>
      <c r="S210" s="502"/>
      <c r="T210" s="502"/>
      <c r="U210" s="502"/>
      <c r="V210" s="8"/>
      <c r="W210" s="5"/>
      <c r="X210" s="8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</row>
    <row r="211" customFormat="false" ht="14.15" hidden="false" customHeight="true" outlineLevel="0" collapsed="false">
      <c r="A211" s="63"/>
      <c r="B211" s="5"/>
      <c r="C211" s="5"/>
      <c r="D211" s="8"/>
      <c r="E211" s="255" t="s">
        <v>579</v>
      </c>
      <c r="F211" s="255"/>
      <c r="G211" s="255"/>
      <c r="H211" s="1065"/>
      <c r="I211" s="1068" t="n">
        <f aca="false">IF(M123&lt;1,0,SUM(K123:K124)/(D123+0.0001))</f>
        <v>1.59996000099998</v>
      </c>
      <c r="J211" s="1068"/>
      <c r="K211" s="1074" t="n">
        <f aca="false">IF($D$21&lt;1,"",D123)</f>
        <v>4</v>
      </c>
      <c r="L211" s="1070" t="n">
        <f aca="false">IF($D$21&lt;1,0,M123)</f>
        <v>1092.78389403974</v>
      </c>
      <c r="M211" s="502"/>
      <c r="N211" s="502"/>
      <c r="O211" s="502"/>
      <c r="P211" s="502"/>
      <c r="Q211" s="502"/>
      <c r="R211" s="502"/>
      <c r="S211" s="502"/>
      <c r="T211" s="502"/>
      <c r="U211" s="502"/>
      <c r="V211" s="8"/>
      <c r="W211" s="5"/>
      <c r="X211" s="8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</row>
    <row r="212" customFormat="false" ht="14.15" hidden="false" customHeight="true" outlineLevel="0" collapsed="false">
      <c r="A212" s="63"/>
      <c r="B212" s="5"/>
      <c r="C212" s="5"/>
      <c r="D212" s="8"/>
      <c r="E212" s="255" t="s">
        <v>581</v>
      </c>
      <c r="F212" s="255"/>
      <c r="G212" s="255"/>
      <c r="H212" s="1065"/>
      <c r="I212" s="1068" t="n">
        <f aca="false">IF(M121&lt;1,0,SUM(K121:K122)/D121)</f>
        <v>0</v>
      </c>
      <c r="J212" s="1068"/>
      <c r="K212" s="1074" t="n">
        <f aca="false">IF($D$21&lt;1,"",D121)</f>
        <v>0.0001</v>
      </c>
      <c r="L212" s="1070" t="n">
        <f aca="false">IF($D$21&lt;1,0,M121)</f>
        <v>0</v>
      </c>
      <c r="M212" s="502"/>
      <c r="N212" s="502"/>
      <c r="O212" s="502"/>
      <c r="P212" s="502"/>
      <c r="Q212" s="502"/>
      <c r="R212" s="502"/>
      <c r="S212" s="502"/>
      <c r="T212" s="502"/>
      <c r="U212" s="502"/>
      <c r="V212" s="8"/>
      <c r="W212" s="5"/>
      <c r="X212" s="8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</row>
    <row r="213" customFormat="false" ht="14.15" hidden="false" customHeight="true" outlineLevel="0" collapsed="false">
      <c r="A213" s="63"/>
      <c r="B213" s="5"/>
      <c r="C213" s="5"/>
      <c r="D213" s="8"/>
      <c r="E213" s="255" t="s">
        <v>675</v>
      </c>
      <c r="F213" s="255"/>
      <c r="G213" s="255"/>
      <c r="H213" s="310"/>
      <c r="I213" s="1075" t="n">
        <f aca="false">IF($D$21&lt;1,0,K116/K213)</f>
        <v>0.274534509309814</v>
      </c>
      <c r="J213" s="1075"/>
      <c r="K213" s="1067" t="n">
        <f aca="false">$D$51</f>
        <v>125.7168</v>
      </c>
      <c r="L213" s="1070" t="n">
        <f aca="false">L116</f>
        <v>5893.11034458278</v>
      </c>
      <c r="M213" s="502"/>
      <c r="N213" s="502"/>
      <c r="O213" s="502"/>
      <c r="P213" s="502"/>
      <c r="Q213" s="502"/>
      <c r="R213" s="502"/>
      <c r="S213" s="502"/>
      <c r="T213" s="502"/>
      <c r="U213" s="502"/>
      <c r="V213" s="8"/>
      <c r="W213" s="5"/>
      <c r="X213" s="8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</row>
    <row r="214" customFormat="false" ht="14.15" hidden="false" customHeight="true" outlineLevel="0" collapsed="false">
      <c r="A214" s="63"/>
      <c r="B214" s="5"/>
      <c r="C214" s="5"/>
      <c r="D214" s="8"/>
      <c r="E214" s="255" t="s">
        <v>676</v>
      </c>
      <c r="F214" s="255"/>
      <c r="G214" s="255"/>
      <c r="H214" s="1076" t="n">
        <f aca="false">IF($D$21&lt;1,0,$D$31)</f>
        <v>0.25</v>
      </c>
      <c r="I214" s="1077" t="n">
        <f aca="false">IF($D$21&gt;0,$D$32,0)</f>
        <v>0</v>
      </c>
      <c r="J214" s="1078" t="n">
        <f aca="false">3600*K214/1000</f>
        <v>19.25352</v>
      </c>
      <c r="K214" s="1079" t="n">
        <f aca="false">D33</f>
        <v>5.3482</v>
      </c>
      <c r="L214" s="1080" t="n">
        <f aca="false">D34</f>
        <v>1183.49643147592</v>
      </c>
      <c r="M214" s="502" t="s">
        <v>68</v>
      </c>
      <c r="N214" s="502"/>
      <c r="O214" s="502"/>
      <c r="P214" s="502"/>
      <c r="Q214" s="502"/>
      <c r="R214" s="502"/>
      <c r="S214" s="502"/>
      <c r="T214" s="502"/>
      <c r="U214" s="502"/>
      <c r="V214" s="8"/>
      <c r="W214" s="5"/>
      <c r="X214" s="8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</row>
    <row r="215" customFormat="false" ht="14.15" hidden="false" customHeight="true" outlineLevel="0" collapsed="false">
      <c r="A215" s="63"/>
      <c r="B215" s="5"/>
      <c r="C215" s="5"/>
      <c r="D215" s="8"/>
      <c r="E215" s="255" t="s">
        <v>677</v>
      </c>
      <c r="F215" s="255"/>
      <c r="G215" s="255"/>
      <c r="H215" s="1076" t="n">
        <f aca="false">IF($D$21&lt;1,0,D39)</f>
        <v>0.06</v>
      </c>
      <c r="I215" s="1077" t="s">
        <v>68</v>
      </c>
      <c r="J215" s="1078" t="n">
        <f aca="false">D37</f>
        <v>4.6208448</v>
      </c>
      <c r="K215" s="1079" t="n">
        <f aca="false">D38</f>
        <v>1.283568</v>
      </c>
      <c r="L215" s="1080" t="n">
        <f aca="false">D40</f>
        <v>284.039143554221</v>
      </c>
      <c r="M215" s="502"/>
      <c r="N215" s="502"/>
      <c r="O215" s="502"/>
      <c r="P215" s="502"/>
      <c r="Q215" s="502"/>
      <c r="R215" s="502"/>
      <c r="S215" s="502"/>
      <c r="T215" s="502"/>
      <c r="U215" s="502"/>
      <c r="V215" s="8"/>
      <c r="W215" s="5"/>
      <c r="X215" s="8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</row>
    <row r="216" customFormat="false" ht="14.15" hidden="false" customHeight="true" outlineLevel="0" collapsed="false">
      <c r="A216" s="63"/>
      <c r="B216" s="5"/>
      <c r="C216" s="5"/>
      <c r="D216" s="8"/>
      <c r="E216" s="255" t="s">
        <v>678</v>
      </c>
      <c r="F216" s="255"/>
      <c r="G216" s="255"/>
      <c r="H216" s="255"/>
      <c r="I216" s="1090" t="n">
        <f aca="false">D56/1000</f>
        <v>2.284743680384</v>
      </c>
      <c r="J216" s="1082" t="s">
        <v>679</v>
      </c>
      <c r="K216" s="1082"/>
      <c r="L216" s="1082"/>
      <c r="M216" s="502"/>
      <c r="N216" s="502"/>
      <c r="O216" s="502"/>
      <c r="P216" s="502"/>
      <c r="Q216" s="502"/>
      <c r="R216" s="502"/>
      <c r="S216" s="502"/>
      <c r="T216" s="502"/>
      <c r="U216" s="502"/>
      <c r="V216" s="8"/>
      <c r="W216" s="5"/>
      <c r="X216" s="8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</row>
    <row r="217" customFormat="false" ht="14.15" hidden="false" customHeight="true" outlineLevel="0" collapsed="false">
      <c r="A217" s="63"/>
      <c r="B217" s="5"/>
      <c r="C217" s="5"/>
      <c r="D217" s="8"/>
      <c r="E217" s="1083" t="str">
        <f aca="false">IF(E21&lt;1,E129,E129&amp;", ilmanvaihto ja vuotoilma mukana")</f>
        <v>Rakennus 4 ei valittu!</v>
      </c>
      <c r="F217" s="1083"/>
      <c r="G217" s="1083"/>
      <c r="H217" s="1084" t="s">
        <v>665</v>
      </c>
      <c r="I217" s="1085" t="str">
        <f aca="false">IF($E$21&lt;1,"",$E$23)</f>
        <v/>
      </c>
      <c r="J217" s="1084" t="s">
        <v>666</v>
      </c>
      <c r="K217" s="1086" t="str">
        <f aca="false">IF($E$21&lt;1,"",$E$30)</f>
        <v/>
      </c>
      <c r="L217" s="1061" t="n">
        <f aca="false">IF($E$21&lt;1,0,SUM(L230:L232))</f>
        <v>0</v>
      </c>
      <c r="M217" s="502"/>
      <c r="N217" s="502"/>
      <c r="O217" s="502"/>
      <c r="P217" s="502"/>
      <c r="Q217" s="502"/>
      <c r="R217" s="502"/>
      <c r="S217" s="502"/>
      <c r="T217" s="502"/>
      <c r="U217" s="502"/>
      <c r="V217" s="8"/>
      <c r="W217" s="5"/>
      <c r="X217" s="8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</row>
    <row r="218" customFormat="false" ht="14.15" hidden="false" customHeight="true" outlineLevel="0" collapsed="false">
      <c r="A218" s="63"/>
      <c r="B218" s="5"/>
      <c r="C218" s="5"/>
      <c r="D218" s="8"/>
      <c r="E218" s="255" t="s">
        <v>667</v>
      </c>
      <c r="F218" s="255"/>
      <c r="G218" s="255"/>
      <c r="H218" s="1062" t="str">
        <f aca="false">IF($E$21=0,"",$E$24)</f>
        <v/>
      </c>
      <c r="I218" s="1062" t="str">
        <f aca="false">IF($E$21&lt;1,"",$E$25)</f>
        <v/>
      </c>
      <c r="J218" s="1062" t="str">
        <f aca="false">IF($E$21&lt;1,"",$E$26+2*$E$27)</f>
        <v/>
      </c>
      <c r="K218" s="1063" t="str">
        <f aca="false">IF($E$21&lt;1,"",H218*I218)</f>
        <v/>
      </c>
      <c r="L218" s="1064" t="str">
        <f aca="false">IF($E$21&lt;1,"",E45)</f>
        <v/>
      </c>
      <c r="M218" s="502"/>
      <c r="N218" s="502"/>
      <c r="O218" s="502"/>
      <c r="P218" s="502"/>
      <c r="Q218" s="502"/>
      <c r="R218" s="502"/>
      <c r="S218" s="502"/>
      <c r="T218" s="502"/>
      <c r="U218" s="502"/>
      <c r="V218" s="8"/>
      <c r="W218" s="5"/>
      <c r="X218" s="8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</row>
    <row r="219" customFormat="false" ht="14.15" hidden="false" customHeight="true" outlineLevel="0" collapsed="false">
      <c r="A219" s="63"/>
      <c r="B219" s="5"/>
      <c r="C219" s="5"/>
      <c r="D219" s="8"/>
      <c r="E219" s="255" t="s">
        <v>668</v>
      </c>
      <c r="F219" s="255"/>
      <c r="G219" s="255"/>
      <c r="H219" s="1065" t="str">
        <f aca="false">IF($E$21&lt;1,"",$E$43)</f>
        <v/>
      </c>
      <c r="I219" s="1065" t="str">
        <f aca="false">IF($E$21&lt;1,"",$E$44)</f>
        <v/>
      </c>
      <c r="J219" s="1066" t="str">
        <f aca="false">IF($E$21&lt;1,"",$E$26)</f>
        <v/>
      </c>
      <c r="K219" s="1067" t="str">
        <f aca="false">IF($E$21&lt;1,"",H219*I219)</f>
        <v/>
      </c>
      <c r="L219" s="1064" t="str">
        <f aca="false">IF($E$21&lt;1,"",H219*I219*J219)</f>
        <v/>
      </c>
      <c r="M219" s="502"/>
      <c r="N219" s="502"/>
      <c r="O219" s="502"/>
      <c r="P219" s="502"/>
      <c r="Q219" s="502"/>
      <c r="R219" s="502"/>
      <c r="S219" s="502"/>
      <c r="T219" s="502"/>
      <c r="U219" s="502"/>
      <c r="V219" s="8"/>
      <c r="W219" s="5"/>
      <c r="X219" s="8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</row>
    <row r="220" customFormat="false" ht="14.15" hidden="false" customHeight="true" outlineLevel="0" collapsed="false">
      <c r="A220" s="63"/>
      <c r="B220" s="5"/>
      <c r="C220" s="5"/>
      <c r="D220" s="8"/>
      <c r="E220" s="255" t="s">
        <v>669</v>
      </c>
      <c r="F220" s="255"/>
      <c r="G220" s="255"/>
      <c r="H220" s="1062" t="str">
        <f aca="false">IF($E$21&lt;1,"",$E$27)</f>
        <v/>
      </c>
      <c r="I220" s="1068" t="n">
        <f aca="false">IF($E$21&lt;1,0,K130/$E$51)</f>
        <v>0</v>
      </c>
      <c r="J220" s="1069" t="n">
        <f aca="false">M129</f>
        <v>0</v>
      </c>
      <c r="K220" s="1067" t="n">
        <f aca="false">IF($E$21&lt;1,0,$E$51)</f>
        <v>0</v>
      </c>
      <c r="L220" s="1070" t="n">
        <f aca="false">IF($E$21&lt;1,0,L130)</f>
        <v>0</v>
      </c>
      <c r="M220" s="502"/>
      <c r="N220" s="502"/>
      <c r="O220" s="502"/>
      <c r="P220" s="502"/>
      <c r="Q220" s="502"/>
      <c r="R220" s="502"/>
      <c r="S220" s="502"/>
      <c r="T220" s="502"/>
      <c r="U220" s="502"/>
      <c r="V220" s="8"/>
      <c r="W220" s="5"/>
      <c r="X220" s="8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</row>
    <row r="221" customFormat="false" ht="14.15" hidden="false" customHeight="true" outlineLevel="0" collapsed="false">
      <c r="A221" s="63"/>
      <c r="B221" s="5"/>
      <c r="C221" s="5"/>
      <c r="D221" s="8"/>
      <c r="E221" s="255" t="s">
        <v>670</v>
      </c>
      <c r="F221" s="255"/>
      <c r="G221" s="255"/>
      <c r="H221" s="1065"/>
      <c r="I221" s="310"/>
      <c r="J221" s="310"/>
      <c r="K221" s="1064" t="n">
        <f aca="false">IF($E$21&lt;1,0,$E$46)</f>
        <v>0</v>
      </c>
      <c r="L221" s="1071" t="n">
        <f aca="false">IF($E$21&lt;1,0,L217/K221)</f>
        <v>0</v>
      </c>
      <c r="M221" s="502"/>
      <c r="N221" s="502"/>
      <c r="O221" s="502"/>
      <c r="P221" s="502"/>
      <c r="Q221" s="502"/>
      <c r="R221" s="502"/>
      <c r="S221" s="502"/>
      <c r="T221" s="502"/>
      <c r="U221" s="502"/>
      <c r="V221" s="8"/>
      <c r="W221" s="5"/>
      <c r="X221" s="8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</row>
    <row r="222" customFormat="false" ht="14.15" hidden="false" customHeight="true" outlineLevel="0" collapsed="false">
      <c r="A222" s="63"/>
      <c r="B222" s="5"/>
      <c r="C222" s="5"/>
      <c r="D222" s="8"/>
      <c r="E222" s="255" t="s">
        <v>671</v>
      </c>
      <c r="F222" s="255"/>
      <c r="G222" s="255"/>
      <c r="H222" s="1065"/>
      <c r="I222" s="310"/>
      <c r="J222" s="310"/>
      <c r="K222" s="1064" t="n">
        <f aca="false">IF($E$21&lt;1,0,$E$46)</f>
        <v>0</v>
      </c>
      <c r="L222" s="1072" t="n">
        <f aca="false">IF($E$21&lt;1,0,1000*L217/$G$9/K222)</f>
        <v>0</v>
      </c>
      <c r="M222" s="502"/>
      <c r="N222" s="502"/>
      <c r="O222" s="502"/>
      <c r="P222" s="502"/>
      <c r="Q222" s="502"/>
      <c r="R222" s="502"/>
      <c r="S222" s="502"/>
      <c r="T222" s="502"/>
      <c r="U222" s="502"/>
      <c r="V222" s="8"/>
      <c r="W222" s="5"/>
      <c r="X222" s="8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</row>
    <row r="223" customFormat="false" ht="14.15" hidden="false" customHeight="true" outlineLevel="0" collapsed="false">
      <c r="A223" s="63"/>
      <c r="B223" s="5"/>
      <c r="C223" s="5"/>
      <c r="D223" s="8"/>
      <c r="E223" s="255" t="s">
        <v>672</v>
      </c>
      <c r="F223" s="255"/>
      <c r="G223" s="255"/>
      <c r="H223" s="1065"/>
      <c r="I223" s="310"/>
      <c r="J223" s="310"/>
      <c r="K223" s="1067" t="n">
        <f aca="false">IF($E$21&lt;1,0,$E$47)</f>
        <v>0</v>
      </c>
      <c r="L223" s="1073" t="n">
        <f aca="false">IF(K223&lt;3,0,L217/K223)</f>
        <v>0</v>
      </c>
      <c r="M223" s="502"/>
      <c r="N223" s="502"/>
      <c r="O223" s="502"/>
      <c r="P223" s="502"/>
      <c r="Q223" s="502"/>
      <c r="R223" s="502"/>
      <c r="S223" s="502"/>
      <c r="T223" s="502"/>
      <c r="U223" s="502"/>
      <c r="V223" s="8"/>
      <c r="W223" s="5"/>
      <c r="X223" s="8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</row>
    <row r="224" customFormat="false" ht="14.15" hidden="false" customHeight="true" outlineLevel="0" collapsed="false">
      <c r="A224" s="63"/>
      <c r="B224" s="5"/>
      <c r="C224" s="5"/>
      <c r="D224" s="8"/>
      <c r="E224" s="255" t="s">
        <v>673</v>
      </c>
      <c r="F224" s="255"/>
      <c r="G224" s="255"/>
      <c r="H224" s="1065"/>
      <c r="I224" s="310"/>
      <c r="J224" s="310"/>
      <c r="K224" s="1067" t="n">
        <f aca="false">IF($E$21&lt;1,0,$E$49)</f>
        <v>0</v>
      </c>
      <c r="L224" s="1073" t="n">
        <f aca="false">IF(K224&lt;3,0,L217/K224)</f>
        <v>0</v>
      </c>
      <c r="M224" s="502"/>
      <c r="N224" s="502"/>
      <c r="O224" s="502"/>
      <c r="P224" s="502"/>
      <c r="Q224" s="502"/>
      <c r="R224" s="502"/>
      <c r="S224" s="502"/>
      <c r="T224" s="502"/>
      <c r="U224" s="502"/>
      <c r="V224" s="8"/>
      <c r="W224" s="5"/>
      <c r="X224" s="8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</row>
    <row r="225" customFormat="false" ht="14.15" hidden="false" customHeight="true" outlineLevel="0" collapsed="false">
      <c r="A225" s="63"/>
      <c r="B225" s="5"/>
      <c r="C225" s="5"/>
      <c r="D225" s="8"/>
      <c r="E225" s="255" t="s">
        <v>577</v>
      </c>
      <c r="F225" s="255"/>
      <c r="G225" s="255"/>
      <c r="H225" s="1065"/>
      <c r="I225" s="1068" t="n">
        <f aca="false">IF($E$21&lt;1,0,SUM(K131:K132)/D131)</f>
        <v>0</v>
      </c>
      <c r="J225" s="1068"/>
      <c r="K225" s="1074" t="str">
        <f aca="false">IF($E$21&lt;1,"",D133)</f>
        <v/>
      </c>
      <c r="L225" s="1070" t="n">
        <f aca="false">IF($E$21&lt;1,0,L131)</f>
        <v>0</v>
      </c>
      <c r="M225" s="502"/>
      <c r="N225" s="502"/>
      <c r="O225" s="502"/>
      <c r="P225" s="502"/>
      <c r="Q225" s="502"/>
      <c r="R225" s="502"/>
      <c r="S225" s="502"/>
      <c r="T225" s="502"/>
      <c r="U225" s="502"/>
      <c r="V225" s="8"/>
      <c r="W225" s="5"/>
      <c r="X225" s="8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</row>
    <row r="226" customFormat="false" ht="14.15" hidden="false" customHeight="true" outlineLevel="0" collapsed="false">
      <c r="A226" s="63"/>
      <c r="B226" s="5"/>
      <c r="C226" s="5"/>
      <c r="D226" s="8"/>
      <c r="E226" s="255" t="s">
        <v>575</v>
      </c>
      <c r="F226" s="255"/>
      <c r="G226" s="255"/>
      <c r="H226" s="1065"/>
      <c r="I226" s="1068" t="n">
        <f aca="false">IF($E$21&lt;1,0,SUM(K133:K134)/D133)</f>
        <v>0</v>
      </c>
      <c r="J226" s="1068"/>
      <c r="K226" s="1074" t="str">
        <f aca="false">IF($E$21&lt;1,"",D133)</f>
        <v/>
      </c>
      <c r="L226" s="1070" t="n">
        <f aca="false">IF($E$21&lt;1,0,L133)</f>
        <v>0</v>
      </c>
      <c r="M226" s="502"/>
      <c r="N226" s="502"/>
      <c r="O226" s="502"/>
      <c r="P226" s="502"/>
      <c r="Q226" s="502"/>
      <c r="R226" s="502"/>
      <c r="S226" s="502"/>
      <c r="T226" s="502"/>
      <c r="U226" s="502"/>
      <c r="V226" s="8"/>
      <c r="W226" s="5"/>
      <c r="X226" s="8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</row>
    <row r="227" customFormat="false" ht="14.15" hidden="false" customHeight="true" outlineLevel="0" collapsed="false">
      <c r="A227" s="63"/>
      <c r="B227" s="5"/>
      <c r="C227" s="5"/>
      <c r="D227" s="8"/>
      <c r="E227" s="255" t="s">
        <v>674</v>
      </c>
      <c r="F227" s="255"/>
      <c r="G227" s="255"/>
      <c r="H227" s="1065"/>
      <c r="I227" s="1068" t="n">
        <f aca="false">IF($E$21&lt;1,0,SUM(K139:K140)/D139)</f>
        <v>0</v>
      </c>
      <c r="J227" s="1068"/>
      <c r="K227" s="1074" t="str">
        <f aca="false">IF($E$21&lt;1,"",SUM(H139:H140))</f>
        <v/>
      </c>
      <c r="L227" s="1070" t="n">
        <f aca="false">IF($E$21&lt;1,0,M139)</f>
        <v>0</v>
      </c>
      <c r="M227" s="502"/>
      <c r="N227" s="502"/>
      <c r="O227" s="502"/>
      <c r="P227" s="502"/>
      <c r="Q227" s="502"/>
      <c r="R227" s="502"/>
      <c r="S227" s="502"/>
      <c r="T227" s="502"/>
      <c r="U227" s="502"/>
      <c r="V227" s="8"/>
      <c r="W227" s="5"/>
      <c r="X227" s="8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</row>
    <row r="228" customFormat="false" ht="14.15" hidden="false" customHeight="true" outlineLevel="0" collapsed="false">
      <c r="A228" s="63"/>
      <c r="B228" s="5"/>
      <c r="C228" s="5"/>
      <c r="D228" s="8"/>
      <c r="E228" s="255" t="s">
        <v>579</v>
      </c>
      <c r="F228" s="255"/>
      <c r="G228" s="255"/>
      <c r="H228" s="1065"/>
      <c r="I228" s="1068" t="n">
        <f aca="false">IF(M137&lt;1,0,SUM(K137:K138)/D137)</f>
        <v>0</v>
      </c>
      <c r="J228" s="1068"/>
      <c r="K228" s="1074" t="str">
        <f aca="false">IF($E$21&lt;1,"",D137)</f>
        <v/>
      </c>
      <c r="L228" s="1070" t="n">
        <f aca="false">IF($E$21&lt;1,0,M137)</f>
        <v>0</v>
      </c>
      <c r="M228" s="502"/>
      <c r="N228" s="502"/>
      <c r="O228" s="502"/>
      <c r="P228" s="502"/>
      <c r="Q228" s="502"/>
      <c r="R228" s="502"/>
      <c r="S228" s="502"/>
      <c r="T228" s="502"/>
      <c r="U228" s="502"/>
      <c r="V228" s="8"/>
      <c r="W228" s="5"/>
      <c r="X228" s="8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</row>
    <row r="229" customFormat="false" ht="14.15" hidden="false" customHeight="true" outlineLevel="0" collapsed="false">
      <c r="A229" s="63"/>
      <c r="B229" s="5"/>
      <c r="C229" s="5"/>
      <c r="D229" s="8"/>
      <c r="E229" s="255" t="s">
        <v>581</v>
      </c>
      <c r="F229" s="255"/>
      <c r="G229" s="255"/>
      <c r="H229" s="1065"/>
      <c r="I229" s="1068" t="n">
        <f aca="false">IF(M135&lt;1,0,SUM(K135:K136)/D135)</f>
        <v>0</v>
      </c>
      <c r="J229" s="1068"/>
      <c r="K229" s="1074" t="str">
        <f aca="false">IF($E$21&lt;1,"",D135)</f>
        <v/>
      </c>
      <c r="L229" s="1070" t="n">
        <f aca="false">IF($E$21&lt;1,0,M135)</f>
        <v>0</v>
      </c>
      <c r="M229" s="502"/>
      <c r="N229" s="502"/>
      <c r="O229" s="502"/>
      <c r="P229" s="502"/>
      <c r="Q229" s="502"/>
      <c r="R229" s="502"/>
      <c r="S229" s="502"/>
      <c r="T229" s="502"/>
      <c r="U229" s="502"/>
      <c r="V229" s="8"/>
      <c r="W229" s="5"/>
      <c r="X229" s="8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</row>
    <row r="230" customFormat="false" ht="14.15" hidden="false" customHeight="true" outlineLevel="0" collapsed="false">
      <c r="A230" s="63"/>
      <c r="B230" s="5"/>
      <c r="C230" s="5"/>
      <c r="D230" s="8"/>
      <c r="E230" s="255" t="s">
        <v>675</v>
      </c>
      <c r="F230" s="255"/>
      <c r="G230" s="255"/>
      <c r="H230" s="310"/>
      <c r="I230" s="1075" t="n">
        <f aca="false">IF($E$21&lt;1,0,K130/K230)</f>
        <v>0</v>
      </c>
      <c r="J230" s="1075"/>
      <c r="K230" s="1067" t="n">
        <f aca="false">$E$51</f>
        <v>0.0002</v>
      </c>
      <c r="L230" s="1070" t="n">
        <f aca="false">L130</f>
        <v>0</v>
      </c>
      <c r="M230" s="502"/>
      <c r="N230" s="502"/>
      <c r="O230" s="502"/>
      <c r="P230" s="502"/>
      <c r="Q230" s="502"/>
      <c r="R230" s="502"/>
      <c r="S230" s="502"/>
      <c r="T230" s="502"/>
      <c r="U230" s="502"/>
      <c r="V230" s="8"/>
      <c r="W230" s="5"/>
      <c r="X230" s="8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</row>
    <row r="231" customFormat="false" ht="14.15" hidden="false" customHeight="true" outlineLevel="0" collapsed="false">
      <c r="A231" s="63"/>
      <c r="B231" s="5"/>
      <c r="C231" s="5"/>
      <c r="D231" s="8"/>
      <c r="E231" s="255" t="s">
        <v>676</v>
      </c>
      <c r="F231" s="255"/>
      <c r="G231" s="255"/>
      <c r="H231" s="1076" t="n">
        <f aca="false">IF($E$21&lt;1,0,$D$31)</f>
        <v>0</v>
      </c>
      <c r="I231" s="1077" t="n">
        <f aca="false">IF($E$21&gt;0,$E$32,0)</f>
        <v>0</v>
      </c>
      <c r="J231" s="1078" t="n">
        <f aca="false">3600*K231/1000</f>
        <v>2E-005</v>
      </c>
      <c r="K231" s="1079" t="n">
        <f aca="false">E33</f>
        <v>5.55555555555556E-006</v>
      </c>
      <c r="L231" s="1080" t="n">
        <f aca="false">E34</f>
        <v>0</v>
      </c>
      <c r="M231" s="502" t="s">
        <v>68</v>
      </c>
      <c r="N231" s="502"/>
      <c r="O231" s="502"/>
      <c r="P231" s="502"/>
      <c r="Q231" s="502"/>
      <c r="R231" s="502"/>
      <c r="S231" s="502"/>
      <c r="T231" s="502"/>
      <c r="U231" s="502"/>
      <c r="V231" s="8"/>
      <c r="W231" s="5"/>
      <c r="X231" s="8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</row>
    <row r="232" customFormat="false" ht="14.15" hidden="false" customHeight="true" outlineLevel="0" collapsed="false">
      <c r="A232" s="63"/>
      <c r="B232" s="5"/>
      <c r="C232" s="5"/>
      <c r="D232" s="8"/>
      <c r="E232" s="255" t="s">
        <v>677</v>
      </c>
      <c r="F232" s="255"/>
      <c r="G232" s="255"/>
      <c r="H232" s="1076" t="n">
        <f aca="false">IF($E$21&lt;1,0,E39)</f>
        <v>0</v>
      </c>
      <c r="I232" s="1077" t="s">
        <v>68</v>
      </c>
      <c r="J232" s="1078" t="n">
        <f aca="false">E37</f>
        <v>6E-006</v>
      </c>
      <c r="K232" s="1079" t="n">
        <f aca="false">E38</f>
        <v>1.66666666666667E-006</v>
      </c>
      <c r="L232" s="1080" t="n">
        <f aca="false">E40</f>
        <v>0</v>
      </c>
      <c r="M232" s="502"/>
      <c r="N232" s="502"/>
      <c r="O232" s="502"/>
      <c r="P232" s="502"/>
      <c r="Q232" s="502"/>
      <c r="R232" s="502"/>
      <c r="S232" s="502"/>
      <c r="T232" s="502"/>
      <c r="U232" s="502"/>
      <c r="V232" s="8"/>
      <c r="W232" s="5"/>
      <c r="X232" s="8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</row>
    <row r="233" customFormat="false" ht="14.15" hidden="false" customHeight="true" outlineLevel="0" collapsed="false">
      <c r="A233" s="63"/>
      <c r="B233" s="5"/>
      <c r="C233" s="5"/>
      <c r="D233" s="8"/>
      <c r="E233" s="255" t="s">
        <v>678</v>
      </c>
      <c r="F233" s="255"/>
      <c r="G233" s="255"/>
      <c r="H233" s="255"/>
      <c r="I233" s="1090" t="n">
        <f aca="false">E56/1000</f>
        <v>0</v>
      </c>
      <c r="J233" s="1082" t="s">
        <v>679</v>
      </c>
      <c r="K233" s="1082"/>
      <c r="L233" s="1082"/>
      <c r="M233" s="502" t="s">
        <v>68</v>
      </c>
      <c r="N233" s="502"/>
      <c r="O233" s="502"/>
      <c r="P233" s="502"/>
      <c r="Q233" s="502"/>
      <c r="R233" s="502"/>
      <c r="S233" s="502"/>
      <c r="T233" s="502"/>
      <c r="U233" s="502"/>
      <c r="V233" s="8"/>
      <c r="W233" s="5"/>
      <c r="X233" s="8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</row>
    <row r="234" customFormat="false" ht="14.15" hidden="false" customHeight="true" outlineLevel="0" collapsed="false">
      <c r="A234" s="63"/>
      <c r="B234" s="5"/>
      <c r="C234" s="5"/>
      <c r="D234" s="8"/>
      <c r="E234" s="1091" t="str">
        <f aca="false">IF(B60&lt;1,"Lämmönsiirtokanaalia ei ole","Lämmönsiirtokanaalin tehohäviö")</f>
        <v>Lämmönsiirtokanaalia ei ole</v>
      </c>
      <c r="F234" s="1091"/>
      <c r="G234" s="1091"/>
      <c r="H234" s="1091"/>
      <c r="I234" s="1092" t="n">
        <f aca="false">IF(B60&lt;1,0,H60)</f>
        <v>0</v>
      </c>
      <c r="J234" s="1093" t="n">
        <f aca="false">C60</f>
        <v>10</v>
      </c>
      <c r="K234" s="1094" t="str">
        <f aca="false">IF(B60&lt;1,"Ei ole",B60)</f>
        <v>Ei ole</v>
      </c>
      <c r="L234" s="1095" t="n">
        <f aca="false">IF(B60&lt;1,0,E60)</f>
        <v>0</v>
      </c>
      <c r="M234" s="502"/>
      <c r="N234" s="502"/>
      <c r="O234" s="502"/>
      <c r="P234" s="502"/>
      <c r="Q234" s="502"/>
      <c r="R234" s="502"/>
      <c r="S234" s="502"/>
      <c r="T234" s="502"/>
      <c r="U234" s="502"/>
      <c r="V234" s="8"/>
      <c r="W234" s="5"/>
      <c r="X234" s="8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</row>
    <row r="235" customFormat="false" ht="14.15" hidden="false" customHeight="true" outlineLevel="0" collapsed="false">
      <c r="A235" s="63"/>
      <c r="B235" s="5"/>
      <c r="C235" s="5"/>
      <c r="D235" s="8"/>
      <c r="E235" s="356" t="str">
        <f aca="false">IF(B21+C21+D21+E21&lt;1,"Rakennukset yhteensä...  Ei valittu mitään rakennuksia!","Valitut rakennukset yhteensä, lämmin ala, lämpimät kuutiot,  lämmitystarve..")</f>
        <v>Valitut rakennukset yhteensä, lämmin ala, lämpimät kuutiot,  lämmitystarve..</v>
      </c>
      <c r="F235" s="356"/>
      <c r="G235" s="356"/>
      <c r="H235" s="356"/>
      <c r="I235" s="1096" t="n">
        <f aca="false">$H$49</f>
        <v>161.2585</v>
      </c>
      <c r="J235" s="1097" t="n">
        <f aca="false">H46</f>
        <v>418.65874</v>
      </c>
      <c r="K235" s="1096" t="s">
        <v>680</v>
      </c>
      <c r="L235" s="1061" t="n">
        <f aca="false">L166+L183+L200+L217+L234</f>
        <v>25332.9352315503</v>
      </c>
      <c r="M235" s="502"/>
      <c r="N235" s="502"/>
      <c r="O235" s="502"/>
      <c r="P235" s="502"/>
      <c r="Q235" s="502"/>
      <c r="R235" s="502"/>
      <c r="S235" s="502"/>
      <c r="T235" s="502"/>
      <c r="U235" s="502"/>
      <c r="V235" s="8"/>
      <c r="W235" s="5"/>
      <c r="X235" s="8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</row>
    <row r="236" customFormat="false" ht="14.15" hidden="false" customHeight="true" outlineLevel="0" collapsed="false">
      <c r="A236" s="63"/>
      <c r="B236" s="5"/>
      <c r="C236" s="5"/>
      <c r="D236" s="8"/>
      <c r="E236" s="255" t="s">
        <v>681</v>
      </c>
      <c r="F236" s="255"/>
      <c r="G236" s="255"/>
      <c r="H236" s="255"/>
      <c r="I236" s="255"/>
      <c r="J236" s="1098" t="n">
        <f aca="false">G12</f>
        <v>-32</v>
      </c>
      <c r="K236" s="1099" t="n">
        <f aca="false">N85</f>
        <v>6.058289472</v>
      </c>
      <c r="L236" s="1100" t="n">
        <f aca="false">M85</f>
        <v>18310.0771738204</v>
      </c>
      <c r="M236" s="502"/>
      <c r="N236" s="502"/>
      <c r="O236" s="502"/>
      <c r="P236" s="502"/>
      <c r="Q236" s="502"/>
      <c r="R236" s="502"/>
      <c r="S236" s="502"/>
      <c r="T236" s="502"/>
      <c r="U236" s="502"/>
      <c r="V236" s="8"/>
      <c r="W236" s="5"/>
      <c r="X236" s="8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</row>
    <row r="237" customFormat="false" ht="14.15" hidden="false" customHeight="true" outlineLevel="0" collapsed="false">
      <c r="A237" s="63"/>
      <c r="B237" s="5"/>
      <c r="C237" s="5"/>
      <c r="D237" s="8"/>
      <c r="E237" s="1101" t="s">
        <v>682</v>
      </c>
      <c r="F237" s="1101"/>
      <c r="G237" s="1101"/>
      <c r="H237" s="1101"/>
      <c r="I237" s="1102" t="n">
        <f aca="false">3600*J237/1000/J242</f>
        <v>0.254247667205037</v>
      </c>
      <c r="J237" s="1103" t="n">
        <f aca="false">H33</f>
        <v>29.5675022222222</v>
      </c>
      <c r="K237" s="1099" t="n">
        <f aca="false">I54</f>
        <v>1.96481936304</v>
      </c>
      <c r="L237" s="1104" t="n">
        <f aca="false">H34</f>
        <v>5963.8054907624</v>
      </c>
      <c r="M237" s="502"/>
      <c r="N237" s="502"/>
      <c r="O237" s="502"/>
      <c r="P237" s="502"/>
      <c r="Q237" s="502"/>
      <c r="R237" s="502"/>
      <c r="S237" s="502"/>
      <c r="T237" s="502"/>
      <c r="U237" s="502"/>
      <c r="V237" s="8"/>
      <c r="W237" s="5"/>
      <c r="X237" s="8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</row>
    <row r="238" customFormat="false" ht="14.15" hidden="false" customHeight="true" outlineLevel="0" collapsed="false">
      <c r="A238" s="63"/>
      <c r="B238" s="5"/>
      <c r="C238" s="5"/>
      <c r="D238" s="8"/>
      <c r="E238" s="1101" t="s">
        <v>683</v>
      </c>
      <c r="F238" s="1101"/>
      <c r="G238" s="1101"/>
      <c r="H238" s="1101"/>
      <c r="I238" s="1102" t="n">
        <f aca="false">3600*J238/1000/J242</f>
        <v>0.0445286268238423</v>
      </c>
      <c r="J238" s="1103" t="n">
        <f aca="false">H38</f>
        <v>5.17841633333333</v>
      </c>
      <c r="K238" s="1099" t="n">
        <f aca="false">I55</f>
        <v>0.345778019424</v>
      </c>
      <c r="L238" s="1104" t="n">
        <f aca="false">H40</f>
        <v>1059.05256696748</v>
      </c>
      <c r="M238" s="502"/>
      <c r="N238" s="502"/>
      <c r="O238" s="502"/>
      <c r="P238" s="502"/>
      <c r="Q238" s="8"/>
      <c r="R238" s="8"/>
      <c r="S238" s="8"/>
      <c r="T238" s="8"/>
      <c r="U238" s="5"/>
      <c r="V238" s="8"/>
      <c r="W238" s="5"/>
      <c r="X238" s="8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</row>
    <row r="239" customFormat="false" ht="14.15" hidden="false" customHeight="true" outlineLevel="0" collapsed="false">
      <c r="A239" s="63"/>
      <c r="B239" s="5"/>
      <c r="C239" s="5"/>
      <c r="D239" s="8"/>
      <c r="E239" s="1105" t="str">
        <f aca="false">IF(B60&lt;1,"Lämmönsiirtokanaalia ei ole","Lämmönsiirtokanaalin tehohäviö")</f>
        <v>Lämmönsiirtokanaalia ei ole</v>
      </c>
      <c r="F239" s="1105"/>
      <c r="G239" s="1105"/>
      <c r="H239" s="1106"/>
      <c r="I239" s="1107" t="n">
        <f aca="false">IF(B60&lt;1,0,B60)</f>
        <v>0</v>
      </c>
      <c r="J239" s="1108" t="n">
        <f aca="false">E60</f>
        <v>0</v>
      </c>
      <c r="K239" s="1099" t="n">
        <f aca="false">H60</f>
        <v>0</v>
      </c>
      <c r="L239" s="1104" t="n">
        <f aca="false">E60</f>
        <v>0</v>
      </c>
      <c r="M239" s="502"/>
      <c r="N239" s="502"/>
      <c r="O239" s="502"/>
      <c r="P239" s="502"/>
      <c r="Q239" s="8"/>
      <c r="R239" s="8"/>
      <c r="S239" s="8"/>
      <c r="T239" s="8"/>
      <c r="U239" s="5"/>
      <c r="V239" s="8"/>
      <c r="W239" s="5"/>
      <c r="X239" s="8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</row>
    <row r="240" customFormat="false" ht="14.15" hidden="false" customHeight="true" outlineLevel="0" collapsed="false">
      <c r="A240" s="63"/>
      <c r="B240" s="5"/>
      <c r="C240" s="5"/>
      <c r="D240" s="8"/>
      <c r="E240" s="108" t="s">
        <v>684</v>
      </c>
      <c r="F240" s="108"/>
      <c r="G240" s="108"/>
      <c r="H240" s="108"/>
      <c r="I240" s="108"/>
      <c r="J240" s="108"/>
      <c r="K240" s="1099" t="n">
        <f aca="false">SUM(K236:K239)</f>
        <v>8.368886854464</v>
      </c>
      <c r="L240" s="1109" t="n">
        <f aca="false">SUM(L236:L239)</f>
        <v>25332.9352315503</v>
      </c>
      <c r="M240" s="502"/>
      <c r="N240" s="502"/>
      <c r="O240" s="502"/>
      <c r="P240" s="502"/>
      <c r="Q240" s="8"/>
      <c r="R240" s="8"/>
      <c r="S240" s="8"/>
      <c r="T240" s="8"/>
      <c r="U240" s="5"/>
      <c r="V240" s="8"/>
      <c r="W240" s="5"/>
      <c r="X240" s="8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</row>
    <row r="241" customFormat="false" ht="14.15" hidden="false" customHeight="true" outlineLevel="0" collapsed="false">
      <c r="A241" s="63"/>
      <c r="B241" s="5"/>
      <c r="C241" s="5"/>
      <c r="D241" s="8"/>
      <c r="E241" s="255" t="s">
        <v>685</v>
      </c>
      <c r="F241" s="255"/>
      <c r="G241" s="255"/>
      <c r="H241" s="255"/>
      <c r="I241" s="255"/>
      <c r="J241" s="1110" t="n">
        <f aca="false">H45</f>
        <v>477.9</v>
      </c>
      <c r="K241" s="1111" t="n">
        <f aca="false">IF(J241&lt;10,0,$K$240/J241*1000)</f>
        <v>17.5117950501444</v>
      </c>
      <c r="L241" s="1071" t="n">
        <f aca="false">IF(J241&lt;10,0,L235/J241)</f>
        <v>53.0088621710615</v>
      </c>
      <c r="M241" s="502"/>
      <c r="N241" s="502"/>
      <c r="O241" s="502"/>
      <c r="P241" s="502"/>
      <c r="Q241" s="8"/>
      <c r="R241" s="8"/>
      <c r="S241" s="8"/>
      <c r="T241" s="8"/>
      <c r="U241" s="5"/>
      <c r="V241" s="8"/>
      <c r="W241" s="5"/>
      <c r="X241" s="8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</row>
    <row r="242" customFormat="false" ht="14.15" hidden="false" customHeight="true" outlineLevel="0" collapsed="false">
      <c r="A242" s="63"/>
      <c r="B242" s="5"/>
      <c r="C242" s="5"/>
      <c r="D242" s="8"/>
      <c r="E242" s="255" t="s">
        <v>686</v>
      </c>
      <c r="F242" s="255"/>
      <c r="G242" s="255"/>
      <c r="H242" s="255"/>
      <c r="I242" s="255"/>
      <c r="J242" s="1110" t="n">
        <f aca="false">H46</f>
        <v>418.65874</v>
      </c>
      <c r="K242" s="1111" t="n">
        <f aca="false">IF(J242&lt;10,0,$K$240/J242*1000)</f>
        <v>19.9897578979577</v>
      </c>
      <c r="L242" s="1072" t="n">
        <f aca="false">IF(J242&lt;1,0,1000*L235/J242/$G$9)</f>
        <v>12.6479400636291</v>
      </c>
      <c r="M242" s="502"/>
      <c r="N242" s="502"/>
      <c r="O242" s="502"/>
      <c r="P242" s="502"/>
      <c r="Q242" s="8"/>
      <c r="R242" s="8"/>
      <c r="S242" s="8"/>
      <c r="T242" s="8"/>
      <c r="U242" s="5"/>
      <c r="V242" s="8"/>
      <c r="W242" s="5"/>
      <c r="X242" s="8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</row>
    <row r="243" customFormat="false" ht="14.15" hidden="false" customHeight="true" outlineLevel="0" collapsed="false">
      <c r="A243" s="63"/>
      <c r="B243" s="5"/>
      <c r="C243" s="5"/>
      <c r="D243" s="8"/>
      <c r="E243" s="255" t="s">
        <v>687</v>
      </c>
      <c r="F243" s="255"/>
      <c r="G243" s="255"/>
      <c r="H243" s="255"/>
      <c r="I243" s="255"/>
      <c r="J243" s="1112" t="n">
        <f aca="false">H47</f>
        <v>184.5</v>
      </c>
      <c r="K243" s="1113" t="n">
        <f aca="false">IF(J243&lt;10,0,$K$240/J243*1000)</f>
        <v>45.3598203493984</v>
      </c>
      <c r="L243" s="1114" t="n">
        <f aca="false">IF(J243&lt;1,0,L235/J243)</f>
        <v>137.305882013823</v>
      </c>
      <c r="M243" s="502"/>
      <c r="N243" s="502"/>
      <c r="O243" s="502"/>
      <c r="P243" s="502"/>
      <c r="Q243" s="8"/>
      <c r="R243" s="8"/>
      <c r="S243" s="8"/>
      <c r="T243" s="8"/>
      <c r="U243" s="5"/>
      <c r="V243" s="8"/>
      <c r="W243" s="5"/>
      <c r="X243" s="8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</row>
    <row r="244" customFormat="false" ht="14.15" hidden="false" customHeight="true" outlineLevel="0" collapsed="false">
      <c r="A244" s="63"/>
      <c r="B244" s="5"/>
      <c r="C244" s="5"/>
      <c r="D244" s="8"/>
      <c r="E244" s="255" t="s">
        <v>688</v>
      </c>
      <c r="F244" s="255"/>
      <c r="G244" s="255"/>
      <c r="H244" s="255"/>
      <c r="I244" s="255"/>
      <c r="J244" s="1112" t="n">
        <f aca="false">H49</f>
        <v>161.2585</v>
      </c>
      <c r="K244" s="1113" t="n">
        <f aca="false">IF(J244&lt;3,0,K240/J244*1000)</f>
        <v>51.8973378424331</v>
      </c>
      <c r="L244" s="1073" t="n">
        <f aca="false">IF(J244&lt;3,0,L235/J244)</f>
        <v>157.095193317253</v>
      </c>
      <c r="M244" s="502"/>
      <c r="N244" s="502"/>
      <c r="O244" s="502"/>
      <c r="P244" s="502"/>
      <c r="Q244" s="8"/>
      <c r="R244" s="8"/>
      <c r="S244" s="8"/>
      <c r="T244" s="8"/>
      <c r="U244" s="5"/>
      <c r="V244" s="8"/>
      <c r="W244" s="5"/>
      <c r="X244" s="8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</row>
    <row r="245" customFormat="false" ht="14.15" hidden="false" customHeight="true" outlineLevel="0" collapsed="false">
      <c r="A245" s="63"/>
      <c r="B245" s="5"/>
      <c r="C245" s="5"/>
      <c r="D245" s="502"/>
      <c r="E245" s="502"/>
      <c r="F245" s="502"/>
      <c r="G245" s="502"/>
      <c r="H245" s="502"/>
      <c r="I245" s="502" t="s">
        <v>68</v>
      </c>
      <c r="J245" s="502"/>
      <c r="K245" s="502"/>
      <c r="L245" s="502"/>
      <c r="M245" s="502"/>
      <c r="N245" s="502"/>
      <c r="O245" s="502"/>
      <c r="P245" s="502"/>
      <c r="Q245" s="8"/>
      <c r="R245" s="8"/>
      <c r="S245" s="8"/>
      <c r="T245" s="8"/>
      <c r="U245" s="5"/>
      <c r="V245" s="8"/>
      <c r="W245" s="5"/>
      <c r="X245" s="8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</row>
  </sheetData>
  <sheetProtection sheet="true" password="e6ae" objects="true" scenarios="true" selectLockedCells="true"/>
  <mergeCells count="349">
    <mergeCell ref="B2:I3"/>
    <mergeCell ref="B4:I4"/>
    <mergeCell ref="B6:E6"/>
    <mergeCell ref="I6:J6"/>
    <mergeCell ref="B7:C7"/>
    <mergeCell ref="I7:J7"/>
    <mergeCell ref="B8:C8"/>
    <mergeCell ref="I8:J8"/>
    <mergeCell ref="B9:C9"/>
    <mergeCell ref="I9:J9"/>
    <mergeCell ref="B10:C10"/>
    <mergeCell ref="I10:J10"/>
    <mergeCell ref="B11:C11"/>
    <mergeCell ref="I11:J11"/>
    <mergeCell ref="B12:C12"/>
    <mergeCell ref="I12:J12"/>
    <mergeCell ref="B13:C13"/>
    <mergeCell ref="B14:C14"/>
    <mergeCell ref="B15:C15"/>
    <mergeCell ref="B16:C16"/>
    <mergeCell ref="B18:G19"/>
    <mergeCell ref="F20:G20"/>
    <mergeCell ref="F21:G21"/>
    <mergeCell ref="F22:G22"/>
    <mergeCell ref="F23:G23"/>
    <mergeCell ref="F24:G24"/>
    <mergeCell ref="F25:G25"/>
    <mergeCell ref="F26:G26"/>
    <mergeCell ref="F27:G27"/>
    <mergeCell ref="F28:G28"/>
    <mergeCell ref="I28:K28"/>
    <mergeCell ref="F29:G29"/>
    <mergeCell ref="F30:G30"/>
    <mergeCell ref="F31:G31"/>
    <mergeCell ref="F32:G32"/>
    <mergeCell ref="F33:G33"/>
    <mergeCell ref="F34:G34"/>
    <mergeCell ref="F35:G35"/>
    <mergeCell ref="I35:L35"/>
    <mergeCell ref="F36:G36"/>
    <mergeCell ref="J36:L36"/>
    <mergeCell ref="F37:G37"/>
    <mergeCell ref="J37:L37"/>
    <mergeCell ref="F38:G38"/>
    <mergeCell ref="J38:L38"/>
    <mergeCell ref="F39:G39"/>
    <mergeCell ref="J39:L39"/>
    <mergeCell ref="F40:G40"/>
    <mergeCell ref="J40:L40"/>
    <mergeCell ref="F41:G41"/>
    <mergeCell ref="J41:L41"/>
    <mergeCell ref="F42:G42"/>
    <mergeCell ref="J42:L42"/>
    <mergeCell ref="F43:G43"/>
    <mergeCell ref="J43:L43"/>
    <mergeCell ref="F44:G44"/>
    <mergeCell ref="J44:L44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57:G57"/>
    <mergeCell ref="F59:G59"/>
    <mergeCell ref="F60:G60"/>
    <mergeCell ref="J61:L61"/>
    <mergeCell ref="G62:I62"/>
    <mergeCell ref="B65:F76"/>
    <mergeCell ref="H65:I65"/>
    <mergeCell ref="J65:L65"/>
    <mergeCell ref="H66:I66"/>
    <mergeCell ref="J66:L66"/>
    <mergeCell ref="G67:G68"/>
    <mergeCell ref="H67:I68"/>
    <mergeCell ref="J67:L67"/>
    <mergeCell ref="J68:L68"/>
    <mergeCell ref="H69:I69"/>
    <mergeCell ref="J69:L69"/>
    <mergeCell ref="H70:I70"/>
    <mergeCell ref="J70:L70"/>
    <mergeCell ref="H71:I71"/>
    <mergeCell ref="J71:L71"/>
    <mergeCell ref="H72:I72"/>
    <mergeCell ref="J72:L72"/>
    <mergeCell ref="H73:I73"/>
    <mergeCell ref="J73:L73"/>
    <mergeCell ref="H74:I74"/>
    <mergeCell ref="J74:L74"/>
    <mergeCell ref="H75:I75"/>
    <mergeCell ref="J75:L75"/>
    <mergeCell ref="H76:I76"/>
    <mergeCell ref="J76:L76"/>
    <mergeCell ref="B77:G77"/>
    <mergeCell ref="H77:I77"/>
    <mergeCell ref="J77:L77"/>
    <mergeCell ref="H78:I78"/>
    <mergeCell ref="J78:L78"/>
    <mergeCell ref="H79:I79"/>
    <mergeCell ref="J79:L79"/>
    <mergeCell ref="H80:I80"/>
    <mergeCell ref="J80:L80"/>
    <mergeCell ref="H81:I81"/>
    <mergeCell ref="J81:L81"/>
    <mergeCell ref="H82:I82"/>
    <mergeCell ref="J82:L82"/>
    <mergeCell ref="H83:I83"/>
    <mergeCell ref="J83:L83"/>
    <mergeCell ref="B85:L86"/>
    <mergeCell ref="M85:M86"/>
    <mergeCell ref="N85:N86"/>
    <mergeCell ref="D87:D88"/>
    <mergeCell ref="E87:F88"/>
    <mergeCell ref="J87:J88"/>
    <mergeCell ref="P87:R87"/>
    <mergeCell ref="Q88:R88"/>
    <mergeCell ref="D89:D90"/>
    <mergeCell ref="E89:F89"/>
    <mergeCell ref="I89:I90"/>
    <mergeCell ref="M89:M90"/>
    <mergeCell ref="E90:F90"/>
    <mergeCell ref="P90:R90"/>
    <mergeCell ref="D91:D92"/>
    <mergeCell ref="E91:F91"/>
    <mergeCell ref="I91:I92"/>
    <mergeCell ref="M91:M92"/>
    <mergeCell ref="E92:F92"/>
    <mergeCell ref="D93:D94"/>
    <mergeCell ref="E93:F93"/>
    <mergeCell ref="I93:I94"/>
    <mergeCell ref="M93:M94"/>
    <mergeCell ref="E94:F94"/>
    <mergeCell ref="D95:D96"/>
    <mergeCell ref="E95:F95"/>
    <mergeCell ref="I95:I96"/>
    <mergeCell ref="M95:M96"/>
    <mergeCell ref="E96:F96"/>
    <mergeCell ref="D97:D98"/>
    <mergeCell ref="E97:F97"/>
    <mergeCell ref="I97:I98"/>
    <mergeCell ref="M97:M98"/>
    <mergeCell ref="E98:F98"/>
    <mergeCell ref="D101:D102"/>
    <mergeCell ref="E101:F102"/>
    <mergeCell ref="J101:J102"/>
    <mergeCell ref="P102:R102"/>
    <mergeCell ref="D103:D104"/>
    <mergeCell ref="E103:F103"/>
    <mergeCell ref="I103:I104"/>
    <mergeCell ref="M103:M104"/>
    <mergeCell ref="E104:F104"/>
    <mergeCell ref="D105:D106"/>
    <mergeCell ref="E105:F105"/>
    <mergeCell ref="I105:I106"/>
    <mergeCell ref="M105:M106"/>
    <mergeCell ref="E106:F106"/>
    <mergeCell ref="D107:D108"/>
    <mergeCell ref="E107:F107"/>
    <mergeCell ref="I107:I108"/>
    <mergeCell ref="M107:M108"/>
    <mergeCell ref="E108:F108"/>
    <mergeCell ref="D109:D110"/>
    <mergeCell ref="E109:F109"/>
    <mergeCell ref="I109:I110"/>
    <mergeCell ref="M109:M110"/>
    <mergeCell ref="E110:F110"/>
    <mergeCell ref="D111:D112"/>
    <mergeCell ref="E111:F111"/>
    <mergeCell ref="I111:I112"/>
    <mergeCell ref="M111:M112"/>
    <mergeCell ref="E112:F112"/>
    <mergeCell ref="P114:R114"/>
    <mergeCell ref="D115:D116"/>
    <mergeCell ref="E115:F116"/>
    <mergeCell ref="J115:J116"/>
    <mergeCell ref="P115:R115"/>
    <mergeCell ref="P116:Q116"/>
    <mergeCell ref="D117:D118"/>
    <mergeCell ref="E117:F117"/>
    <mergeCell ref="I117:I118"/>
    <mergeCell ref="M117:M118"/>
    <mergeCell ref="P117:Q117"/>
    <mergeCell ref="E118:F118"/>
    <mergeCell ref="P118:R118"/>
    <mergeCell ref="D119:D120"/>
    <mergeCell ref="E119:F119"/>
    <mergeCell ref="I119:I120"/>
    <mergeCell ref="M119:M120"/>
    <mergeCell ref="P119:Q119"/>
    <mergeCell ref="E120:F120"/>
    <mergeCell ref="P120:Q120"/>
    <mergeCell ref="D121:D122"/>
    <mergeCell ref="E121:F121"/>
    <mergeCell ref="I121:I122"/>
    <mergeCell ref="M121:M122"/>
    <mergeCell ref="E122:F122"/>
    <mergeCell ref="Q122:R122"/>
    <mergeCell ref="D123:D124"/>
    <mergeCell ref="E123:F123"/>
    <mergeCell ref="I123:I124"/>
    <mergeCell ref="M123:M124"/>
    <mergeCell ref="E124:F124"/>
    <mergeCell ref="D125:D126"/>
    <mergeCell ref="E125:F125"/>
    <mergeCell ref="I125:I126"/>
    <mergeCell ref="M125:M126"/>
    <mergeCell ref="E126:F126"/>
    <mergeCell ref="D129:D130"/>
    <mergeCell ref="E129:F130"/>
    <mergeCell ref="J129:J130"/>
    <mergeCell ref="D131:D132"/>
    <mergeCell ref="E131:F131"/>
    <mergeCell ref="I131:I132"/>
    <mergeCell ref="M131:M132"/>
    <mergeCell ref="E132:F132"/>
    <mergeCell ref="D133:D134"/>
    <mergeCell ref="E133:F133"/>
    <mergeCell ref="I133:I134"/>
    <mergeCell ref="M133:M134"/>
    <mergeCell ref="E134:F134"/>
    <mergeCell ref="D135:D136"/>
    <mergeCell ref="E135:F135"/>
    <mergeCell ref="I135:I136"/>
    <mergeCell ref="M135:M136"/>
    <mergeCell ref="E136:F136"/>
    <mergeCell ref="D137:D138"/>
    <mergeCell ref="E137:F137"/>
    <mergeCell ref="I137:I138"/>
    <mergeCell ref="M137:M138"/>
    <mergeCell ref="E138:F138"/>
    <mergeCell ref="D139:D140"/>
    <mergeCell ref="E139:F139"/>
    <mergeCell ref="I139:I140"/>
    <mergeCell ref="M139:M140"/>
    <mergeCell ref="P139:T139"/>
    <mergeCell ref="E140:F140"/>
    <mergeCell ref="C143:J143"/>
    <mergeCell ref="K143:M143"/>
    <mergeCell ref="C144:E146"/>
    <mergeCell ref="F144:G144"/>
    <mergeCell ref="H144:I144"/>
    <mergeCell ref="C147:E147"/>
    <mergeCell ref="C148:E148"/>
    <mergeCell ref="C149:E149"/>
    <mergeCell ref="C150:E150"/>
    <mergeCell ref="C151:E151"/>
    <mergeCell ref="P151:T159"/>
    <mergeCell ref="C152:E152"/>
    <mergeCell ref="C153:E153"/>
    <mergeCell ref="C154:E154"/>
    <mergeCell ref="C155:E155"/>
    <mergeCell ref="C156:E156"/>
    <mergeCell ref="C157:E157"/>
    <mergeCell ref="C158:J158"/>
    <mergeCell ref="C159:F159"/>
    <mergeCell ref="C160:F160"/>
    <mergeCell ref="C161:J161"/>
    <mergeCell ref="C162:F162"/>
    <mergeCell ref="C163:F163"/>
    <mergeCell ref="E165:L165"/>
    <mergeCell ref="E166:G166"/>
    <mergeCell ref="E167:G167"/>
    <mergeCell ref="E168:G168"/>
    <mergeCell ref="E169:G169"/>
    <mergeCell ref="E170:G170"/>
    <mergeCell ref="E171:G171"/>
    <mergeCell ref="E172:G172"/>
    <mergeCell ref="E173:G173"/>
    <mergeCell ref="E174:G174"/>
    <mergeCell ref="E175:G175"/>
    <mergeCell ref="E176:G176"/>
    <mergeCell ref="E177:G177"/>
    <mergeCell ref="E178:G178"/>
    <mergeCell ref="E179:G179"/>
    <mergeCell ref="E180:G180"/>
    <mergeCell ref="E181:G181"/>
    <mergeCell ref="E182:G182"/>
    <mergeCell ref="J182:L182"/>
    <mergeCell ref="E183:G183"/>
    <mergeCell ref="E184:G184"/>
    <mergeCell ref="E185:G185"/>
    <mergeCell ref="E186:G186"/>
    <mergeCell ref="E187:G187"/>
    <mergeCell ref="E188:G188"/>
    <mergeCell ref="E189:G189"/>
    <mergeCell ref="E190:G190"/>
    <mergeCell ref="E191:G191"/>
    <mergeCell ref="E192:G192"/>
    <mergeCell ref="E193:G193"/>
    <mergeCell ref="E194:G194"/>
    <mergeCell ref="E195:G195"/>
    <mergeCell ref="E196:G196"/>
    <mergeCell ref="E197:G197"/>
    <mergeCell ref="E198:G198"/>
    <mergeCell ref="E199:G199"/>
    <mergeCell ref="J199:L199"/>
    <mergeCell ref="E200:G200"/>
    <mergeCell ref="E201:G201"/>
    <mergeCell ref="E202:G202"/>
    <mergeCell ref="E203:G203"/>
    <mergeCell ref="E204:G204"/>
    <mergeCell ref="E205:G205"/>
    <mergeCell ref="E206:G206"/>
    <mergeCell ref="E207:G207"/>
    <mergeCell ref="E208:G208"/>
    <mergeCell ref="E209:G209"/>
    <mergeCell ref="E210:G210"/>
    <mergeCell ref="E211:G211"/>
    <mergeCell ref="E212:G212"/>
    <mergeCell ref="E213:G213"/>
    <mergeCell ref="E214:G214"/>
    <mergeCell ref="E215:G215"/>
    <mergeCell ref="E216:G216"/>
    <mergeCell ref="J216:L216"/>
    <mergeCell ref="E217:G217"/>
    <mergeCell ref="E218:G218"/>
    <mergeCell ref="E219:G219"/>
    <mergeCell ref="E220:G220"/>
    <mergeCell ref="E221:G221"/>
    <mergeCell ref="E222:G222"/>
    <mergeCell ref="E223:G223"/>
    <mergeCell ref="E224:G224"/>
    <mergeCell ref="E225:G225"/>
    <mergeCell ref="E226:G226"/>
    <mergeCell ref="E227:G227"/>
    <mergeCell ref="E228:G228"/>
    <mergeCell ref="E229:G229"/>
    <mergeCell ref="E230:G230"/>
    <mergeCell ref="E231:G231"/>
    <mergeCell ref="E232:G232"/>
    <mergeCell ref="E233:G233"/>
    <mergeCell ref="J233:L233"/>
    <mergeCell ref="E234:H234"/>
    <mergeCell ref="E235:H235"/>
    <mergeCell ref="E236:I236"/>
    <mergeCell ref="E237:H237"/>
    <mergeCell ref="E238:H238"/>
    <mergeCell ref="E239:G239"/>
    <mergeCell ref="E240:J240"/>
    <mergeCell ref="E241:I241"/>
    <mergeCell ref="E242:I242"/>
    <mergeCell ref="E243:I243"/>
    <mergeCell ref="E244:I244"/>
  </mergeCells>
  <dataValidations count="1">
    <dataValidation allowBlank="false" operator="equal" prompt="Tämä auttaa sinua ikkunoiden pinta-alan määrityksessä.&#10;Valitse  tässä se  prosenttilukema jonka mukaan lasketaan ikkunoiden pinta-ala ehdotus." promptTitle="Valitse  IKKUNOIDEN ALA prosentteina huonealasta" showDropDown="false" showErrorMessage="true" showInputMessage="true" sqref="B143" type="list">
      <formula1>"5 %,6 %,7 %,8 %,9 %,10 %,11 %,12 %,13 %,14 %,15 %,16 %,17 %,18 %,19 %,20 %,21 %,22 %,23 %,24 %,25 %,30 %,35 %,40 %,45 %,50 %,60 %,70 %,80 %,90 %,"</formula1>
      <formula2>0</formula2>
    </dataValidation>
  </dataValidations>
  <printOptions headings="false" gridLines="false" gridLinesSet="true" horizontalCentered="false" verticalCentered="false"/>
  <pageMargins left="0.747916666666667" right="0.59375" top="0.65625" bottom="0.747916666666667" header="0.511805555555555" footer="0.511805555555555"/>
  <pageSetup paperSize="9" scale="64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tabColor rgb="00FFFFFF"/>
    <pageSetUpPr fitToPage="false"/>
  </sheetPr>
  <dimension ref="A1:BG4003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0" ySplit="2" topLeftCell="A3" activePane="bottomLeft" state="frozen"/>
      <selection pane="topLeft" activeCell="A1" activeCellId="0" sqref="A1"/>
      <selection pane="bottomLeft" activeCell="AT1" activeCellId="0" sqref="AT1"/>
    </sheetView>
  </sheetViews>
  <sheetFormatPr defaultRowHeight="12.75"/>
  <cols>
    <col collapsed="false" hidden="true" max="13" min="1" style="1115" width="0"/>
    <col collapsed="false" hidden="true" max="14" min="14" style="1116" width="0"/>
    <col collapsed="false" hidden="true" max="20" min="15" style="1115" width="0"/>
    <col collapsed="false" hidden="true" max="22" min="21" style="1117" width="0"/>
    <col collapsed="false" hidden="true" max="23" min="23" style="1115" width="0"/>
    <col collapsed="false" hidden="true" max="26" min="24" style="1118" width="0"/>
    <col collapsed="false" hidden="true" max="27" min="27" style="1119" width="0"/>
    <col collapsed="false" hidden="true" max="40" min="28" style="1120" width="0"/>
    <col collapsed="false" hidden="true" max="45" min="41" style="1119" width="0"/>
    <col collapsed="false" hidden="false" max="46" min="46" style="1119" width="10.8979591836735"/>
    <col collapsed="false" hidden="false" max="47" min="47" style="1119" width="4.69897959183674"/>
    <col collapsed="false" hidden="false" max="48" min="48" style="1118" width="18.4030612244898"/>
    <col collapsed="false" hidden="false" max="49" min="49" style="1118" width="16.4438775510204"/>
    <col collapsed="false" hidden="false" max="50" min="50" style="1118" width="17.0357142857143"/>
    <col collapsed="false" hidden="false" max="51" min="51" style="1118" width="16.4438775510204"/>
    <col collapsed="false" hidden="false" max="53" min="52" style="1118" width="16.8367346938776"/>
    <col collapsed="false" hidden="false" max="257" min="54" style="1118" width="11.5663265306122"/>
    <col collapsed="false" hidden="false" max="1025" min="258" style="504" width="11.5663265306122"/>
  </cols>
  <sheetData>
    <row r="1" customFormat="false" ht="14.1" hidden="false" customHeight="true" outlineLevel="0" collapsed="false">
      <c r="A1" s="1115" t="s">
        <v>689</v>
      </c>
      <c r="C1" s="1121" t="s">
        <v>690</v>
      </c>
      <c r="D1" s="1121"/>
      <c r="E1" s="1121" t="s">
        <v>691</v>
      </c>
      <c r="F1" s="1121" t="s">
        <v>689</v>
      </c>
      <c r="G1" s="1115" t="s">
        <v>689</v>
      </c>
      <c r="AS1" s="1122"/>
    </row>
    <row r="2" customFormat="false" ht="14.1" hidden="false" customHeight="true" outlineLevel="0" collapsed="false">
      <c r="A2" s="1115" t="s">
        <v>692</v>
      </c>
      <c r="B2" s="1115" t="s">
        <v>693</v>
      </c>
      <c r="C2" s="1123" t="s">
        <v>692</v>
      </c>
      <c r="D2" s="1123" t="s">
        <v>694</v>
      </c>
      <c r="E2" s="1123" t="s">
        <v>694</v>
      </c>
      <c r="F2" s="1123" t="s">
        <v>692</v>
      </c>
      <c r="G2" s="1115" t="s">
        <v>692</v>
      </c>
      <c r="H2" s="1115" t="s">
        <v>695</v>
      </c>
      <c r="Y2" s="1115"/>
      <c r="Z2" s="1115"/>
      <c r="AA2" s="1124"/>
    </row>
    <row r="3" customFormat="false" ht="14.1" hidden="false" customHeight="true" outlineLevel="0" collapsed="false">
      <c r="B3" s="1115" t="s">
        <v>696</v>
      </c>
      <c r="D3" s="1115" t="s">
        <v>696</v>
      </c>
      <c r="E3" s="1115" t="s">
        <v>696</v>
      </c>
      <c r="H3" s="1115" t="s">
        <v>696</v>
      </c>
      <c r="Y3" s="1115"/>
      <c r="Z3" s="1115"/>
      <c r="AA3" s="1124"/>
      <c r="AU3" s="1125" t="str">
        <f aca="false">BERGHEAT!E15</f>
        <v>Asuinrakennus  Matti Maalämmittäjä</v>
      </c>
      <c r="AV3" s="1125"/>
      <c r="AW3" s="1125"/>
      <c r="AX3" s="1125"/>
      <c r="AY3" s="1126" t="str">
        <f aca="false">BERGHEAT!F17&amp;" "&amp;BERGHEAT!G17</f>
        <v>40100 Jyväskylä</v>
      </c>
      <c r="AZ3" s="1126"/>
      <c r="BA3" s="1126"/>
    </row>
    <row r="4" customFormat="false" ht="14.1" hidden="false" customHeight="true" outlineLevel="0" collapsed="false">
      <c r="A4" s="1115" t="n">
        <v>0</v>
      </c>
      <c r="B4" s="1115" t="s">
        <v>696</v>
      </c>
      <c r="C4" s="1115" t="n">
        <v>0</v>
      </c>
      <c r="D4" s="1115" t="s">
        <v>696</v>
      </c>
      <c r="E4" s="1115" t="s">
        <v>696</v>
      </c>
      <c r="F4" s="1115" t="n">
        <v>0</v>
      </c>
      <c r="G4" s="1115" t="n">
        <v>0</v>
      </c>
      <c r="H4" s="1115" t="s">
        <v>696</v>
      </c>
      <c r="I4" s="1115" t="n">
        <v>2</v>
      </c>
      <c r="J4" s="1115" t="s">
        <v>158</v>
      </c>
      <c r="L4" s="1115" t="n">
        <v>37800</v>
      </c>
      <c r="M4" s="1115" t="s">
        <v>697</v>
      </c>
      <c r="N4" s="1127" t="n">
        <v>1.01</v>
      </c>
      <c r="P4" s="1115" t="s">
        <v>698</v>
      </c>
      <c r="R4" s="1115" t="n">
        <v>3989</v>
      </c>
      <c r="T4" s="1115" t="n">
        <v>657</v>
      </c>
      <c r="Y4" s="1115"/>
      <c r="Z4" s="1115"/>
      <c r="AA4" s="1128" t="s">
        <v>699</v>
      </c>
      <c r="AB4" s="1128"/>
      <c r="AC4" s="1129"/>
      <c r="AD4" s="1128"/>
      <c r="AE4" s="1128"/>
      <c r="AF4" s="1128"/>
      <c r="AG4" s="1128"/>
      <c r="AH4" s="1128"/>
      <c r="AI4" s="1128"/>
      <c r="AJ4" s="1128"/>
      <c r="AK4" s="1128"/>
      <c r="AL4" s="1128"/>
      <c r="AM4" s="1128"/>
      <c r="AN4" s="1128"/>
      <c r="AU4" s="1130" t="s">
        <v>700</v>
      </c>
      <c r="AV4" s="1130"/>
      <c r="AW4" s="1130"/>
      <c r="AX4" s="1130"/>
      <c r="AY4" s="1130"/>
      <c r="AZ4" s="1130"/>
      <c r="BA4" s="504"/>
    </row>
    <row r="5" customFormat="false" ht="14.1" hidden="false" customHeight="true" outlineLevel="0" collapsed="false">
      <c r="A5" s="1115" t="n">
        <v>1</v>
      </c>
      <c r="B5" s="1115" t="s">
        <v>696</v>
      </c>
      <c r="C5" s="1115" t="n">
        <v>1</v>
      </c>
      <c r="D5" s="1115" t="s">
        <v>696</v>
      </c>
      <c r="E5" s="1115" t="s">
        <v>68</v>
      </c>
      <c r="F5" s="1115" t="s">
        <v>696</v>
      </c>
      <c r="G5" s="1115" t="n">
        <v>1</v>
      </c>
      <c r="H5" s="1115" t="s">
        <v>696</v>
      </c>
      <c r="I5" s="1115" t="n">
        <v>10</v>
      </c>
      <c r="J5" s="1115" t="s">
        <v>158</v>
      </c>
      <c r="L5" s="1115" t="n">
        <f aca="false">LOOKUP(M5,$E$6:$F$4002)</f>
        <v>91350</v>
      </c>
      <c r="M5" s="1115" t="s">
        <v>701</v>
      </c>
      <c r="N5" s="1127" t="n">
        <v>0.95</v>
      </c>
      <c r="O5" s="1115" t="n">
        <v>0</v>
      </c>
      <c r="P5" s="1115" t="s">
        <v>164</v>
      </c>
      <c r="Q5" s="1115" t="n">
        <v>0</v>
      </c>
      <c r="R5" s="1115" t="n">
        <v>4945</v>
      </c>
      <c r="S5" s="1115" t="n">
        <v>0</v>
      </c>
      <c r="T5" s="1115" t="n">
        <v>789</v>
      </c>
      <c r="Y5" s="1115"/>
      <c r="Z5" s="1115"/>
      <c r="AA5" s="1120" t="s">
        <v>702</v>
      </c>
      <c r="AU5" s="1130"/>
      <c r="AV5" s="1130"/>
      <c r="AW5" s="1130"/>
      <c r="AX5" s="1130"/>
      <c r="AY5" s="1130"/>
      <c r="AZ5" s="1130"/>
      <c r="BA5" s="504"/>
      <c r="BB5" s="504"/>
      <c r="BC5" s="504"/>
      <c r="BD5" s="504"/>
      <c r="BE5" s="504"/>
      <c r="BF5" s="504"/>
      <c r="BG5" s="504"/>
    </row>
    <row r="6" customFormat="false" ht="17" hidden="false" customHeight="true" outlineLevel="0" collapsed="false">
      <c r="A6" s="1115" t="n">
        <v>2</v>
      </c>
      <c r="B6" s="1115" t="s">
        <v>158</v>
      </c>
      <c r="C6" s="1115" t="n">
        <v>2</v>
      </c>
      <c r="D6" s="1115" t="s">
        <v>158</v>
      </c>
      <c r="E6" s="1115" t="s">
        <v>703</v>
      </c>
      <c r="F6" s="1115" t="n">
        <v>98570</v>
      </c>
      <c r="G6" s="1115" t="n">
        <v>2</v>
      </c>
      <c r="H6" s="1115" t="s">
        <v>158</v>
      </c>
      <c r="I6" s="1115" t="n">
        <v>100</v>
      </c>
      <c r="J6" s="1115" t="s">
        <v>158</v>
      </c>
      <c r="L6" s="1115" t="n">
        <f aca="false">LOOKUP(M6,$E$6:$F$4002)</f>
        <v>62900</v>
      </c>
      <c r="M6" s="1115" t="s">
        <v>704</v>
      </c>
      <c r="N6" s="1127" t="n">
        <v>0.99</v>
      </c>
      <c r="O6" s="1115" t="n">
        <v>2</v>
      </c>
      <c r="P6" s="1115" t="s">
        <v>705</v>
      </c>
      <c r="Q6" s="1115" t="n">
        <v>2</v>
      </c>
      <c r="R6" s="1115" t="n">
        <v>4229</v>
      </c>
      <c r="S6" s="1115" t="n">
        <v>2</v>
      </c>
      <c r="T6" s="1115" t="n">
        <v>691</v>
      </c>
      <c r="W6" s="1117"/>
      <c r="Y6" s="1115"/>
      <c r="Z6" s="1115"/>
      <c r="AA6" s="1124" t="s">
        <v>706</v>
      </c>
      <c r="AB6" s="1120" t="s">
        <v>174</v>
      </c>
      <c r="AC6" s="1120" t="s">
        <v>180</v>
      </c>
      <c r="AD6" s="1120" t="s">
        <v>707</v>
      </c>
      <c r="AE6" s="1120" t="s">
        <v>708</v>
      </c>
      <c r="AF6" s="1120" t="s">
        <v>709</v>
      </c>
      <c r="AG6" s="1120" t="s">
        <v>197</v>
      </c>
      <c r="AH6" s="1120" t="s">
        <v>710</v>
      </c>
      <c r="AI6" s="1120" t="s">
        <v>203</v>
      </c>
      <c r="AJ6" s="1120" t="s">
        <v>205</v>
      </c>
      <c r="AK6" s="1120" t="s">
        <v>211</v>
      </c>
      <c r="AL6" s="1120" t="s">
        <v>711</v>
      </c>
      <c r="AM6" s="1120" t="s">
        <v>712</v>
      </c>
      <c r="AN6" s="1120" t="s">
        <v>149</v>
      </c>
      <c r="AO6" s="1124"/>
      <c r="AU6" s="1131" t="s">
        <v>713</v>
      </c>
      <c r="AV6" s="1131"/>
      <c r="AW6" s="1131"/>
      <c r="AX6" s="1131"/>
      <c r="AY6" s="1131"/>
      <c r="AZ6" s="1131"/>
      <c r="BA6" s="504"/>
      <c r="BB6" s="504"/>
      <c r="BC6" s="504"/>
      <c r="BD6" s="504"/>
      <c r="BE6" s="504"/>
      <c r="BF6" s="504"/>
      <c r="BG6" s="504"/>
    </row>
    <row r="7" customFormat="false" ht="14.65" hidden="false" customHeight="true" outlineLevel="0" collapsed="false">
      <c r="A7" s="1115" t="n">
        <v>10</v>
      </c>
      <c r="B7" s="1115" t="s">
        <v>158</v>
      </c>
      <c r="C7" s="1115" t="n">
        <v>10</v>
      </c>
      <c r="D7" s="1115" t="s">
        <v>714</v>
      </c>
      <c r="E7" s="1115" t="s">
        <v>715</v>
      </c>
      <c r="F7" s="1115" t="n">
        <v>71810</v>
      </c>
      <c r="G7" s="1115" t="n">
        <v>10</v>
      </c>
      <c r="H7" s="1115" t="s">
        <v>716</v>
      </c>
      <c r="I7" s="1115" t="n">
        <v>102</v>
      </c>
      <c r="J7" s="1115" t="s">
        <v>158</v>
      </c>
      <c r="L7" s="1115" t="n">
        <f aca="false">LOOKUP(M7,$E$6:$F$4002)</f>
        <v>32440</v>
      </c>
      <c r="M7" s="1115" t="s">
        <v>717</v>
      </c>
      <c r="N7" s="1127" t="n">
        <v>1.02</v>
      </c>
      <c r="O7" s="1115" t="n">
        <v>1200</v>
      </c>
      <c r="P7" s="1115" t="s">
        <v>705</v>
      </c>
      <c r="Q7" s="1115" t="n">
        <v>1200</v>
      </c>
      <c r="R7" s="1115" t="n">
        <v>4229</v>
      </c>
      <c r="S7" s="1115" t="n">
        <v>1200</v>
      </c>
      <c r="T7" s="1115" t="n">
        <v>691</v>
      </c>
      <c r="W7" s="1117" t="s">
        <v>68</v>
      </c>
      <c r="X7" s="1115"/>
      <c r="Y7" s="1115"/>
      <c r="Z7" s="1115"/>
      <c r="AA7" s="1124" t="s">
        <v>158</v>
      </c>
      <c r="AB7" s="1120" t="n">
        <v>657</v>
      </c>
      <c r="AC7" s="1120" t="n">
        <v>619</v>
      </c>
      <c r="AD7" s="1120" t="n">
        <v>574</v>
      </c>
      <c r="AE7" s="1120" t="n">
        <v>404</v>
      </c>
      <c r="AF7" s="1120" t="n">
        <v>169</v>
      </c>
      <c r="AG7" s="1120" t="n">
        <v>12</v>
      </c>
      <c r="AH7" s="1120" t="n">
        <v>2</v>
      </c>
      <c r="AI7" s="1120" t="n">
        <v>15</v>
      </c>
      <c r="AJ7" s="1120" t="n">
        <v>144</v>
      </c>
      <c r="AK7" s="1120" t="n">
        <v>331</v>
      </c>
      <c r="AL7" s="1120" t="n">
        <v>468</v>
      </c>
      <c r="AM7" s="1120" t="n">
        <v>594</v>
      </c>
      <c r="AN7" s="1120" t="n">
        <v>3989</v>
      </c>
      <c r="AO7" s="1124"/>
      <c r="AU7" s="1132" t="str">
        <f aca="false">"Bergheat "&amp;BERGHEAT!B1&amp;"  -  "&amp;BERGHEAT!H200</f>
        <v>Bergheat 46.680  -  1,8</v>
      </c>
      <c r="AV7" s="1132"/>
      <c r="AW7" s="1"/>
      <c r="AX7" s="1"/>
      <c r="AY7" s="480"/>
      <c r="AZ7" s="1133" t="n">
        <f aca="true">TODAY()</f>
        <v>40404</v>
      </c>
      <c r="BA7" s="504"/>
      <c r="BB7" s="504"/>
      <c r="BC7" s="504"/>
      <c r="BD7" s="504"/>
      <c r="BE7" s="504"/>
      <c r="BF7" s="504"/>
      <c r="BG7" s="504"/>
    </row>
    <row r="8" customFormat="false" ht="14.1" hidden="false" customHeight="true" outlineLevel="0" collapsed="false">
      <c r="A8" s="1115" t="n">
        <v>100</v>
      </c>
      <c r="B8" s="1115" t="s">
        <v>158</v>
      </c>
      <c r="C8" s="1115" t="n">
        <v>100</v>
      </c>
      <c r="D8" s="1115" t="s">
        <v>158</v>
      </c>
      <c r="E8" s="1115" t="s">
        <v>718</v>
      </c>
      <c r="F8" s="1115" t="n">
        <v>95620</v>
      </c>
      <c r="G8" s="1115" t="n">
        <v>100</v>
      </c>
      <c r="H8" s="1115" t="s">
        <v>158</v>
      </c>
      <c r="I8" s="1115" t="n">
        <v>120</v>
      </c>
      <c r="J8" s="1115" t="s">
        <v>158</v>
      </c>
      <c r="L8" s="1115" t="n">
        <f aca="false">LOOKUP(M8,$E$6:$F$4002)</f>
        <v>85200</v>
      </c>
      <c r="M8" s="1115" t="s">
        <v>719</v>
      </c>
      <c r="N8" s="1127" t="n">
        <v>1</v>
      </c>
      <c r="O8" s="1115" t="n">
        <v>11100</v>
      </c>
      <c r="P8" s="1115" t="s">
        <v>162</v>
      </c>
      <c r="Q8" s="1115" t="n">
        <v>11100</v>
      </c>
      <c r="R8" s="1115" t="n">
        <v>4512</v>
      </c>
      <c r="S8" s="1115" t="n">
        <v>11100</v>
      </c>
      <c r="T8" s="1115" t="n">
        <v>737</v>
      </c>
      <c r="U8" s="1115"/>
      <c r="V8" s="1117" t="s">
        <v>68</v>
      </c>
      <c r="W8" s="1117" t="s">
        <v>68</v>
      </c>
      <c r="X8" s="1115"/>
      <c r="Y8" s="1115"/>
      <c r="Z8" s="1115"/>
      <c r="AA8" s="1124" t="s">
        <v>171</v>
      </c>
      <c r="AB8" s="1120" t="n">
        <v>947</v>
      </c>
      <c r="AC8" s="1120" t="n">
        <v>823</v>
      </c>
      <c r="AD8" s="1120" t="n">
        <v>752</v>
      </c>
      <c r="AE8" s="1120" t="n">
        <v>575</v>
      </c>
      <c r="AF8" s="1120" t="n">
        <v>387</v>
      </c>
      <c r="AG8" s="1120" t="n">
        <v>153</v>
      </c>
      <c r="AH8" s="1120" t="n">
        <v>76</v>
      </c>
      <c r="AI8" s="1120" t="n">
        <v>157</v>
      </c>
      <c r="AJ8" s="1120" t="n">
        <v>328</v>
      </c>
      <c r="AK8" s="1120" t="n">
        <v>545</v>
      </c>
      <c r="AL8" s="1120" t="n">
        <v>744</v>
      </c>
      <c r="AM8" s="1120" t="n">
        <v>894</v>
      </c>
      <c r="AN8" s="1120" t="n">
        <v>6381</v>
      </c>
      <c r="AO8" s="1124"/>
      <c r="AU8" s="248" t="s">
        <v>720</v>
      </c>
      <c r="AV8" s="248"/>
      <c r="AW8" s="248"/>
      <c r="AX8" s="248"/>
      <c r="AY8" s="248"/>
      <c r="AZ8" s="248"/>
      <c r="BA8" s="504"/>
      <c r="BB8" s="504"/>
      <c r="BC8" s="504"/>
      <c r="BD8" s="504"/>
      <c r="BE8" s="504"/>
      <c r="BF8" s="504"/>
      <c r="BG8" s="504"/>
    </row>
    <row r="9" customFormat="false" ht="14.1" hidden="false" customHeight="true" outlineLevel="0" collapsed="false">
      <c r="A9" s="1115" t="n">
        <v>102</v>
      </c>
      <c r="B9" s="1115" t="s">
        <v>158</v>
      </c>
      <c r="C9" s="1115" t="n">
        <v>102</v>
      </c>
      <c r="D9" s="1115" t="s">
        <v>721</v>
      </c>
      <c r="E9" s="1115" t="s">
        <v>722</v>
      </c>
      <c r="F9" s="1115" t="n">
        <v>89730</v>
      </c>
      <c r="G9" s="1115" t="n">
        <v>102</v>
      </c>
      <c r="H9" s="1115" t="s">
        <v>721</v>
      </c>
      <c r="I9" s="1115" t="n">
        <v>130</v>
      </c>
      <c r="J9" s="1115" t="s">
        <v>158</v>
      </c>
      <c r="L9" s="1115" t="n">
        <f aca="false">LOOKUP(M9,$E$6:$F$4002)</f>
        <v>63400</v>
      </c>
      <c r="M9" s="1115" t="s">
        <v>723</v>
      </c>
      <c r="N9" s="1127" t="n">
        <v>1</v>
      </c>
      <c r="O9" s="1115" t="n">
        <v>20007</v>
      </c>
      <c r="P9" s="1115" t="s">
        <v>724</v>
      </c>
      <c r="Q9" s="1115" t="n">
        <v>20007</v>
      </c>
      <c r="R9" s="1115" t="n">
        <v>4115</v>
      </c>
      <c r="S9" s="1115" t="n">
        <v>20007</v>
      </c>
      <c r="T9" s="1115" t="n">
        <v>667</v>
      </c>
      <c r="U9" s="1115"/>
      <c r="V9" s="1117" t="s">
        <v>68</v>
      </c>
      <c r="W9" s="1117" t="s">
        <v>68</v>
      </c>
      <c r="X9" s="1115"/>
      <c r="Y9" s="1115"/>
      <c r="Z9" s="1115"/>
      <c r="AA9" s="1124" t="s">
        <v>167</v>
      </c>
      <c r="AB9" s="1120" t="n">
        <v>837</v>
      </c>
      <c r="AC9" s="1120" t="n">
        <v>762</v>
      </c>
      <c r="AD9" s="1120" t="n">
        <v>670</v>
      </c>
      <c r="AE9" s="1120" t="n">
        <v>479</v>
      </c>
      <c r="AF9" s="1120" t="n">
        <v>231</v>
      </c>
      <c r="AG9" s="1120" t="n">
        <v>43</v>
      </c>
      <c r="AH9" s="1120" t="n">
        <v>12</v>
      </c>
      <c r="AI9" s="1120" t="n">
        <v>55</v>
      </c>
      <c r="AJ9" s="1120" t="n">
        <v>237</v>
      </c>
      <c r="AK9" s="1120" t="n">
        <v>434</v>
      </c>
      <c r="AL9" s="1120" t="n">
        <v>598</v>
      </c>
      <c r="AM9" s="1120" t="n">
        <v>759</v>
      </c>
      <c r="AN9" s="1120" t="n">
        <v>5117</v>
      </c>
      <c r="AO9" s="1124"/>
      <c r="AU9" s="1134" t="s">
        <v>725</v>
      </c>
      <c r="AV9" s="1134"/>
      <c r="AW9" s="1134"/>
      <c r="AX9" s="1134"/>
      <c r="AY9" s="1135" t="n">
        <f aca="false">BERGHEAT!G61</f>
        <v>8.64576137028176</v>
      </c>
      <c r="AZ9" s="1136" t="n">
        <f aca="false">BERGHEAT!G49</f>
        <v>27857</v>
      </c>
      <c r="BA9" s="0"/>
      <c r="BB9" s="504"/>
      <c r="BC9" s="504"/>
      <c r="BD9" s="504"/>
      <c r="BE9" s="504"/>
      <c r="BF9" s="504"/>
      <c r="BG9" s="504"/>
    </row>
    <row r="10" customFormat="false" ht="16.5" hidden="false" customHeight="true" outlineLevel="0" collapsed="false">
      <c r="A10" s="1115" t="n">
        <v>120</v>
      </c>
      <c r="B10" s="1115" t="s">
        <v>158</v>
      </c>
      <c r="C10" s="1115" t="n">
        <v>120</v>
      </c>
      <c r="D10" s="1115" t="s">
        <v>158</v>
      </c>
      <c r="E10" s="1115" t="s">
        <v>726</v>
      </c>
      <c r="F10" s="1115" t="n">
        <v>71760</v>
      </c>
      <c r="G10" s="1115" t="n">
        <v>120</v>
      </c>
      <c r="H10" s="1115" t="s">
        <v>158</v>
      </c>
      <c r="I10" s="1115" t="n">
        <v>140</v>
      </c>
      <c r="J10" s="1115" t="s">
        <v>158</v>
      </c>
      <c r="L10" s="1115" t="n">
        <f aca="false">LOOKUP(M10,$E$6:$F$4002)</f>
        <v>46910</v>
      </c>
      <c r="M10" s="1115" t="s">
        <v>727</v>
      </c>
      <c r="N10" s="1127" t="n">
        <v>1</v>
      </c>
      <c r="O10" s="1115" t="n">
        <v>22100</v>
      </c>
      <c r="P10" s="1115" t="s">
        <v>728</v>
      </c>
      <c r="Q10" s="1115" t="n">
        <v>22100</v>
      </c>
      <c r="R10" s="1115" t="n">
        <v>3896</v>
      </c>
      <c r="S10" s="1115" t="n">
        <v>22100</v>
      </c>
      <c r="T10" s="1115" t="n">
        <v>592</v>
      </c>
      <c r="U10" s="1115"/>
      <c r="V10" s="1117" t="s">
        <v>68</v>
      </c>
      <c r="W10" s="1117" t="s">
        <v>68</v>
      </c>
      <c r="X10" s="1115"/>
      <c r="Y10" s="1115"/>
      <c r="Z10" s="1115"/>
      <c r="AA10" s="1124" t="s">
        <v>164</v>
      </c>
      <c r="AB10" s="1120" t="n">
        <v>789</v>
      </c>
      <c r="AC10" s="1120" t="n">
        <v>727</v>
      </c>
      <c r="AD10" s="1120" t="n">
        <v>650</v>
      </c>
      <c r="AE10" s="1120" t="n">
        <v>464</v>
      </c>
      <c r="AF10" s="1120" t="n">
        <v>217</v>
      </c>
      <c r="AG10" s="1120" t="n">
        <v>43</v>
      </c>
      <c r="AH10" s="1120" t="n">
        <v>13</v>
      </c>
      <c r="AI10" s="1120" t="n">
        <v>63</v>
      </c>
      <c r="AJ10" s="1120" t="n">
        <v>251</v>
      </c>
      <c r="AK10" s="1120" t="n">
        <v>427</v>
      </c>
      <c r="AL10" s="1120" t="n">
        <v>576</v>
      </c>
      <c r="AM10" s="1120" t="n">
        <v>725</v>
      </c>
      <c r="AN10" s="1120" t="n">
        <v>4945</v>
      </c>
      <c r="AO10" s="1124"/>
      <c r="AU10" s="108" t="s">
        <v>729</v>
      </c>
      <c r="AV10" s="108"/>
      <c r="AW10" s="108"/>
      <c r="AX10" s="108"/>
      <c r="AY10" s="1137" t="n">
        <f aca="false">BERGHEAT!F51</f>
        <v>6.1473634829829</v>
      </c>
      <c r="AZ10" s="1138" t="n">
        <f aca="false">BERGHEAT!G51</f>
        <v>19027.6060606061</v>
      </c>
      <c r="BA10" s="504"/>
      <c r="BB10" s="504"/>
      <c r="BC10" s="504"/>
      <c r="BD10" s="504"/>
      <c r="BE10" s="504"/>
      <c r="BF10" s="504"/>
      <c r="BG10" s="504"/>
    </row>
    <row r="11" customFormat="false" ht="16.5" hidden="false" customHeight="true" outlineLevel="0" collapsed="false">
      <c r="A11" s="1115" t="n">
        <v>130</v>
      </c>
      <c r="B11" s="1115" t="s">
        <v>158</v>
      </c>
      <c r="C11" s="1115" t="n">
        <v>130</v>
      </c>
      <c r="D11" s="1115" t="s">
        <v>158</v>
      </c>
      <c r="E11" s="1115" t="s">
        <v>730</v>
      </c>
      <c r="F11" s="1115" t="n">
        <v>29700</v>
      </c>
      <c r="G11" s="1115" t="n">
        <v>130</v>
      </c>
      <c r="H11" s="1115" t="s">
        <v>158</v>
      </c>
      <c r="I11" s="1115" t="n">
        <v>150</v>
      </c>
      <c r="J11" s="1115" t="s">
        <v>158</v>
      </c>
      <c r="L11" s="1115" t="n">
        <f aca="false">LOOKUP(M11,$E$6:$F$4002)</f>
        <v>16230</v>
      </c>
      <c r="M11" s="1115" t="s">
        <v>731</v>
      </c>
      <c r="N11" s="1127" t="n">
        <v>1.01</v>
      </c>
      <c r="O11" s="1115" t="n">
        <v>23100</v>
      </c>
      <c r="P11" s="1115" t="s">
        <v>160</v>
      </c>
      <c r="Q11" s="1115" t="n">
        <v>23100</v>
      </c>
      <c r="R11" s="1115" t="n">
        <v>4115</v>
      </c>
      <c r="S11" s="1115" t="n">
        <v>23100</v>
      </c>
      <c r="T11" s="1115" t="n">
        <v>667</v>
      </c>
      <c r="W11" s="1117"/>
      <c r="X11" s="1115"/>
      <c r="Y11" s="1115"/>
      <c r="Z11" s="1115"/>
      <c r="AA11" s="1124" t="s">
        <v>168</v>
      </c>
      <c r="AB11" s="1120" t="n">
        <v>867</v>
      </c>
      <c r="AC11" s="1120" t="n">
        <v>783</v>
      </c>
      <c r="AD11" s="1120" t="n">
        <v>695</v>
      </c>
      <c r="AE11" s="1120" t="n">
        <v>502</v>
      </c>
      <c r="AF11" s="1120" t="n">
        <v>260</v>
      </c>
      <c r="AG11" s="1120" t="n">
        <v>59</v>
      </c>
      <c r="AH11" s="1120" t="n">
        <v>21</v>
      </c>
      <c r="AI11" s="1120" t="n">
        <v>82</v>
      </c>
      <c r="AJ11" s="1120" t="n">
        <v>266</v>
      </c>
      <c r="AK11" s="1120" t="n">
        <v>460</v>
      </c>
      <c r="AL11" s="1120" t="n">
        <v>630</v>
      </c>
      <c r="AM11" s="1120" t="n">
        <v>795</v>
      </c>
      <c r="AN11" s="1120" t="n">
        <v>5420</v>
      </c>
      <c r="AO11" s="1124"/>
      <c r="AU11" s="108" t="s">
        <v>732</v>
      </c>
      <c r="AV11" s="108"/>
      <c r="AW11" s="108"/>
      <c r="AX11" s="108"/>
      <c r="AY11" s="1137" t="n">
        <f aca="false">BERGHEAT!F52</f>
        <v>2.85258805523012</v>
      </c>
      <c r="AZ11" s="1138" t="n">
        <f aca="false">BERGHEAT!G52</f>
        <v>8829.39393939394</v>
      </c>
      <c r="BA11" s="504"/>
      <c r="BB11" s="504"/>
      <c r="BC11" s="504"/>
      <c r="BD11" s="504"/>
      <c r="BE11" s="504"/>
      <c r="BF11" s="504"/>
      <c r="BG11" s="504"/>
    </row>
    <row r="12" customFormat="false" ht="14.65" hidden="false" customHeight="true" outlineLevel="0" collapsed="false">
      <c r="A12" s="1115" t="n">
        <v>140</v>
      </c>
      <c r="B12" s="1115" t="s">
        <v>158</v>
      </c>
      <c r="C12" s="1115" t="n">
        <v>140</v>
      </c>
      <c r="D12" s="1115" t="s">
        <v>158</v>
      </c>
      <c r="E12" s="1115" t="s">
        <v>733</v>
      </c>
      <c r="F12" s="1115" t="n">
        <v>91660</v>
      </c>
      <c r="G12" s="1115" t="n">
        <v>140</v>
      </c>
      <c r="H12" s="1115" t="s">
        <v>158</v>
      </c>
      <c r="I12" s="1115" t="n">
        <v>160</v>
      </c>
      <c r="J12" s="1115" t="s">
        <v>158</v>
      </c>
      <c r="L12" s="1115" t="n">
        <f aca="false">LOOKUP(M12,$E$6:$F$4002)</f>
        <v>17320</v>
      </c>
      <c r="M12" s="1115" t="s">
        <v>734</v>
      </c>
      <c r="N12" s="1127" t="n">
        <v>1</v>
      </c>
      <c r="O12" s="1115" t="n">
        <v>26100</v>
      </c>
      <c r="P12" s="1115" t="s">
        <v>159</v>
      </c>
      <c r="Q12" s="1115" t="n">
        <v>26100</v>
      </c>
      <c r="R12" s="1115" t="n">
        <v>4255</v>
      </c>
      <c r="S12" s="1115" t="n">
        <v>26100</v>
      </c>
      <c r="T12" s="1115" t="n">
        <v>680</v>
      </c>
      <c r="W12" s="1117"/>
      <c r="X12" s="1115"/>
      <c r="Y12" s="1115"/>
      <c r="Z12" s="1115"/>
      <c r="AA12" s="1124" t="s">
        <v>166</v>
      </c>
      <c r="AB12" s="1120" t="n">
        <v>820</v>
      </c>
      <c r="AC12" s="1120" t="n">
        <v>748</v>
      </c>
      <c r="AD12" s="1120" t="n">
        <v>657</v>
      </c>
      <c r="AE12" s="1120" t="n">
        <v>468</v>
      </c>
      <c r="AF12" s="1120" t="n">
        <v>213</v>
      </c>
      <c r="AG12" s="1120" t="n">
        <v>34</v>
      </c>
      <c r="AH12" s="1120" t="n">
        <v>8</v>
      </c>
      <c r="AI12" s="1120" t="n">
        <v>43</v>
      </c>
      <c r="AJ12" s="1120" t="n">
        <v>216</v>
      </c>
      <c r="AK12" s="1120" t="n">
        <v>415</v>
      </c>
      <c r="AL12" s="1120" t="n">
        <v>579</v>
      </c>
      <c r="AM12" s="1120" t="n">
        <v>742</v>
      </c>
      <c r="AN12" s="1120" t="n">
        <v>4943</v>
      </c>
      <c r="AO12" s="1124"/>
      <c r="AU12" s="108" t="s">
        <v>735</v>
      </c>
      <c r="AV12" s="108"/>
      <c r="AW12" s="108"/>
      <c r="AX12" s="108"/>
      <c r="AY12" s="13" t="str">
        <f aca="false">BERGHEAT!F50</f>
        <v>laskettu COP</v>
      </c>
      <c r="AZ12" s="1139" t="n">
        <f aca="false">BERGHEAT!G50</f>
        <v>3.15502968733912</v>
      </c>
      <c r="BA12" s="504"/>
      <c r="BB12" s="504"/>
      <c r="BC12" s="504"/>
      <c r="BD12" s="504"/>
      <c r="BE12" s="504"/>
      <c r="BF12" s="504"/>
      <c r="BG12" s="504"/>
    </row>
    <row r="13" customFormat="false" ht="16.5" hidden="false" customHeight="true" outlineLevel="0" collapsed="false">
      <c r="A13" s="1115" t="n">
        <v>150</v>
      </c>
      <c r="B13" s="1115" t="s">
        <v>158</v>
      </c>
      <c r="C13" s="1115" t="n">
        <v>150</v>
      </c>
      <c r="D13" s="1115" t="s">
        <v>158</v>
      </c>
      <c r="E13" s="1115" t="s">
        <v>736</v>
      </c>
      <c r="F13" s="1115" t="n">
        <v>3630</v>
      </c>
      <c r="G13" s="1115" t="n">
        <v>150</v>
      </c>
      <c r="H13" s="1115" t="s">
        <v>158</v>
      </c>
      <c r="I13" s="1115" t="n">
        <v>170</v>
      </c>
      <c r="J13" s="1115" t="s">
        <v>158</v>
      </c>
      <c r="L13" s="1115" t="n">
        <f aca="false">LOOKUP(M13,$E$6:$F$4002)</f>
        <v>21240</v>
      </c>
      <c r="M13" s="1115" t="s">
        <v>737</v>
      </c>
      <c r="N13" s="1127" t="n">
        <v>1.01</v>
      </c>
      <c r="O13" s="1115" t="n">
        <v>30100</v>
      </c>
      <c r="P13" s="1115" t="s">
        <v>738</v>
      </c>
      <c r="Q13" s="1115" t="n">
        <v>30100</v>
      </c>
      <c r="R13" s="1115" t="n">
        <v>4502</v>
      </c>
      <c r="S13" s="1115" t="n">
        <v>30100</v>
      </c>
      <c r="T13" s="1115" t="n">
        <v>734</v>
      </c>
      <c r="W13" s="1117" t="s">
        <v>739</v>
      </c>
      <c r="Y13" s="1115"/>
      <c r="Z13" s="1115"/>
      <c r="AA13" s="1124" t="s">
        <v>162</v>
      </c>
      <c r="AB13" s="1120" t="n">
        <v>737</v>
      </c>
      <c r="AC13" s="1120" t="n">
        <v>686</v>
      </c>
      <c r="AD13" s="1120" t="n">
        <v>615</v>
      </c>
      <c r="AE13" s="1120" t="n">
        <v>419</v>
      </c>
      <c r="AF13" s="1120" t="n">
        <v>172</v>
      </c>
      <c r="AG13" s="1120" t="n">
        <v>25</v>
      </c>
      <c r="AH13" s="1120" t="n">
        <v>6</v>
      </c>
      <c r="AI13" s="1120" t="n">
        <v>36</v>
      </c>
      <c r="AJ13" s="1120" t="n">
        <v>215</v>
      </c>
      <c r="AK13" s="1120" t="n">
        <v>394</v>
      </c>
      <c r="AL13" s="1120" t="n">
        <v>533</v>
      </c>
      <c r="AM13" s="1120" t="n">
        <v>674</v>
      </c>
      <c r="AN13" s="1120" t="n">
        <v>4512</v>
      </c>
      <c r="AO13" s="1124"/>
      <c r="AT13" s="0"/>
      <c r="AU13" s="0"/>
      <c r="AV13" s="0"/>
      <c r="AW13" s="0"/>
      <c r="AX13" s="0"/>
      <c r="AY13" s="0"/>
      <c r="AZ13" s="0"/>
      <c r="BA13" s="0"/>
      <c r="BB13" s="504"/>
      <c r="BC13" s="504"/>
      <c r="BD13" s="504"/>
      <c r="BE13" s="504"/>
      <c r="BF13" s="504"/>
      <c r="BG13" s="504"/>
    </row>
    <row r="14" customFormat="false" ht="14.65" hidden="false" customHeight="true" outlineLevel="0" collapsed="false">
      <c r="A14" s="1115" t="n">
        <v>160</v>
      </c>
      <c r="B14" s="1115" t="s">
        <v>158</v>
      </c>
      <c r="C14" s="1115" t="n">
        <v>160</v>
      </c>
      <c r="D14" s="1115" t="s">
        <v>158</v>
      </c>
      <c r="E14" s="1115" t="s">
        <v>740</v>
      </c>
      <c r="F14" s="1115" t="n">
        <v>83950</v>
      </c>
      <c r="G14" s="1115" t="n">
        <v>160</v>
      </c>
      <c r="H14" s="1115" t="s">
        <v>158</v>
      </c>
      <c r="I14" s="1115" t="n">
        <v>180</v>
      </c>
      <c r="J14" s="1115" t="s">
        <v>158</v>
      </c>
      <c r="L14" s="1115" t="n">
        <f aca="false">LOOKUP(M14,$E$6:$F$4002)</f>
        <v>7500</v>
      </c>
      <c r="M14" s="1115" t="s">
        <v>741</v>
      </c>
      <c r="N14" s="1127" t="n">
        <v>1.02</v>
      </c>
      <c r="O14" s="1115" t="n">
        <v>40007</v>
      </c>
      <c r="P14" s="1115" t="s">
        <v>164</v>
      </c>
      <c r="Q14" s="1115" t="n">
        <v>40007</v>
      </c>
      <c r="R14" s="1115" t="n">
        <v>4945</v>
      </c>
      <c r="S14" s="1115" t="n">
        <v>40007</v>
      </c>
      <c r="T14" s="1115" t="n">
        <v>789</v>
      </c>
      <c r="V14" s="1117" t="n">
        <v>0</v>
      </c>
      <c r="W14" s="1117" t="s">
        <v>742</v>
      </c>
      <c r="Y14" s="1115"/>
      <c r="Z14" s="1115"/>
      <c r="AA14" s="1124" t="s">
        <v>163</v>
      </c>
      <c r="AB14" s="1120" t="n">
        <v>771</v>
      </c>
      <c r="AC14" s="1120" t="n">
        <v>702</v>
      </c>
      <c r="AD14" s="1120" t="n">
        <v>624</v>
      </c>
      <c r="AE14" s="1120" t="n">
        <v>425</v>
      </c>
      <c r="AF14" s="1120" t="n">
        <v>177</v>
      </c>
      <c r="AG14" s="1120" t="n">
        <v>26</v>
      </c>
      <c r="AH14" s="1120" t="n">
        <v>6</v>
      </c>
      <c r="AI14" s="1120" t="n">
        <v>34</v>
      </c>
      <c r="AJ14" s="1120" t="n">
        <v>204</v>
      </c>
      <c r="AK14" s="1120" t="n">
        <v>404</v>
      </c>
      <c r="AL14" s="1120" t="n">
        <v>548</v>
      </c>
      <c r="AM14" s="1120" t="n">
        <v>691</v>
      </c>
      <c r="AN14" s="1120" t="n">
        <v>4612</v>
      </c>
      <c r="AO14" s="1124"/>
      <c r="AU14" s="248" t="str">
        <f aca="false">"Lämmön keruu pellosta  ( "&amp;ROUND(AZ10)&amp;" kWh / vuosi )"</f>
        <v>Lämmön keruu pellosta  ( 19028 kWh / vuosi )</v>
      </c>
      <c r="AV14" s="248"/>
      <c r="AW14" s="248"/>
      <c r="AX14" s="248"/>
      <c r="AY14" s="248"/>
      <c r="AZ14" s="248"/>
      <c r="BA14" s="504"/>
    </row>
    <row r="15" customFormat="false" ht="14.1" hidden="false" customHeight="true" outlineLevel="0" collapsed="false">
      <c r="A15" s="1115" t="n">
        <v>170</v>
      </c>
      <c r="B15" s="1115" t="s">
        <v>158</v>
      </c>
      <c r="C15" s="1115" t="n">
        <v>170</v>
      </c>
      <c r="D15" s="1115" t="s">
        <v>158</v>
      </c>
      <c r="E15" s="1115" t="s">
        <v>743</v>
      </c>
      <c r="F15" s="1115" t="n">
        <v>43610</v>
      </c>
      <c r="G15" s="1115" t="n">
        <v>170</v>
      </c>
      <c r="H15" s="1115" t="s">
        <v>158</v>
      </c>
      <c r="I15" s="1115" t="n">
        <v>190</v>
      </c>
      <c r="J15" s="1115" t="s">
        <v>158</v>
      </c>
      <c r="L15" s="1115" t="n">
        <f aca="false">LOOKUP(M15,$E$6:$F$4002)</f>
        <v>21380</v>
      </c>
      <c r="M15" s="1115" t="s">
        <v>744</v>
      </c>
      <c r="N15" s="1127" t="n">
        <v>0.97</v>
      </c>
      <c r="O15" s="1115" t="n">
        <v>45007</v>
      </c>
      <c r="P15" s="1115" t="s">
        <v>162</v>
      </c>
      <c r="Q15" s="1115" t="n">
        <v>45007</v>
      </c>
      <c r="R15" s="1115" t="n">
        <v>4512</v>
      </c>
      <c r="S15" s="1115" t="n">
        <v>45007</v>
      </c>
      <c r="T15" s="1115" t="n">
        <v>737</v>
      </c>
      <c r="V15" s="1117" t="n">
        <v>1</v>
      </c>
      <c r="W15" s="1117" t="s">
        <v>745</v>
      </c>
      <c r="Y15" s="1115"/>
      <c r="Z15" s="1115"/>
      <c r="AA15" s="1124" t="s">
        <v>156</v>
      </c>
      <c r="AB15" s="1120" t="n">
        <v>599</v>
      </c>
      <c r="AC15" s="1120" t="n">
        <v>577</v>
      </c>
      <c r="AD15" s="1120" t="n">
        <v>559</v>
      </c>
      <c r="AE15" s="1120" t="n">
        <v>424</v>
      </c>
      <c r="AF15" s="1120" t="n">
        <v>216</v>
      </c>
      <c r="AG15" s="1120" t="n">
        <v>36</v>
      </c>
      <c r="AH15" s="1120" t="n">
        <v>7</v>
      </c>
      <c r="AI15" s="1120" t="n">
        <v>22</v>
      </c>
      <c r="AJ15" s="1120" t="n">
        <v>160</v>
      </c>
      <c r="AK15" s="1120" t="n">
        <v>320</v>
      </c>
      <c r="AL15" s="1120" t="n">
        <v>433</v>
      </c>
      <c r="AM15" s="1120" t="n">
        <v>543</v>
      </c>
      <c r="AN15" s="1120" t="n">
        <v>3896</v>
      </c>
      <c r="AO15" s="1124"/>
      <c r="AU15" s="1140" t="s">
        <v>746</v>
      </c>
      <c r="AV15" s="1140"/>
      <c r="AW15" s="1140"/>
      <c r="AX15" s="1140" t="s">
        <v>115</v>
      </c>
      <c r="AY15" s="1140" t="s">
        <v>747</v>
      </c>
      <c r="AZ15" s="1140" t="s">
        <v>748</v>
      </c>
      <c r="BA15" s="504"/>
    </row>
    <row r="16" customFormat="false" ht="14.1" hidden="false" customHeight="true" outlineLevel="0" collapsed="false">
      <c r="A16" s="1115" t="n">
        <v>180</v>
      </c>
      <c r="B16" s="1115" t="s">
        <v>158</v>
      </c>
      <c r="C16" s="1115" t="n">
        <v>180</v>
      </c>
      <c r="D16" s="1115" t="s">
        <v>158</v>
      </c>
      <c r="E16" s="1115" t="s">
        <v>749</v>
      </c>
      <c r="F16" s="1115" t="n">
        <v>92920</v>
      </c>
      <c r="G16" s="1115" t="n">
        <v>180</v>
      </c>
      <c r="H16" s="1115" t="s">
        <v>158</v>
      </c>
      <c r="I16" s="1115" t="n">
        <v>200</v>
      </c>
      <c r="J16" s="1115" t="s">
        <v>158</v>
      </c>
      <c r="L16" s="1115" t="n">
        <f aca="false">LOOKUP(M16,$E$6:$F$4002)</f>
        <v>22920</v>
      </c>
      <c r="M16" s="1115" t="s">
        <v>750</v>
      </c>
      <c r="N16" s="1127" t="n">
        <v>1</v>
      </c>
      <c r="O16" s="1115" t="n">
        <v>46530</v>
      </c>
      <c r="P16" s="1115" t="s">
        <v>163</v>
      </c>
      <c r="Q16" s="1115" t="n">
        <v>46530</v>
      </c>
      <c r="R16" s="1115" t="n">
        <v>4612</v>
      </c>
      <c r="S16" s="1115" t="n">
        <v>46530</v>
      </c>
      <c r="T16" s="1115" t="n">
        <v>771</v>
      </c>
      <c r="V16" s="1117" t="n">
        <v>2</v>
      </c>
      <c r="W16" s="1117" t="s">
        <v>739</v>
      </c>
      <c r="AA16" s="1124" t="s">
        <v>169</v>
      </c>
      <c r="AB16" s="1120" t="n">
        <v>829</v>
      </c>
      <c r="AC16" s="1120" t="n">
        <v>749</v>
      </c>
      <c r="AD16" s="1120" t="n">
        <v>674</v>
      </c>
      <c r="AE16" s="1120" t="n">
        <v>484</v>
      </c>
      <c r="AF16" s="1120" t="n">
        <v>263</v>
      </c>
      <c r="AG16" s="1120" t="n">
        <v>49</v>
      </c>
      <c r="AH16" s="1120" t="n">
        <v>11</v>
      </c>
      <c r="AI16" s="1120" t="n">
        <v>62</v>
      </c>
      <c r="AJ16" s="1120" t="n">
        <v>243</v>
      </c>
      <c r="AK16" s="1120" t="n">
        <v>442</v>
      </c>
      <c r="AL16" s="1120" t="n">
        <v>606</v>
      </c>
      <c r="AM16" s="1120" t="n">
        <v>758</v>
      </c>
      <c r="AN16" s="1120" t="n">
        <v>5170</v>
      </c>
      <c r="AO16" s="1124"/>
      <c r="AU16" s="13" t="str">
        <f aca="false">BERGHEAT!O38</f>
        <v>KOSTEA SAVI</v>
      </c>
      <c r="AV16" s="13"/>
      <c r="AW16" s="13"/>
      <c r="AX16" s="220" t="n">
        <f aca="false">BERGHEAT!Q38</f>
        <v>44.5033374485442</v>
      </c>
      <c r="AY16" s="1141" t="n">
        <f aca="false">BERGHEAT!R38</f>
        <v>427.554586947692</v>
      </c>
      <c r="AZ16" s="1142" t="n">
        <f aca="false">BERGHEAT!S38</f>
        <v>1.0450495049505</v>
      </c>
      <c r="BA16" s="504"/>
    </row>
    <row r="17" customFormat="false" ht="14.1" hidden="false" customHeight="true" outlineLevel="0" collapsed="false">
      <c r="A17" s="1115" t="n">
        <v>190</v>
      </c>
      <c r="B17" s="1115" t="s">
        <v>158</v>
      </c>
      <c r="C17" s="1115" t="n">
        <v>190</v>
      </c>
      <c r="D17" s="1115" t="s">
        <v>158</v>
      </c>
      <c r="E17" s="1115" t="s">
        <v>751</v>
      </c>
      <c r="F17" s="1115" t="n">
        <v>73890</v>
      </c>
      <c r="G17" s="1115" t="n">
        <v>190</v>
      </c>
      <c r="H17" s="1115" t="s">
        <v>158</v>
      </c>
      <c r="I17" s="1115" t="n">
        <v>210</v>
      </c>
      <c r="J17" s="1115" t="s">
        <v>158</v>
      </c>
      <c r="L17" s="1115" t="n">
        <f aca="false">LOOKUP(M17,$E$6:$F$4002)</f>
        <v>25870</v>
      </c>
      <c r="M17" s="1115" t="s">
        <v>752</v>
      </c>
      <c r="N17" s="1127" t="n">
        <v>0.98</v>
      </c>
      <c r="O17" s="1115" t="n">
        <v>46930</v>
      </c>
      <c r="P17" s="1115" t="s">
        <v>705</v>
      </c>
      <c r="Q17" s="1115" t="n">
        <v>46930</v>
      </c>
      <c r="R17" s="1115" t="n">
        <v>4229</v>
      </c>
      <c r="S17" s="1115" t="n">
        <v>46930</v>
      </c>
      <c r="T17" s="1115" t="n">
        <v>691</v>
      </c>
      <c r="AA17" s="1124" t="s">
        <v>159</v>
      </c>
      <c r="AB17" s="1120" t="n">
        <v>680</v>
      </c>
      <c r="AC17" s="1120" t="n">
        <v>639</v>
      </c>
      <c r="AD17" s="1120" t="n">
        <v>589</v>
      </c>
      <c r="AE17" s="1120" t="n">
        <v>413</v>
      </c>
      <c r="AF17" s="1120" t="n">
        <v>189</v>
      </c>
      <c r="AG17" s="1120" t="n">
        <v>25</v>
      </c>
      <c r="AH17" s="1120" t="n">
        <v>5</v>
      </c>
      <c r="AI17" s="1120" t="n">
        <v>29</v>
      </c>
      <c r="AJ17" s="1120" t="n">
        <v>195</v>
      </c>
      <c r="AK17" s="1120" t="n">
        <v>364</v>
      </c>
      <c r="AL17" s="1120" t="n">
        <v>500</v>
      </c>
      <c r="AM17" s="1120" t="n">
        <v>627</v>
      </c>
      <c r="AN17" s="1120" t="n">
        <v>4255</v>
      </c>
      <c r="AO17" s="1124"/>
      <c r="AU17" s="1143"/>
      <c r="AV17" s="1143"/>
      <c r="AW17" s="1143"/>
      <c r="AX17" s="1143"/>
      <c r="AY17" s="1143"/>
      <c r="AZ17" s="1143"/>
      <c r="BA17" s="504"/>
    </row>
    <row r="18" customFormat="false" ht="19.5" hidden="false" customHeight="true" outlineLevel="0" collapsed="false">
      <c r="A18" s="1115" t="n">
        <v>200</v>
      </c>
      <c r="B18" s="1115" t="s">
        <v>158</v>
      </c>
      <c r="C18" s="1115" t="n">
        <v>200</v>
      </c>
      <c r="D18" s="1115" t="s">
        <v>158</v>
      </c>
      <c r="E18" s="1115" t="s">
        <v>753</v>
      </c>
      <c r="F18" s="1115" t="n">
        <v>98770</v>
      </c>
      <c r="G18" s="1115" t="n">
        <v>200</v>
      </c>
      <c r="H18" s="1115" t="s">
        <v>158</v>
      </c>
      <c r="I18" s="1115" t="n">
        <v>220</v>
      </c>
      <c r="J18" s="1115" t="s">
        <v>158</v>
      </c>
      <c r="L18" s="1115" t="n">
        <f aca="false">LOOKUP(M18,$E$6:$F$4002)</f>
        <v>22270</v>
      </c>
      <c r="M18" s="1115" t="s">
        <v>754</v>
      </c>
      <c r="N18" s="1127" t="n">
        <v>1.03</v>
      </c>
      <c r="O18" s="1115" t="n">
        <v>50007</v>
      </c>
      <c r="P18" s="1115" t="s">
        <v>163</v>
      </c>
      <c r="Q18" s="1115" t="n">
        <v>50007</v>
      </c>
      <c r="R18" s="1115" t="n">
        <v>4612</v>
      </c>
      <c r="S18" s="1115" t="n">
        <v>50007</v>
      </c>
      <c r="T18" s="1115" t="n">
        <v>771</v>
      </c>
      <c r="AA18" s="1124" t="s">
        <v>170</v>
      </c>
      <c r="AB18" s="1120" t="n">
        <v>964</v>
      </c>
      <c r="AC18" s="1120" t="n">
        <v>840</v>
      </c>
      <c r="AD18" s="1120" t="n">
        <v>759</v>
      </c>
      <c r="AE18" s="1120" t="n">
        <v>570</v>
      </c>
      <c r="AF18" s="1120" t="n">
        <v>358</v>
      </c>
      <c r="AG18" s="1120" t="n">
        <v>113</v>
      </c>
      <c r="AH18" s="1120" t="n">
        <v>55</v>
      </c>
      <c r="AI18" s="1120" t="n">
        <v>150</v>
      </c>
      <c r="AJ18" s="1120" t="n">
        <v>330</v>
      </c>
      <c r="AK18" s="1120" t="n">
        <v>545</v>
      </c>
      <c r="AL18" s="1120" t="n">
        <v>742</v>
      </c>
      <c r="AM18" s="1120" t="n">
        <v>911</v>
      </c>
      <c r="AN18" s="1120" t="n">
        <v>6337</v>
      </c>
      <c r="AO18" s="1124"/>
      <c r="AU18" s="1144" t="str">
        <f aca="false">"ENERGIAKAIVO, "&amp;BERGHEAT!G17&amp;",  kaivosta tarvitaan "&amp;ROUND(AZ10)&amp;" kWh, valittu pumpputeho  "&amp;BERGHEAT!G59&amp;" kW"</f>
        <v>ENERGIAKAIVO, Jyväskylä,  kaivosta tarvitaan 19028 kWh, valittu pumpputeho  9 kW</v>
      </c>
      <c r="AV18" s="1144"/>
      <c r="AW18" s="1144"/>
      <c r="AX18" s="1144"/>
      <c r="AY18" s="1144"/>
      <c r="AZ18" s="1144"/>
      <c r="BA18" s="1144"/>
    </row>
    <row r="19" customFormat="false" ht="14.65" hidden="false" customHeight="true" outlineLevel="0" collapsed="false">
      <c r="A19" s="1115" t="n">
        <v>210</v>
      </c>
      <c r="B19" s="1115" t="s">
        <v>158</v>
      </c>
      <c r="C19" s="1115" t="n">
        <v>210</v>
      </c>
      <c r="D19" s="1115" t="s">
        <v>158</v>
      </c>
      <c r="E19" s="1115" t="s">
        <v>755</v>
      </c>
      <c r="F19" s="1115" t="n">
        <v>54490</v>
      </c>
      <c r="G19" s="1115" t="n">
        <v>210</v>
      </c>
      <c r="H19" s="1115" t="s">
        <v>158</v>
      </c>
      <c r="I19" s="1115" t="n">
        <v>230</v>
      </c>
      <c r="J19" s="1115" t="s">
        <v>158</v>
      </c>
      <c r="L19" s="1115" t="n">
        <f aca="false">LOOKUP(M19,$E$6:$F$4002)</f>
        <v>47200</v>
      </c>
      <c r="M19" s="1115" t="s">
        <v>756</v>
      </c>
      <c r="N19" s="1127" t="n">
        <v>1.01</v>
      </c>
      <c r="O19" s="1115" t="n">
        <v>60060</v>
      </c>
      <c r="P19" s="1115" t="s">
        <v>757</v>
      </c>
      <c r="Q19" s="1115" t="n">
        <v>60060</v>
      </c>
      <c r="R19" s="1115" t="n">
        <v>4588</v>
      </c>
      <c r="S19" s="1115" t="n">
        <v>60060</v>
      </c>
      <c r="T19" s="1115" t="n">
        <v>732</v>
      </c>
      <c r="AA19" s="1124" t="s">
        <v>161</v>
      </c>
      <c r="AB19" s="1120" t="n">
        <v>734</v>
      </c>
      <c r="AC19" s="1120" t="n">
        <v>681</v>
      </c>
      <c r="AD19" s="1120" t="n">
        <v>614</v>
      </c>
      <c r="AE19" s="1120" t="n">
        <v>411</v>
      </c>
      <c r="AF19" s="1120" t="n">
        <v>186</v>
      </c>
      <c r="AG19" s="1120" t="n">
        <v>29</v>
      </c>
      <c r="AH19" s="1120" t="n">
        <v>6</v>
      </c>
      <c r="AI19" s="1120" t="n">
        <v>39</v>
      </c>
      <c r="AJ19" s="1120" t="n">
        <v>211</v>
      </c>
      <c r="AK19" s="1120" t="n">
        <v>382</v>
      </c>
      <c r="AL19" s="1120" t="n">
        <v>537</v>
      </c>
      <c r="AM19" s="1120" t="n">
        <v>672</v>
      </c>
      <c r="AN19" s="1120" t="n">
        <v>4502</v>
      </c>
      <c r="AO19" s="1124"/>
      <c r="AU19" s="248" t="s">
        <v>758</v>
      </c>
      <c r="AV19" s="248"/>
      <c r="AW19" s="248"/>
      <c r="AX19" s="248"/>
      <c r="AY19" s="248"/>
      <c r="AZ19" s="248"/>
      <c r="BA19" s="248"/>
    </row>
    <row r="20" customFormat="false" ht="14.65" hidden="false" customHeight="true" outlineLevel="0" collapsed="false">
      <c r="A20" s="1115" t="n">
        <v>220</v>
      </c>
      <c r="B20" s="1115" t="s">
        <v>158</v>
      </c>
      <c r="C20" s="1115" t="n">
        <v>220</v>
      </c>
      <c r="D20" s="1115" t="s">
        <v>158</v>
      </c>
      <c r="E20" s="1115" t="s">
        <v>759</v>
      </c>
      <c r="F20" s="1115" t="n">
        <v>83480</v>
      </c>
      <c r="G20" s="1115" t="n">
        <v>220</v>
      </c>
      <c r="H20" s="1115" t="s">
        <v>158</v>
      </c>
      <c r="I20" s="1115" t="n">
        <v>240</v>
      </c>
      <c r="J20" s="1115" t="s">
        <v>158</v>
      </c>
      <c r="L20" s="1115" t="n">
        <f aca="false">LOOKUP(M20,$E$6:$F$4002)</f>
        <v>81200</v>
      </c>
      <c r="M20" s="1115" t="s">
        <v>760</v>
      </c>
      <c r="N20" s="1127" t="n">
        <v>0.99</v>
      </c>
      <c r="O20" s="1115" t="n">
        <v>67100</v>
      </c>
      <c r="P20" s="1115" t="s">
        <v>761</v>
      </c>
      <c r="Q20" s="1115" t="n">
        <v>67100</v>
      </c>
      <c r="R20" s="1115" t="n">
        <v>4933</v>
      </c>
      <c r="S20" s="1115" t="n">
        <v>67100</v>
      </c>
      <c r="T20" s="1115" t="n">
        <v>787</v>
      </c>
      <c r="AA20" s="1124" t="s">
        <v>160</v>
      </c>
      <c r="AB20" s="1120" t="n">
        <v>667</v>
      </c>
      <c r="AC20" s="1120" t="n">
        <v>629</v>
      </c>
      <c r="AD20" s="1120" t="n">
        <v>582</v>
      </c>
      <c r="AE20" s="1120" t="n">
        <v>399</v>
      </c>
      <c r="AF20" s="1120" t="n">
        <v>170</v>
      </c>
      <c r="AG20" s="1120" t="n">
        <v>19</v>
      </c>
      <c r="AH20" s="1120" t="n">
        <v>4</v>
      </c>
      <c r="AI20" s="1120" t="n">
        <v>23</v>
      </c>
      <c r="AJ20" s="1120" t="n">
        <v>170</v>
      </c>
      <c r="AK20" s="1120" t="n">
        <v>352</v>
      </c>
      <c r="AL20" s="1120" t="n">
        <v>488</v>
      </c>
      <c r="AM20" s="1120" t="n">
        <v>612</v>
      </c>
      <c r="AN20" s="1120" t="n">
        <v>4115</v>
      </c>
      <c r="AO20" s="1124"/>
      <c r="AU20" s="1145" t="s">
        <v>762</v>
      </c>
      <c r="AV20" s="1145"/>
      <c r="AW20" s="1145"/>
      <c r="AX20" s="1145"/>
      <c r="AY20" s="1145"/>
      <c r="AZ20" s="1146" t="n">
        <f aca="false">BERGHEAT!E110/1000</f>
        <v>0.1</v>
      </c>
      <c r="BA20" s="1147" t="str">
        <f aca="false">IF(BA42&lt;50,"","Valittu  pumpputeho "&amp;BERGHEAT!G59&amp;" kW,  on liian iso tälle kaivolle!")</f>
        <v/>
      </c>
    </row>
    <row r="21" customFormat="false" ht="14.1" hidden="false" customHeight="true" outlineLevel="0" collapsed="false">
      <c r="A21" s="1115" t="n">
        <v>230</v>
      </c>
      <c r="B21" s="1115" t="s">
        <v>158</v>
      </c>
      <c r="C21" s="1115" t="n">
        <v>230</v>
      </c>
      <c r="D21" s="1115" t="s">
        <v>158</v>
      </c>
      <c r="E21" s="1115" t="s">
        <v>763</v>
      </c>
      <c r="F21" s="1115" t="n">
        <v>52980</v>
      </c>
      <c r="G21" s="1115" t="n">
        <v>230</v>
      </c>
      <c r="H21" s="1115" t="s">
        <v>158</v>
      </c>
      <c r="I21" s="1115" t="n">
        <v>250</v>
      </c>
      <c r="J21" s="1115" t="s">
        <v>158</v>
      </c>
      <c r="L21" s="1115" t="n">
        <f aca="false">LOOKUP(M21,$E$6:$F$4002)</f>
        <v>58175</v>
      </c>
      <c r="M21" s="1115" t="s">
        <v>764</v>
      </c>
      <c r="N21" s="1127" t="n">
        <v>1.05</v>
      </c>
      <c r="O21" s="1115" t="n">
        <v>70100</v>
      </c>
      <c r="P21" s="1115" t="s">
        <v>166</v>
      </c>
      <c r="Q21" s="1115" t="n">
        <v>70100</v>
      </c>
      <c r="R21" s="1115" t="n">
        <v>4943</v>
      </c>
      <c r="S21" s="1115" t="n">
        <v>70100</v>
      </c>
      <c r="T21" s="1115" t="n">
        <v>820</v>
      </c>
      <c r="AA21" s="1124" t="s">
        <v>165</v>
      </c>
      <c r="AB21" s="1120" t="n">
        <v>732</v>
      </c>
      <c r="AC21" s="1120" t="n">
        <v>667</v>
      </c>
      <c r="AD21" s="1120" t="n">
        <v>620</v>
      </c>
      <c r="AE21" s="1120" t="n">
        <v>445</v>
      </c>
      <c r="AF21" s="1120" t="n">
        <v>215</v>
      </c>
      <c r="AG21" s="1120" t="n">
        <v>33</v>
      </c>
      <c r="AH21" s="1120" t="n">
        <v>9</v>
      </c>
      <c r="AI21" s="1120" t="n">
        <v>47</v>
      </c>
      <c r="AJ21" s="1120" t="n">
        <v>221</v>
      </c>
      <c r="AK21" s="1120" t="n">
        <v>397</v>
      </c>
      <c r="AL21" s="1120" t="n">
        <v>535</v>
      </c>
      <c r="AM21" s="1120" t="n">
        <v>667</v>
      </c>
      <c r="AN21" s="1120" t="n">
        <v>4588</v>
      </c>
      <c r="AO21" s="1124"/>
      <c r="AU21" s="1145" t="s">
        <v>765</v>
      </c>
      <c r="AV21" s="1145"/>
      <c r="AW21" s="1145"/>
      <c r="AX21" s="1145"/>
      <c r="AY21" s="1145"/>
      <c r="AZ21" s="1148" t="n">
        <f aca="false">BERGHEAT!E109/1000</f>
        <v>0.01</v>
      </c>
      <c r="BA21" s="1147"/>
    </row>
    <row r="22" customFormat="false" ht="14.1" hidden="false" customHeight="true" outlineLevel="0" collapsed="false">
      <c r="A22" s="1115" t="n">
        <v>240</v>
      </c>
      <c r="B22" s="1115" t="s">
        <v>158</v>
      </c>
      <c r="C22" s="1115" t="n">
        <v>240</v>
      </c>
      <c r="D22" s="1115" t="s">
        <v>158</v>
      </c>
      <c r="E22" s="1115" t="s">
        <v>766</v>
      </c>
      <c r="F22" s="1115" t="n">
        <v>81260</v>
      </c>
      <c r="G22" s="1115" t="n">
        <v>240</v>
      </c>
      <c r="H22" s="1115" t="s">
        <v>158</v>
      </c>
      <c r="I22" s="1115" t="n">
        <v>260</v>
      </c>
      <c r="J22" s="1115" t="s">
        <v>158</v>
      </c>
      <c r="L22" s="1115" t="n">
        <f aca="false">LOOKUP(M22,$E$6:$F$4002)</f>
        <v>99400</v>
      </c>
      <c r="M22" s="1115" t="s">
        <v>767</v>
      </c>
      <c r="N22" s="1127" t="n">
        <v>0.92</v>
      </c>
      <c r="O22" s="1115" t="n">
        <v>80007</v>
      </c>
      <c r="P22" s="1115" t="s">
        <v>167</v>
      </c>
      <c r="Q22" s="1115" t="n">
        <v>80007</v>
      </c>
      <c r="R22" s="1115" t="n">
        <v>5117</v>
      </c>
      <c r="S22" s="1115" t="n">
        <v>80007</v>
      </c>
      <c r="T22" s="1115" t="n">
        <v>837</v>
      </c>
      <c r="U22" s="1117" t="s">
        <v>68</v>
      </c>
      <c r="AA22" s="1124" t="s">
        <v>157</v>
      </c>
      <c r="AB22" s="1120" t="n">
        <v>691</v>
      </c>
      <c r="AC22" s="1120" t="n">
        <v>647</v>
      </c>
      <c r="AD22" s="1120" t="n">
        <v>593</v>
      </c>
      <c r="AE22" s="1120" t="n">
        <v>402</v>
      </c>
      <c r="AF22" s="1120" t="n">
        <v>165</v>
      </c>
      <c r="AG22" s="1120" t="n">
        <v>18</v>
      </c>
      <c r="AH22" s="1120" t="n">
        <v>4</v>
      </c>
      <c r="AI22" s="1120" t="n">
        <v>27</v>
      </c>
      <c r="AJ22" s="1120" t="n">
        <v>185</v>
      </c>
      <c r="AK22" s="1120" t="n">
        <v>364</v>
      </c>
      <c r="AL22" s="1120" t="n">
        <v>502</v>
      </c>
      <c r="AM22" s="1120" t="n">
        <v>631</v>
      </c>
      <c r="AN22" s="1120" t="n">
        <v>4229</v>
      </c>
      <c r="AO22" s="1124"/>
      <c r="AU22" s="1149" t="s">
        <v>768</v>
      </c>
      <c r="AV22" s="1149"/>
      <c r="AW22" s="1149"/>
      <c r="AX22" s="1140" t="s">
        <v>769</v>
      </c>
      <c r="AY22" s="1140" t="s">
        <v>770</v>
      </c>
      <c r="AZ22" s="1150"/>
      <c r="BA22" s="1147"/>
    </row>
    <row r="23" customFormat="false" ht="14.1" hidden="false" customHeight="true" outlineLevel="0" collapsed="false">
      <c r="A23" s="1115" t="n">
        <v>250</v>
      </c>
      <c r="B23" s="1115" t="s">
        <v>158</v>
      </c>
      <c r="C23" s="1115" t="n">
        <v>250</v>
      </c>
      <c r="D23" s="1115" t="s">
        <v>158</v>
      </c>
      <c r="E23" s="1115" t="s">
        <v>771</v>
      </c>
      <c r="F23" s="1115" t="n">
        <v>7960</v>
      </c>
      <c r="G23" s="1115" t="n">
        <v>250</v>
      </c>
      <c r="H23" s="1115" t="s">
        <v>158</v>
      </c>
      <c r="I23" s="1115" t="n">
        <v>270</v>
      </c>
      <c r="J23" s="1115" t="s">
        <v>158</v>
      </c>
      <c r="L23" s="1115" t="n">
        <f aca="false">LOOKUP(M23,$E$6:$F$4002)</f>
        <v>2980</v>
      </c>
      <c r="M23" s="1115" t="s">
        <v>772</v>
      </c>
      <c r="N23" s="1127" t="n">
        <v>0.95</v>
      </c>
      <c r="O23" s="1115" t="n">
        <v>84100</v>
      </c>
      <c r="P23" s="1115" t="s">
        <v>168</v>
      </c>
      <c r="Q23" s="1115" t="n">
        <v>84100</v>
      </c>
      <c r="R23" s="1115" t="n">
        <v>5420</v>
      </c>
      <c r="S23" s="1115" t="n">
        <v>84100</v>
      </c>
      <c r="T23" s="1115" t="n">
        <v>867</v>
      </c>
      <c r="AU23" s="102" t="s">
        <v>773</v>
      </c>
      <c r="AV23" s="102"/>
      <c r="AW23" s="102"/>
      <c r="AX23" s="1151" t="n">
        <f aca="false">BERGHEAT!E104</f>
        <v>10</v>
      </c>
      <c r="AY23" s="1152" t="n">
        <f aca="false">BERGHEAT!E105</f>
        <v>1.5</v>
      </c>
      <c r="AZ23" s="1153" t="s">
        <v>774</v>
      </c>
      <c r="BA23" s="1147"/>
    </row>
    <row r="24" customFormat="false" ht="14.1" hidden="false" customHeight="true" outlineLevel="0" collapsed="false">
      <c r="A24" s="1115" t="n">
        <v>260</v>
      </c>
      <c r="B24" s="1115" t="s">
        <v>158</v>
      </c>
      <c r="C24" s="1115" t="n">
        <v>260</v>
      </c>
      <c r="D24" s="1115" t="s">
        <v>158</v>
      </c>
      <c r="E24" s="1115" t="s">
        <v>775</v>
      </c>
      <c r="F24" s="1115" t="n">
        <v>58140</v>
      </c>
      <c r="G24" s="1115" t="n">
        <v>260</v>
      </c>
      <c r="H24" s="1115" t="s">
        <v>158</v>
      </c>
      <c r="I24" s="1115" t="n">
        <v>280</v>
      </c>
      <c r="J24" s="1115" t="s">
        <v>158</v>
      </c>
      <c r="L24" s="1115" t="n">
        <f aca="false">LOOKUP(M24,$E$6:$F$4002)</f>
        <v>27510</v>
      </c>
      <c r="M24" s="1115" t="s">
        <v>776</v>
      </c>
      <c r="N24" s="1127" t="n">
        <v>0.98</v>
      </c>
      <c r="O24" s="1115" t="n">
        <v>90007</v>
      </c>
      <c r="P24" s="1115" t="s">
        <v>169</v>
      </c>
      <c r="Q24" s="1115" t="n">
        <v>90007</v>
      </c>
      <c r="R24" s="1115" t="n">
        <v>5170</v>
      </c>
      <c r="S24" s="1115" t="n">
        <v>90007</v>
      </c>
      <c r="T24" s="1115" t="n">
        <v>829</v>
      </c>
      <c r="AA24" s="1124"/>
      <c r="AU24" s="102" t="s">
        <v>777</v>
      </c>
      <c r="AV24" s="102"/>
      <c r="AW24" s="102"/>
      <c r="AX24" s="1154" t="n">
        <f aca="false">BERGHEAT!E108</f>
        <v>5.22946860165469</v>
      </c>
      <c r="AY24" s="1152" t="n">
        <f aca="false">BERGHEAT!E106</f>
        <v>3</v>
      </c>
      <c r="AZ24" s="574" t="s">
        <v>778</v>
      </c>
      <c r="BA24" s="1147"/>
    </row>
    <row r="25" customFormat="false" ht="14.1" hidden="false" customHeight="true" outlineLevel="0" collapsed="false">
      <c r="A25" s="1115" t="n">
        <v>270</v>
      </c>
      <c r="B25" s="1115" t="s">
        <v>158</v>
      </c>
      <c r="C25" s="1115" t="n">
        <v>270</v>
      </c>
      <c r="D25" s="1115" t="s">
        <v>158</v>
      </c>
      <c r="E25" s="1115" t="s">
        <v>779</v>
      </c>
      <c r="F25" s="1115" t="n">
        <v>98630</v>
      </c>
      <c r="G25" s="1115" t="n">
        <v>270</v>
      </c>
      <c r="H25" s="1115" t="s">
        <v>158</v>
      </c>
      <c r="I25" s="1115" t="n">
        <v>290</v>
      </c>
      <c r="J25" s="1115" t="s">
        <v>158</v>
      </c>
      <c r="L25" s="1115" t="n">
        <f aca="false">LOOKUP(M25,$E$6:$F$4002)</f>
        <v>27130</v>
      </c>
      <c r="M25" s="1115" t="s">
        <v>780</v>
      </c>
      <c r="N25" s="1127" t="n">
        <v>1</v>
      </c>
      <c r="O25" s="1115" t="n">
        <v>94007</v>
      </c>
      <c r="P25" s="1115" t="s">
        <v>781</v>
      </c>
      <c r="Q25" s="1115" t="n">
        <v>94007</v>
      </c>
      <c r="R25" s="1115" t="n">
        <v>5442</v>
      </c>
      <c r="S25" s="1115" t="n">
        <v>94007</v>
      </c>
      <c r="T25" s="1115" t="n">
        <v>857</v>
      </c>
      <c r="AA25" s="1120" t="s">
        <v>158</v>
      </c>
      <c r="AB25" s="1120" t="s">
        <v>171</v>
      </c>
      <c r="AC25" s="1120" t="s">
        <v>167</v>
      </c>
      <c r="AD25" s="1120" t="s">
        <v>164</v>
      </c>
      <c r="AE25" s="1120" t="s">
        <v>168</v>
      </c>
      <c r="AF25" s="1120" t="s">
        <v>166</v>
      </c>
      <c r="AG25" s="1120" t="s">
        <v>162</v>
      </c>
      <c r="AH25" s="1120" t="s">
        <v>163</v>
      </c>
      <c r="AI25" s="1120" t="s">
        <v>156</v>
      </c>
      <c r="AJ25" s="1120" t="s">
        <v>169</v>
      </c>
      <c r="AK25" s="1120" t="s">
        <v>159</v>
      </c>
      <c r="AL25" s="1120" t="s">
        <v>170</v>
      </c>
      <c r="AM25" s="1120" t="s">
        <v>161</v>
      </c>
      <c r="AN25" s="1120" t="s">
        <v>160</v>
      </c>
      <c r="AO25" s="1120" t="s">
        <v>165</v>
      </c>
      <c r="AP25" s="1120" t="s">
        <v>157</v>
      </c>
      <c r="AQ25" s="1124"/>
      <c r="AU25" s="366" t="s">
        <v>782</v>
      </c>
      <c r="AV25" s="366"/>
      <c r="AW25" s="366"/>
      <c r="AX25" s="1155" t="s">
        <v>783</v>
      </c>
      <c r="AY25" s="1156" t="s">
        <v>784</v>
      </c>
      <c r="AZ25" s="1157" t="s">
        <v>784</v>
      </c>
      <c r="BA25" s="1147"/>
    </row>
    <row r="26" customFormat="false" ht="14.1" hidden="false" customHeight="true" outlineLevel="0" collapsed="false">
      <c r="A26" s="1115" t="n">
        <v>280</v>
      </c>
      <c r="B26" s="1115" t="s">
        <v>158</v>
      </c>
      <c r="C26" s="1115" t="n">
        <v>280</v>
      </c>
      <c r="D26" s="1115" t="s">
        <v>158</v>
      </c>
      <c r="E26" s="1115" t="s">
        <v>785</v>
      </c>
      <c r="F26" s="1115" t="n">
        <v>46950</v>
      </c>
      <c r="G26" s="1115" t="n">
        <v>280</v>
      </c>
      <c r="H26" s="1115" t="s">
        <v>158</v>
      </c>
      <c r="I26" s="1115" t="n">
        <v>300</v>
      </c>
      <c r="J26" s="1115" t="s">
        <v>158</v>
      </c>
      <c r="L26" s="1115" t="n">
        <f aca="false">LOOKUP(M26,$E$6:$F$4002)</f>
        <v>62500</v>
      </c>
      <c r="M26" s="1115" t="s">
        <v>786</v>
      </c>
      <c r="N26" s="1127" t="n">
        <v>1</v>
      </c>
      <c r="O26" s="1115" t="n">
        <v>96007</v>
      </c>
      <c r="P26" s="1115" t="s">
        <v>787</v>
      </c>
      <c r="Q26" s="1115" t="n">
        <v>96007</v>
      </c>
      <c r="R26" s="1115" t="n">
        <v>5813</v>
      </c>
      <c r="S26" s="1115" t="n">
        <v>96007</v>
      </c>
      <c r="T26" s="1115" t="n">
        <v>884</v>
      </c>
      <c r="AA26" s="1120" t="n">
        <v>657</v>
      </c>
      <c r="AB26" s="1120" t="n">
        <v>947</v>
      </c>
      <c r="AC26" s="1120" t="n">
        <v>837</v>
      </c>
      <c r="AD26" s="1120" t="n">
        <v>789</v>
      </c>
      <c r="AE26" s="1120" t="n">
        <v>867</v>
      </c>
      <c r="AF26" s="1120" t="n">
        <v>820</v>
      </c>
      <c r="AG26" s="1120" t="n">
        <v>737</v>
      </c>
      <c r="AH26" s="1120" t="n">
        <v>771</v>
      </c>
      <c r="AI26" s="1120" t="n">
        <v>599</v>
      </c>
      <c r="AJ26" s="1120" t="n">
        <v>829</v>
      </c>
      <c r="AK26" s="1120" t="n">
        <v>680</v>
      </c>
      <c r="AL26" s="1120" t="n">
        <v>964</v>
      </c>
      <c r="AM26" s="1120" t="n">
        <v>734</v>
      </c>
      <c r="AN26" s="1120" t="n">
        <v>667</v>
      </c>
      <c r="AO26" s="1120" t="n">
        <v>732</v>
      </c>
      <c r="AP26" s="1120" t="n">
        <v>691</v>
      </c>
      <c r="AQ26" s="1124"/>
      <c r="AU26" s="366"/>
      <c r="AV26" s="366"/>
      <c r="AW26" s="366"/>
      <c r="AX26" s="1155"/>
      <c r="AY26" s="1158" t="s">
        <v>788</v>
      </c>
      <c r="AZ26" s="1159" t="s">
        <v>789</v>
      </c>
      <c r="BA26" s="1147"/>
    </row>
    <row r="27" customFormat="false" ht="14.1" hidden="false" customHeight="true" outlineLevel="0" collapsed="false">
      <c r="A27" s="1115" t="n">
        <v>290</v>
      </c>
      <c r="B27" s="1115" t="s">
        <v>158</v>
      </c>
      <c r="C27" s="1115" t="n">
        <v>290</v>
      </c>
      <c r="D27" s="1115" t="s">
        <v>158</v>
      </c>
      <c r="E27" s="1115" t="s">
        <v>790</v>
      </c>
      <c r="F27" s="1115" t="n">
        <v>25550</v>
      </c>
      <c r="G27" s="1115" t="n">
        <v>290</v>
      </c>
      <c r="H27" s="1115" t="s">
        <v>158</v>
      </c>
      <c r="I27" s="1115" t="n">
        <v>310</v>
      </c>
      <c r="J27" s="1115" t="s">
        <v>158</v>
      </c>
      <c r="L27" s="1115" t="n">
        <f aca="false">LOOKUP(M27,$E$6:$F$4002)</f>
        <v>95210</v>
      </c>
      <c r="M27" s="1115" t="s">
        <v>791</v>
      </c>
      <c r="N27" s="1127" t="n">
        <v>1</v>
      </c>
      <c r="O27" s="1115" t="n">
        <v>99607</v>
      </c>
      <c r="P27" s="1115" t="s">
        <v>792</v>
      </c>
      <c r="Q27" s="1115" t="n">
        <v>99607</v>
      </c>
      <c r="R27" s="1115" t="n">
        <v>6337</v>
      </c>
      <c r="S27" s="1115" t="n">
        <v>99607</v>
      </c>
      <c r="T27" s="1115" t="n">
        <v>964</v>
      </c>
      <c r="AA27" s="1120" t="n">
        <v>619</v>
      </c>
      <c r="AB27" s="1120" t="n">
        <v>823</v>
      </c>
      <c r="AC27" s="1120" t="n">
        <v>762</v>
      </c>
      <c r="AD27" s="1120" t="n">
        <v>727</v>
      </c>
      <c r="AE27" s="1120" t="n">
        <v>783</v>
      </c>
      <c r="AF27" s="1120" t="n">
        <v>748</v>
      </c>
      <c r="AG27" s="1120" t="n">
        <v>686</v>
      </c>
      <c r="AH27" s="1120" t="n">
        <v>702</v>
      </c>
      <c r="AI27" s="1120" t="n">
        <v>577</v>
      </c>
      <c r="AJ27" s="1120" t="n">
        <v>749</v>
      </c>
      <c r="AK27" s="1120" t="n">
        <v>639</v>
      </c>
      <c r="AL27" s="1120" t="n">
        <v>840</v>
      </c>
      <c r="AM27" s="1120" t="n">
        <v>681</v>
      </c>
      <c r="AN27" s="1120" t="n">
        <v>629</v>
      </c>
      <c r="AO27" s="1120" t="n">
        <v>667</v>
      </c>
      <c r="AP27" s="1120" t="n">
        <v>647</v>
      </c>
      <c r="AQ27" s="1124"/>
      <c r="AU27" s="62" t="s">
        <v>352</v>
      </c>
      <c r="AV27" s="62"/>
      <c r="AW27" s="62"/>
      <c r="AX27" s="1160" t="str">
        <f aca="false">0&amp;" - "&amp;INT(BERGHEAT!E115)&amp;" m"</f>
        <v>0 - 10 m</v>
      </c>
      <c r="AY27" s="1161" t="n">
        <f aca="false">BERGHEAT!G115</f>
        <v>38.6875069425408</v>
      </c>
      <c r="AZ27" s="1162" t="n">
        <f aca="false">BERGHEAT!F115</f>
        <v>386.875069425408</v>
      </c>
      <c r="BA27" s="1147"/>
    </row>
    <row r="28" customFormat="false" ht="14.1" hidden="false" customHeight="true" outlineLevel="0" collapsed="false">
      <c r="A28" s="1115" t="n">
        <v>300</v>
      </c>
      <c r="B28" s="1115" t="s">
        <v>158</v>
      </c>
      <c r="C28" s="1115" t="n">
        <v>300</v>
      </c>
      <c r="D28" s="1115" t="s">
        <v>158</v>
      </c>
      <c r="E28" s="1115" t="s">
        <v>793</v>
      </c>
      <c r="F28" s="1115" t="n">
        <v>93820</v>
      </c>
      <c r="G28" s="1115" t="n">
        <v>300</v>
      </c>
      <c r="H28" s="1115" t="s">
        <v>158</v>
      </c>
      <c r="I28" s="1115" t="n">
        <v>320</v>
      </c>
      <c r="J28" s="1115" t="s">
        <v>158</v>
      </c>
      <c r="L28" s="1115" t="n">
        <f aca="false">LOOKUP(M28,$E$6:$F$4002)</f>
        <v>30740</v>
      </c>
      <c r="M28" s="1115" t="s">
        <v>794</v>
      </c>
      <c r="N28" s="1127" t="n">
        <v>1.01</v>
      </c>
      <c r="O28" s="1115" t="n">
        <v>99800</v>
      </c>
      <c r="P28" s="1115" t="s">
        <v>171</v>
      </c>
      <c r="Q28" s="1115" t="n">
        <v>99800</v>
      </c>
      <c r="R28" s="1115" t="n">
        <v>6381</v>
      </c>
      <c r="S28" s="1115" t="n">
        <v>99800</v>
      </c>
      <c r="T28" s="1115" t="n">
        <v>947</v>
      </c>
      <c r="AA28" s="1120" t="n">
        <v>574</v>
      </c>
      <c r="AB28" s="1120" t="n">
        <v>752</v>
      </c>
      <c r="AC28" s="1120" t="n">
        <v>670</v>
      </c>
      <c r="AD28" s="1120" t="n">
        <v>650</v>
      </c>
      <c r="AE28" s="1120" t="n">
        <v>695</v>
      </c>
      <c r="AF28" s="1120" t="n">
        <v>657</v>
      </c>
      <c r="AG28" s="1120" t="n">
        <v>615</v>
      </c>
      <c r="AH28" s="1120" t="n">
        <v>624</v>
      </c>
      <c r="AI28" s="1120" t="n">
        <v>559</v>
      </c>
      <c r="AJ28" s="1120" t="n">
        <v>674</v>
      </c>
      <c r="AK28" s="1120" t="n">
        <v>589</v>
      </c>
      <c r="AL28" s="1120" t="n">
        <v>759</v>
      </c>
      <c r="AM28" s="1120" t="n">
        <v>614</v>
      </c>
      <c r="AN28" s="1120" t="n">
        <v>582</v>
      </c>
      <c r="AO28" s="1120" t="n">
        <v>620</v>
      </c>
      <c r="AP28" s="1120" t="n">
        <v>593</v>
      </c>
      <c r="AQ28" s="1124"/>
      <c r="AU28" s="62" t="s">
        <v>355</v>
      </c>
      <c r="AV28" s="62"/>
      <c r="AW28" s="62"/>
      <c r="AX28" s="1160" t="str">
        <f aca="false">INT(BERGHEAT!D116)&amp;" - "&amp;INT(BERGHEAT!E133)&amp;" m"</f>
        <v>10 - 20 m</v>
      </c>
      <c r="AY28" s="1161" t="n">
        <f aca="false">BERGHEAT!G116</f>
        <v>80.2410546535262</v>
      </c>
      <c r="AZ28" s="1162" t="n">
        <f aca="false">BERGHEAT!F116</f>
        <v>802.410546535262</v>
      </c>
      <c r="BA28" s="1147"/>
    </row>
    <row r="29" customFormat="false" ht="14.1" hidden="false" customHeight="true" outlineLevel="0" collapsed="false">
      <c r="A29" s="1115" t="n">
        <v>310</v>
      </c>
      <c r="B29" s="1115" t="s">
        <v>158</v>
      </c>
      <c r="C29" s="1115" t="n">
        <v>310</v>
      </c>
      <c r="D29" s="1115" t="s">
        <v>158</v>
      </c>
      <c r="E29" s="1115" t="s">
        <v>795</v>
      </c>
      <c r="F29" s="1115" t="n">
        <v>86630</v>
      </c>
      <c r="G29" s="1115" t="n">
        <v>310</v>
      </c>
      <c r="H29" s="1115" t="s">
        <v>158</v>
      </c>
      <c r="I29" s="1115" t="n">
        <v>330</v>
      </c>
      <c r="J29" s="1115" t="s">
        <v>158</v>
      </c>
      <c r="L29" s="1115" t="n">
        <f aca="false">LOOKUP(M29,$E$6:$F$4002)</f>
        <v>22710</v>
      </c>
      <c r="M29" s="1115" t="s">
        <v>796</v>
      </c>
      <c r="N29" s="1127" t="n">
        <v>1.02</v>
      </c>
      <c r="O29" s="1115" t="n">
        <v>99999</v>
      </c>
      <c r="P29" s="1115" t="s">
        <v>797</v>
      </c>
      <c r="Q29" s="1115" t="n">
        <v>99999</v>
      </c>
      <c r="R29" s="1115" t="n">
        <v>4945</v>
      </c>
      <c r="S29" s="1115" t="n">
        <v>99999</v>
      </c>
      <c r="T29" s="1115" t="n">
        <v>789</v>
      </c>
      <c r="AA29" s="1120" t="n">
        <v>404</v>
      </c>
      <c r="AB29" s="1120" t="n">
        <v>575</v>
      </c>
      <c r="AC29" s="1120" t="n">
        <v>479</v>
      </c>
      <c r="AD29" s="1120" t="n">
        <v>464</v>
      </c>
      <c r="AE29" s="1120" t="n">
        <v>502</v>
      </c>
      <c r="AF29" s="1120" t="n">
        <v>468</v>
      </c>
      <c r="AG29" s="1120" t="n">
        <v>419</v>
      </c>
      <c r="AH29" s="1120" t="n">
        <v>425</v>
      </c>
      <c r="AI29" s="1120" t="n">
        <v>424</v>
      </c>
      <c r="AJ29" s="1120" t="n">
        <v>484</v>
      </c>
      <c r="AK29" s="1120" t="n">
        <v>413</v>
      </c>
      <c r="AL29" s="1120" t="n">
        <v>570</v>
      </c>
      <c r="AM29" s="1120" t="n">
        <v>411</v>
      </c>
      <c r="AN29" s="1120" t="n">
        <v>399</v>
      </c>
      <c r="AO29" s="1120" t="n">
        <v>445</v>
      </c>
      <c r="AP29" s="1120" t="n">
        <v>402</v>
      </c>
      <c r="AQ29" s="1124"/>
      <c r="AU29" s="62" t="s">
        <v>359</v>
      </c>
      <c r="AV29" s="62"/>
      <c r="AW29" s="62"/>
      <c r="AX29" s="1160" t="str">
        <f aca="false">INT(BERGHEAT!D117)&amp;" - "&amp;INT(BERGHEAT!D121)&amp;" m"</f>
        <v>20 - 203 m</v>
      </c>
      <c r="AY29" s="1161" t="n">
        <f aca="false">BERGHEAT!G117</f>
        <v>96.9648209108908</v>
      </c>
      <c r="AZ29" s="1162" t="n">
        <f aca="false">BERGHEAT!F117</f>
        <v>17744.562226693</v>
      </c>
      <c r="BA29" s="1147"/>
    </row>
    <row r="30" customFormat="false" ht="14.1" hidden="false" customHeight="true" outlineLevel="0" collapsed="false">
      <c r="A30" s="1115" t="n">
        <v>320</v>
      </c>
      <c r="B30" s="1115" t="s">
        <v>158</v>
      </c>
      <c r="C30" s="1115" t="n">
        <v>320</v>
      </c>
      <c r="D30" s="1115" t="s">
        <v>158</v>
      </c>
      <c r="E30" s="1115" t="s">
        <v>798</v>
      </c>
      <c r="F30" s="1115" t="n">
        <v>85560</v>
      </c>
      <c r="G30" s="1115" t="n">
        <v>320</v>
      </c>
      <c r="H30" s="1115" t="s">
        <v>158</v>
      </c>
      <c r="I30" s="1115" t="n">
        <v>340</v>
      </c>
      <c r="J30" s="1115" t="s">
        <v>158</v>
      </c>
      <c r="L30" s="1115" t="n">
        <f aca="false">LOOKUP(M30,$E$6:$F$4002)</f>
        <v>22340</v>
      </c>
      <c r="M30" s="1115" t="s">
        <v>799</v>
      </c>
      <c r="N30" s="1127" t="n">
        <v>1</v>
      </c>
      <c r="AA30" s="1120" t="n">
        <v>169</v>
      </c>
      <c r="AB30" s="1120" t="n">
        <v>387</v>
      </c>
      <c r="AC30" s="1120" t="n">
        <v>231</v>
      </c>
      <c r="AD30" s="1120" t="n">
        <v>217</v>
      </c>
      <c r="AE30" s="1120" t="n">
        <v>260</v>
      </c>
      <c r="AF30" s="1120" t="n">
        <v>213</v>
      </c>
      <c r="AG30" s="1120" t="n">
        <v>172</v>
      </c>
      <c r="AH30" s="1120" t="n">
        <v>177</v>
      </c>
      <c r="AI30" s="1120" t="n">
        <v>216</v>
      </c>
      <c r="AJ30" s="1120" t="n">
        <v>263</v>
      </c>
      <c r="AK30" s="1120" t="n">
        <v>189</v>
      </c>
      <c r="AL30" s="1120" t="n">
        <v>358</v>
      </c>
      <c r="AM30" s="1120" t="n">
        <v>186</v>
      </c>
      <c r="AN30" s="1120" t="n">
        <v>170</v>
      </c>
      <c r="AO30" s="1120" t="n">
        <v>215</v>
      </c>
      <c r="AP30" s="1120" t="n">
        <v>165</v>
      </c>
      <c r="AQ30" s="1124"/>
      <c r="AU30" s="1163" t="s">
        <v>800</v>
      </c>
      <c r="AV30" s="1163"/>
      <c r="AW30" s="1163"/>
      <c r="AX30" s="585" t="n">
        <f aca="false">BERGHEAT!D121</f>
        <v>203</v>
      </c>
      <c r="AY30" s="1164" t="n">
        <f aca="false">BERGHEAT!F121</f>
        <v>93.7339901477833</v>
      </c>
      <c r="AZ30" s="1165" t="n">
        <f aca="false">SUM(AZ27:AZ29)</f>
        <v>18933.8478426537</v>
      </c>
      <c r="BA30" s="1147"/>
    </row>
    <row r="31" customFormat="false" ht="14.1" hidden="false" customHeight="true" outlineLevel="0" collapsed="false">
      <c r="A31" s="1115" t="n">
        <v>330</v>
      </c>
      <c r="B31" s="1115" t="s">
        <v>158</v>
      </c>
      <c r="C31" s="1115" t="n">
        <v>330</v>
      </c>
      <c r="D31" s="1115" t="s">
        <v>158</v>
      </c>
      <c r="E31" s="1115" t="s">
        <v>801</v>
      </c>
      <c r="F31" s="1115" t="n">
        <v>71490</v>
      </c>
      <c r="G31" s="1115" t="n">
        <v>330</v>
      </c>
      <c r="H31" s="1115" t="s">
        <v>158</v>
      </c>
      <c r="I31" s="1115" t="n">
        <v>350</v>
      </c>
      <c r="J31" s="1115" t="s">
        <v>158</v>
      </c>
      <c r="L31" s="1115" t="n">
        <f aca="false">LOOKUP(M31,$E$6:$F$4002)</f>
        <v>85800</v>
      </c>
      <c r="M31" s="1115" t="s">
        <v>802</v>
      </c>
      <c r="N31" s="1127" t="n">
        <v>1.05</v>
      </c>
      <c r="AA31" s="1120" t="n">
        <v>12</v>
      </c>
      <c r="AB31" s="1120" t="n">
        <v>153</v>
      </c>
      <c r="AC31" s="1120" t="n">
        <v>43</v>
      </c>
      <c r="AD31" s="1120" t="n">
        <v>43</v>
      </c>
      <c r="AE31" s="1120" t="n">
        <v>59</v>
      </c>
      <c r="AF31" s="1120" t="n">
        <v>34</v>
      </c>
      <c r="AG31" s="1120" t="n">
        <v>25</v>
      </c>
      <c r="AH31" s="1120" t="n">
        <v>26</v>
      </c>
      <c r="AI31" s="1120" t="n">
        <v>36</v>
      </c>
      <c r="AJ31" s="1120" t="n">
        <v>49</v>
      </c>
      <c r="AK31" s="1120" t="n">
        <v>25</v>
      </c>
      <c r="AL31" s="1120" t="n">
        <v>113</v>
      </c>
      <c r="AM31" s="1120" t="n">
        <v>29</v>
      </c>
      <c r="AN31" s="1120" t="n">
        <v>19</v>
      </c>
      <c r="AO31" s="1120" t="n">
        <v>33</v>
      </c>
      <c r="AP31" s="1120" t="n">
        <v>18</v>
      </c>
      <c r="AQ31" s="1124"/>
      <c r="AU31" s="13" t="s">
        <v>418</v>
      </c>
      <c r="AV31" s="13"/>
      <c r="AW31" s="1166" t="n">
        <f aca="false">BERGHEAT!G105</f>
        <v>203</v>
      </c>
      <c r="AX31" s="434" t="n">
        <f aca="false">BERGHEAT!E121</f>
        <v>19028</v>
      </c>
      <c r="AY31" s="1167" t="n">
        <f aca="false">BERGHEAT!F121</f>
        <v>93.7339901477833</v>
      </c>
      <c r="AZ31" s="1168" t="n">
        <f aca="false">BERGHEAT!G121</f>
        <v>10.70022718582</v>
      </c>
      <c r="BA31" s="1147"/>
    </row>
    <row r="32" customFormat="false" ht="14.1" hidden="false" customHeight="true" outlineLevel="0" collapsed="false">
      <c r="A32" s="1115" t="n">
        <v>340</v>
      </c>
      <c r="B32" s="1115" t="s">
        <v>158</v>
      </c>
      <c r="C32" s="1115" t="n">
        <v>340</v>
      </c>
      <c r="D32" s="1115" t="s">
        <v>158</v>
      </c>
      <c r="E32" s="1115" t="s">
        <v>803</v>
      </c>
      <c r="F32" s="1115" t="n">
        <v>97740</v>
      </c>
      <c r="G32" s="1115" t="n">
        <v>340</v>
      </c>
      <c r="H32" s="1115" t="s">
        <v>158</v>
      </c>
      <c r="I32" s="1115" t="n">
        <v>360</v>
      </c>
      <c r="J32" s="1115" t="s">
        <v>158</v>
      </c>
      <c r="L32" s="1115" t="n">
        <f aca="false">LOOKUP(M32,$E$6:$F$4002)</f>
        <v>86600</v>
      </c>
      <c r="M32" s="1115" t="s">
        <v>804</v>
      </c>
      <c r="N32" s="1127" t="n">
        <v>0.99</v>
      </c>
      <c r="O32" s="1117" t="s">
        <v>805</v>
      </c>
      <c r="P32" s="1117" t="s">
        <v>805</v>
      </c>
      <c r="AA32" s="1120" t="n">
        <v>2</v>
      </c>
      <c r="AB32" s="1120" t="n">
        <v>76</v>
      </c>
      <c r="AC32" s="1120" t="n">
        <v>12</v>
      </c>
      <c r="AD32" s="1120" t="n">
        <v>13</v>
      </c>
      <c r="AE32" s="1120" t="n">
        <v>21</v>
      </c>
      <c r="AF32" s="1120" t="n">
        <v>8</v>
      </c>
      <c r="AG32" s="1120" t="n">
        <v>6</v>
      </c>
      <c r="AH32" s="1120" t="n">
        <v>6</v>
      </c>
      <c r="AI32" s="1120" t="n">
        <v>7</v>
      </c>
      <c r="AJ32" s="1120" t="n">
        <v>11</v>
      </c>
      <c r="AK32" s="1120" t="n">
        <v>5</v>
      </c>
      <c r="AL32" s="1120" t="n">
        <v>55</v>
      </c>
      <c r="AM32" s="1120" t="n">
        <v>6</v>
      </c>
      <c r="AN32" s="1120" t="n">
        <v>4</v>
      </c>
      <c r="AO32" s="1120" t="n">
        <v>9</v>
      </c>
      <c r="AP32" s="1120" t="n">
        <v>4</v>
      </c>
      <c r="AQ32" s="1124"/>
      <c r="AU32" s="1145" t="s">
        <v>806</v>
      </c>
      <c r="AV32" s="1145"/>
      <c r="AW32" s="1145"/>
      <c r="AX32" s="1145"/>
      <c r="AY32" s="1145"/>
      <c r="AZ32" s="1169" t="n">
        <f aca="false">1000*AZ10/(AW31*24*365)</f>
        <v>10.7000056574927</v>
      </c>
      <c r="BA32" s="1170" t="n">
        <f aca="false">BERGHEAT!G128</f>
        <v>1.77048456863363</v>
      </c>
    </row>
    <row r="33" customFormat="false" ht="14.1" hidden="false" customHeight="true" outlineLevel="0" collapsed="false">
      <c r="A33" s="1115" t="n">
        <v>350</v>
      </c>
      <c r="B33" s="1115" t="s">
        <v>158</v>
      </c>
      <c r="C33" s="1115" t="n">
        <v>350</v>
      </c>
      <c r="D33" s="1115" t="s">
        <v>158</v>
      </c>
      <c r="E33" s="1115" t="s">
        <v>807</v>
      </c>
      <c r="F33" s="1115" t="n">
        <v>45270</v>
      </c>
      <c r="G33" s="1115" t="n">
        <v>350</v>
      </c>
      <c r="H33" s="1115" t="s">
        <v>158</v>
      </c>
      <c r="I33" s="1115" t="n">
        <v>370</v>
      </c>
      <c r="J33" s="1115" t="s">
        <v>158</v>
      </c>
      <c r="L33" s="1115" t="n">
        <f aca="false">LOOKUP(M33,$E$6:$F$4002)</f>
        <v>90480</v>
      </c>
      <c r="M33" s="1115" t="s">
        <v>808</v>
      </c>
      <c r="N33" s="1127" t="n">
        <v>0.99</v>
      </c>
      <c r="O33" s="2" t="s">
        <v>809</v>
      </c>
      <c r="P33" s="1117" t="s">
        <v>271</v>
      </c>
      <c r="Q33" s="1117" t="s">
        <v>149</v>
      </c>
      <c r="U33" s="1117" t="s">
        <v>805</v>
      </c>
      <c r="AA33" s="1120" t="n">
        <v>15</v>
      </c>
      <c r="AB33" s="1120" t="n">
        <v>157</v>
      </c>
      <c r="AC33" s="1120" t="n">
        <v>55</v>
      </c>
      <c r="AD33" s="1120" t="n">
        <v>63</v>
      </c>
      <c r="AE33" s="1120" t="n">
        <v>82</v>
      </c>
      <c r="AF33" s="1120" t="n">
        <v>43</v>
      </c>
      <c r="AG33" s="1120" t="n">
        <v>36</v>
      </c>
      <c r="AH33" s="1120" t="n">
        <v>34</v>
      </c>
      <c r="AI33" s="1120" t="n">
        <v>22</v>
      </c>
      <c r="AJ33" s="1120" t="n">
        <v>62</v>
      </c>
      <c r="AK33" s="1120" t="n">
        <v>29</v>
      </c>
      <c r="AL33" s="1120" t="n">
        <v>150</v>
      </c>
      <c r="AM33" s="1120" t="n">
        <v>39</v>
      </c>
      <c r="AN33" s="1120" t="n">
        <v>23</v>
      </c>
      <c r="AO33" s="1120" t="n">
        <v>47</v>
      </c>
      <c r="AP33" s="1120" t="n">
        <v>27</v>
      </c>
      <c r="AQ33" s="1124"/>
      <c r="AU33" s="1145" t="s">
        <v>810</v>
      </c>
      <c r="AV33" s="1145"/>
      <c r="AW33" s="1145"/>
      <c r="AX33" s="1145"/>
      <c r="AY33" s="1145"/>
      <c r="AZ33" s="1169" t="n">
        <f aca="false">1000*(BERGHEAT!G59-(BERGHEAT!G59/BERGHEAT!G36))/AW31</f>
        <v>30.9001343484102</v>
      </c>
      <c r="BA33" s="1171"/>
    </row>
    <row r="34" customFormat="false" ht="14.1" hidden="false" customHeight="true" outlineLevel="0" collapsed="false">
      <c r="A34" s="1115" t="n">
        <v>360</v>
      </c>
      <c r="B34" s="1115" t="s">
        <v>158</v>
      </c>
      <c r="C34" s="1115" t="n">
        <v>360</v>
      </c>
      <c r="D34" s="1115" t="s">
        <v>158</v>
      </c>
      <c r="E34" s="1115" t="s">
        <v>811</v>
      </c>
      <c r="F34" s="1115" t="n">
        <v>36720</v>
      </c>
      <c r="G34" s="1115" t="n">
        <v>360</v>
      </c>
      <c r="H34" s="1115" t="s">
        <v>158</v>
      </c>
      <c r="I34" s="1115" t="n">
        <v>380</v>
      </c>
      <c r="J34" s="1115" t="s">
        <v>158</v>
      </c>
      <c r="L34" s="1115" t="n">
        <f aca="false">LOOKUP(M34,$E$6:$F$4002)</f>
        <v>24910</v>
      </c>
      <c r="M34" s="1115" t="s">
        <v>812</v>
      </c>
      <c r="N34" s="1127" t="n">
        <v>0.98</v>
      </c>
      <c r="O34" s="780" t="n">
        <v>1000</v>
      </c>
      <c r="P34" s="780" t="s">
        <v>158</v>
      </c>
      <c r="Q34" s="33" t="n">
        <v>3878</v>
      </c>
      <c r="U34" s="504" t="s">
        <v>158</v>
      </c>
      <c r="V34" s="2" t="n">
        <v>3878</v>
      </c>
      <c r="AA34" s="1120" t="n">
        <v>144</v>
      </c>
      <c r="AB34" s="1120" t="n">
        <v>328</v>
      </c>
      <c r="AC34" s="1120" t="n">
        <v>237</v>
      </c>
      <c r="AD34" s="1120" t="n">
        <v>251</v>
      </c>
      <c r="AE34" s="1120" t="n">
        <v>266</v>
      </c>
      <c r="AF34" s="1120" t="n">
        <v>216</v>
      </c>
      <c r="AG34" s="1120" t="n">
        <v>215</v>
      </c>
      <c r="AH34" s="1120" t="n">
        <v>204</v>
      </c>
      <c r="AI34" s="1120" t="n">
        <v>160</v>
      </c>
      <c r="AJ34" s="1120" t="n">
        <v>243</v>
      </c>
      <c r="AK34" s="1120" t="n">
        <v>195</v>
      </c>
      <c r="AL34" s="1120" t="n">
        <v>330</v>
      </c>
      <c r="AM34" s="1120" t="n">
        <v>211</v>
      </c>
      <c r="AN34" s="1120" t="n">
        <v>170</v>
      </c>
      <c r="AO34" s="1120" t="n">
        <v>221</v>
      </c>
      <c r="AP34" s="1120" t="n">
        <v>185</v>
      </c>
      <c r="AQ34" s="1124"/>
      <c r="AU34" s="248" t="s">
        <v>813</v>
      </c>
      <c r="AV34" s="248"/>
      <c r="AW34" s="248"/>
      <c r="AX34" s="248"/>
      <c r="AY34" s="248"/>
      <c r="AZ34" s="248"/>
      <c r="BA34" s="248"/>
    </row>
    <row r="35" customFormat="false" ht="14.1" hidden="false" customHeight="true" outlineLevel="0" collapsed="false">
      <c r="A35" s="1115" t="n">
        <v>370</v>
      </c>
      <c r="B35" s="1115" t="s">
        <v>158</v>
      </c>
      <c r="C35" s="1115" t="n">
        <v>370</v>
      </c>
      <c r="D35" s="1115" t="s">
        <v>158</v>
      </c>
      <c r="E35" s="1115" t="s">
        <v>814</v>
      </c>
      <c r="F35" s="1115" t="n">
        <v>97860</v>
      </c>
      <c r="G35" s="1115" t="n">
        <v>370</v>
      </c>
      <c r="H35" s="1115" t="s">
        <v>158</v>
      </c>
      <c r="I35" s="1115" t="n">
        <v>390</v>
      </c>
      <c r="J35" s="1115" t="s">
        <v>158</v>
      </c>
      <c r="L35" s="1115" t="n">
        <f aca="false">LOOKUP(M35,$E$6:$F$4002)</f>
        <v>69510</v>
      </c>
      <c r="M35" s="1115" t="s">
        <v>815</v>
      </c>
      <c r="N35" s="1127" t="n">
        <v>0.98</v>
      </c>
      <c r="O35" s="780" t="n">
        <v>99800</v>
      </c>
      <c r="P35" s="780" t="s">
        <v>171</v>
      </c>
      <c r="Q35" s="33" t="n">
        <v>6231</v>
      </c>
      <c r="U35" s="504" t="s">
        <v>171</v>
      </c>
      <c r="V35" s="2" t="n">
        <v>6231</v>
      </c>
      <c r="AA35" s="1120" t="n">
        <v>331</v>
      </c>
      <c r="AB35" s="1120" t="n">
        <v>545</v>
      </c>
      <c r="AC35" s="1120" t="n">
        <v>434</v>
      </c>
      <c r="AD35" s="1120" t="n">
        <v>427</v>
      </c>
      <c r="AE35" s="1120" t="n">
        <v>460</v>
      </c>
      <c r="AF35" s="1120" t="n">
        <v>415</v>
      </c>
      <c r="AG35" s="1120" t="n">
        <v>394</v>
      </c>
      <c r="AH35" s="1120" t="n">
        <v>404</v>
      </c>
      <c r="AI35" s="1120" t="n">
        <v>320</v>
      </c>
      <c r="AJ35" s="1120" t="n">
        <v>442</v>
      </c>
      <c r="AK35" s="1120" t="n">
        <v>364</v>
      </c>
      <c r="AL35" s="1120" t="n">
        <v>545</v>
      </c>
      <c r="AM35" s="1120" t="n">
        <v>382</v>
      </c>
      <c r="AN35" s="1120" t="n">
        <v>352</v>
      </c>
      <c r="AO35" s="1120" t="n">
        <v>397</v>
      </c>
      <c r="AP35" s="1120" t="n">
        <v>364</v>
      </c>
      <c r="AQ35" s="1124"/>
      <c r="AU35" s="1172" t="s">
        <v>816</v>
      </c>
      <c r="AV35" s="1172"/>
      <c r="AW35" s="65" t="s">
        <v>282</v>
      </c>
      <c r="AX35" s="65" t="s">
        <v>817</v>
      </c>
      <c r="AY35" s="65" t="s">
        <v>818</v>
      </c>
      <c r="AZ35" s="65" t="s">
        <v>819</v>
      </c>
      <c r="BA35" s="65" t="s">
        <v>176</v>
      </c>
    </row>
    <row r="36" customFormat="false" ht="14.1" hidden="false" customHeight="true" outlineLevel="0" collapsed="false">
      <c r="A36" s="1115" t="n">
        <v>380</v>
      </c>
      <c r="B36" s="1115" t="s">
        <v>158</v>
      </c>
      <c r="C36" s="1115" t="n">
        <v>380</v>
      </c>
      <c r="D36" s="1115" t="s">
        <v>158</v>
      </c>
      <c r="E36" s="1115" t="s">
        <v>820</v>
      </c>
      <c r="F36" s="1115" t="n">
        <v>74740</v>
      </c>
      <c r="G36" s="1115" t="n">
        <v>380</v>
      </c>
      <c r="H36" s="1115" t="s">
        <v>158</v>
      </c>
      <c r="I36" s="1115" t="n">
        <v>400</v>
      </c>
      <c r="J36" s="1115" t="s">
        <v>158</v>
      </c>
      <c r="L36" s="1115" t="n">
        <f aca="false">LOOKUP(M36,$E$6:$F$4002)</f>
        <v>49420</v>
      </c>
      <c r="M36" s="1115" t="s">
        <v>821</v>
      </c>
      <c r="N36" s="1127" t="n">
        <v>0.95</v>
      </c>
      <c r="O36" s="780" t="n">
        <v>80100</v>
      </c>
      <c r="P36" s="780" t="s">
        <v>167</v>
      </c>
      <c r="Q36" s="33" t="n">
        <v>4984</v>
      </c>
      <c r="U36" s="504" t="s">
        <v>167</v>
      </c>
      <c r="V36" s="2" t="n">
        <v>4984</v>
      </c>
      <c r="AA36" s="1120" t="n">
        <v>468</v>
      </c>
      <c r="AB36" s="1120" t="n">
        <v>744</v>
      </c>
      <c r="AC36" s="1120" t="n">
        <v>598</v>
      </c>
      <c r="AD36" s="1120" t="n">
        <v>576</v>
      </c>
      <c r="AE36" s="1120" t="n">
        <v>630</v>
      </c>
      <c r="AF36" s="1120" t="n">
        <v>579</v>
      </c>
      <c r="AG36" s="1120" t="n">
        <v>533</v>
      </c>
      <c r="AH36" s="1120" t="n">
        <v>548</v>
      </c>
      <c r="AI36" s="1120" t="n">
        <v>433</v>
      </c>
      <c r="AJ36" s="1120" t="n">
        <v>606</v>
      </c>
      <c r="AK36" s="1120" t="n">
        <v>500</v>
      </c>
      <c r="AL36" s="1120" t="n">
        <v>742</v>
      </c>
      <c r="AM36" s="1120" t="n">
        <v>537</v>
      </c>
      <c r="AN36" s="1120" t="n">
        <v>488</v>
      </c>
      <c r="AO36" s="1120" t="n">
        <v>535</v>
      </c>
      <c r="AP36" s="1120" t="n">
        <v>502</v>
      </c>
      <c r="AQ36" s="1124"/>
      <c r="AU36" s="108" t="str">
        <f aca="false">BERGHEAT!B122</f>
        <v>Kaivo # 1</v>
      </c>
      <c r="AV36" s="108"/>
      <c r="AW36" s="1151" t="n">
        <f aca="false">BERGHEAT!D122</f>
        <v>203</v>
      </c>
      <c r="AX36" s="220" t="n">
        <f aca="false">BERGHEAT!F122</f>
        <v>93.7339901477833</v>
      </c>
      <c r="AY36" s="434" t="n">
        <f aca="false">BERGHEAT!E122</f>
        <v>19028</v>
      </c>
      <c r="AZ36" s="1173" t="n">
        <f aca="false">IF(AW36="","",$AZ$11/$AZ$10*AY36)</f>
        <v>8829.57673937867</v>
      </c>
      <c r="BA36" s="434" t="n">
        <f aca="false">IF(AW36="","",SUM(AY36:AZ36))</f>
        <v>27857.5767393787</v>
      </c>
    </row>
    <row r="37" customFormat="false" ht="14.1" hidden="false" customHeight="true" outlineLevel="0" collapsed="false">
      <c r="A37" s="1115" t="n">
        <v>390</v>
      </c>
      <c r="B37" s="1115" t="s">
        <v>158</v>
      </c>
      <c r="C37" s="1115" t="n">
        <v>390</v>
      </c>
      <c r="D37" s="1115" t="s">
        <v>158</v>
      </c>
      <c r="E37" s="1115" t="s">
        <v>822</v>
      </c>
      <c r="F37" s="1115" t="n">
        <v>74310</v>
      </c>
      <c r="G37" s="1115" t="n">
        <v>390</v>
      </c>
      <c r="H37" s="1115" t="s">
        <v>158</v>
      </c>
      <c r="I37" s="1115" t="n">
        <v>410</v>
      </c>
      <c r="J37" s="1115" t="s">
        <v>158</v>
      </c>
      <c r="L37" s="1115" t="n">
        <f aca="false">LOOKUP(M37,$E$6:$F$4002)</f>
        <v>22240</v>
      </c>
      <c r="M37" s="1115" t="s">
        <v>823</v>
      </c>
      <c r="N37" s="1127" t="n">
        <v>0.99</v>
      </c>
      <c r="O37" s="780" t="n">
        <v>40100</v>
      </c>
      <c r="P37" s="780" t="s">
        <v>164</v>
      </c>
      <c r="Q37" s="33" t="n">
        <v>4832</v>
      </c>
      <c r="U37" s="504" t="s">
        <v>164</v>
      </c>
      <c r="V37" s="2" t="n">
        <v>4832</v>
      </c>
      <c r="AA37" s="1120" t="n">
        <v>594</v>
      </c>
      <c r="AB37" s="1120" t="n">
        <v>894</v>
      </c>
      <c r="AC37" s="1120" t="n">
        <v>759</v>
      </c>
      <c r="AD37" s="1120" t="n">
        <v>725</v>
      </c>
      <c r="AE37" s="1120" t="n">
        <v>795</v>
      </c>
      <c r="AF37" s="1120" t="n">
        <v>742</v>
      </c>
      <c r="AG37" s="1120" t="n">
        <v>674</v>
      </c>
      <c r="AH37" s="1120" t="n">
        <v>691</v>
      </c>
      <c r="AI37" s="1120" t="n">
        <v>543</v>
      </c>
      <c r="AJ37" s="1120" t="n">
        <v>758</v>
      </c>
      <c r="AK37" s="1120" t="n">
        <v>627</v>
      </c>
      <c r="AL37" s="1120" t="n">
        <v>911</v>
      </c>
      <c r="AM37" s="1120" t="n">
        <v>672</v>
      </c>
      <c r="AN37" s="1120" t="n">
        <v>612</v>
      </c>
      <c r="AO37" s="1120" t="n">
        <v>667</v>
      </c>
      <c r="AP37" s="1120" t="n">
        <v>631</v>
      </c>
      <c r="AQ37" s="1124"/>
      <c r="AU37" s="108" t="str">
        <f aca="false">BERGHEAT!B123</f>
        <v/>
      </c>
      <c r="AV37" s="108"/>
      <c r="AW37" s="1151" t="str">
        <f aca="false">BERGHEAT!D123</f>
        <v/>
      </c>
      <c r="AX37" s="220" t="str">
        <f aca="false">BERGHEAT!F123</f>
        <v/>
      </c>
      <c r="AY37" s="434" t="str">
        <f aca="false">BERGHEAT!E123</f>
        <v/>
      </c>
      <c r="AZ37" s="1173" t="str">
        <f aca="false">IF(AW37="","",$AZ$11/$AZ$10*AY37)</f>
        <v/>
      </c>
      <c r="BA37" s="434" t="str">
        <f aca="false">IF(AW37="","",SUM(AY37:AZ37))</f>
        <v/>
      </c>
    </row>
    <row r="38" customFormat="false" ht="14.1" hidden="false" customHeight="true" outlineLevel="0" collapsed="false">
      <c r="A38" s="1115" t="n">
        <v>400</v>
      </c>
      <c r="B38" s="1115" t="s">
        <v>158</v>
      </c>
      <c r="C38" s="1115" t="n">
        <v>400</v>
      </c>
      <c r="D38" s="1115" t="s">
        <v>158</v>
      </c>
      <c r="E38" s="1115" t="s">
        <v>697</v>
      </c>
      <c r="F38" s="1115" t="n">
        <v>37900</v>
      </c>
      <c r="G38" s="1115" t="n">
        <v>400</v>
      </c>
      <c r="H38" s="1115" t="s">
        <v>158</v>
      </c>
      <c r="I38" s="1115" t="n">
        <v>420</v>
      </c>
      <c r="J38" s="1115" t="s">
        <v>158</v>
      </c>
      <c r="L38" s="1115" t="n">
        <f aca="false">LOOKUP(M38,$E$6:$F$4002)</f>
        <v>41520</v>
      </c>
      <c r="M38" s="1115" t="s">
        <v>824</v>
      </c>
      <c r="N38" s="1127" t="n">
        <v>1</v>
      </c>
      <c r="O38" s="780" t="n">
        <v>84100</v>
      </c>
      <c r="P38" s="780" t="s">
        <v>168</v>
      </c>
      <c r="Q38" s="33" t="n">
        <v>5304</v>
      </c>
      <c r="U38" s="504" t="s">
        <v>168</v>
      </c>
      <c r="V38" s="2" t="n">
        <v>5304</v>
      </c>
      <c r="AA38" s="1120" t="n">
        <f aca="false">SUM(AA26:AA37)</f>
        <v>3989</v>
      </c>
      <c r="AB38" s="1120" t="n">
        <f aca="false">SUM(AB26:AB37)</f>
        <v>6381</v>
      </c>
      <c r="AC38" s="1120" t="n">
        <f aca="false">SUM(AC26:AC37)</f>
        <v>5117</v>
      </c>
      <c r="AD38" s="1120" t="n">
        <f aca="false">SUM(AD26:AD37)</f>
        <v>4945</v>
      </c>
      <c r="AE38" s="1120" t="n">
        <f aca="false">SUM(AE26:AE37)</f>
        <v>5420</v>
      </c>
      <c r="AF38" s="1120" t="n">
        <f aca="false">SUM(AF26:AF37)</f>
        <v>4943</v>
      </c>
      <c r="AG38" s="1120" t="n">
        <f aca="false">SUM(AG26:AG37)</f>
        <v>4512</v>
      </c>
      <c r="AH38" s="1120" t="n">
        <f aca="false">SUM(AH26:AH37)</f>
        <v>4612</v>
      </c>
      <c r="AI38" s="1120" t="n">
        <f aca="false">SUM(AI26:AI37)</f>
        <v>3896</v>
      </c>
      <c r="AJ38" s="1120" t="n">
        <f aca="false">SUM(AJ26:AJ37)</f>
        <v>5170</v>
      </c>
      <c r="AK38" s="1120" t="n">
        <f aca="false">SUM(AK26:AK37)</f>
        <v>4255</v>
      </c>
      <c r="AL38" s="1120" t="n">
        <f aca="false">SUM(AL26:AL37)</f>
        <v>6337</v>
      </c>
      <c r="AM38" s="1120" t="n">
        <f aca="false">SUM(AM26:AM37)</f>
        <v>4502</v>
      </c>
      <c r="AN38" s="1120" t="n">
        <f aca="false">SUM(AN26:AN37)</f>
        <v>4115</v>
      </c>
      <c r="AO38" s="1120" t="n">
        <f aca="false">SUM(AO26:AO37)</f>
        <v>4588</v>
      </c>
      <c r="AP38" s="1120" t="n">
        <f aca="false">SUM(AP26:AP37)</f>
        <v>4229</v>
      </c>
      <c r="AU38" s="108" t="str">
        <f aca="false">BERGHEAT!B124</f>
        <v/>
      </c>
      <c r="AV38" s="108"/>
      <c r="AW38" s="1151" t="str">
        <f aca="false">BERGHEAT!D124</f>
        <v/>
      </c>
      <c r="AX38" s="220" t="str">
        <f aca="false">BERGHEAT!F124</f>
        <v/>
      </c>
      <c r="AY38" s="434" t="str">
        <f aca="false">BERGHEAT!E124</f>
        <v/>
      </c>
      <c r="AZ38" s="1173" t="str">
        <f aca="false">IF(AW38="","",$AZ$11/$AZ$10*AY38)</f>
        <v/>
      </c>
      <c r="BA38" s="434" t="str">
        <f aca="false">IF(AW38="","",SUM(AY38:AZ38))</f>
        <v/>
      </c>
    </row>
    <row r="39" customFormat="false" ht="14.1" hidden="false" customHeight="true" outlineLevel="0" collapsed="false">
      <c r="A39" s="1115" t="n">
        <v>410</v>
      </c>
      <c r="B39" s="1115" t="s">
        <v>158</v>
      </c>
      <c r="C39" s="1115" t="n">
        <v>410</v>
      </c>
      <c r="D39" s="1115" t="s">
        <v>158</v>
      </c>
      <c r="E39" s="1115" t="s">
        <v>697</v>
      </c>
      <c r="F39" s="1115" t="n">
        <v>37910</v>
      </c>
      <c r="G39" s="1115" t="n">
        <v>410</v>
      </c>
      <c r="H39" s="1115" t="s">
        <v>158</v>
      </c>
      <c r="I39" s="1115" t="n">
        <v>430</v>
      </c>
      <c r="J39" s="1115" t="s">
        <v>158</v>
      </c>
      <c r="L39" s="1115" t="n">
        <f aca="false">LOOKUP(M39,$E$6:$F$4002)</f>
        <v>10960</v>
      </c>
      <c r="M39" s="1115" t="s">
        <v>825</v>
      </c>
      <c r="N39" s="1127" t="n">
        <v>1</v>
      </c>
      <c r="O39" s="780" t="n">
        <v>70100</v>
      </c>
      <c r="P39" s="780" t="s">
        <v>166</v>
      </c>
      <c r="Q39" s="33" t="n">
        <v>4825</v>
      </c>
      <c r="U39" s="504" t="s">
        <v>166</v>
      </c>
      <c r="V39" s="2" t="n">
        <v>4825</v>
      </c>
      <c r="AA39" s="1124"/>
      <c r="AU39" s="108" t="str">
        <f aca="false">BERGHEAT!B125</f>
        <v/>
      </c>
      <c r="AV39" s="108"/>
      <c r="AW39" s="1151" t="str">
        <f aca="false">BERGHEAT!D125</f>
        <v/>
      </c>
      <c r="AX39" s="220" t="str">
        <f aca="false">BERGHEAT!F125</f>
        <v/>
      </c>
      <c r="AY39" s="434" t="str">
        <f aca="false">BERGHEAT!E125</f>
        <v/>
      </c>
      <c r="AZ39" s="1173" t="str">
        <f aca="false">IF(AW39="","",$AZ$11/$AZ$10*AY39)</f>
        <v/>
      </c>
      <c r="BA39" s="434" t="str">
        <f aca="false">IF(AW39="","",SUM(AY39:AZ39))</f>
        <v/>
      </c>
    </row>
    <row r="40" customFormat="false" ht="17" hidden="false" customHeight="true" outlineLevel="0" collapsed="false">
      <c r="A40" s="1115" t="n">
        <v>420</v>
      </c>
      <c r="B40" s="1115" t="s">
        <v>158</v>
      </c>
      <c r="C40" s="1115" t="n">
        <v>420</v>
      </c>
      <c r="D40" s="1115" t="s">
        <v>158</v>
      </c>
      <c r="E40" s="1115" t="s">
        <v>697</v>
      </c>
      <c r="F40" s="1115" t="n">
        <v>37800</v>
      </c>
      <c r="G40" s="1115" t="n">
        <v>420</v>
      </c>
      <c r="H40" s="1115" t="s">
        <v>158</v>
      </c>
      <c r="I40" s="1115" t="n">
        <v>440</v>
      </c>
      <c r="J40" s="1115" t="s">
        <v>158</v>
      </c>
      <c r="L40" s="1115" t="n">
        <f aca="false">LOOKUP(M40,$E$6:$F$4002)</f>
        <v>29200</v>
      </c>
      <c r="M40" s="1115" t="s">
        <v>826</v>
      </c>
      <c r="N40" s="1127" t="n">
        <v>0.97</v>
      </c>
      <c r="O40" s="780" t="n">
        <v>45100</v>
      </c>
      <c r="P40" s="780" t="s">
        <v>162</v>
      </c>
      <c r="Q40" s="33" t="n">
        <v>4392</v>
      </c>
      <c r="U40" s="504" t="s">
        <v>162</v>
      </c>
      <c r="V40" s="2" t="n">
        <v>4392</v>
      </c>
      <c r="AA40" s="1124"/>
      <c r="AU40" s="7" t="s">
        <v>827</v>
      </c>
      <c r="AV40" s="7"/>
      <c r="AW40" s="1174" t="n">
        <f aca="false">SUM(AW36:AW39)</f>
        <v>203</v>
      </c>
      <c r="AX40" s="1175" t="n">
        <f aca="false">AY40/AW40</f>
        <v>93.7339901477833</v>
      </c>
      <c r="AY40" s="382" t="n">
        <f aca="false">SUM(AY36:AY39)</f>
        <v>19028</v>
      </c>
      <c r="AZ40" s="1176" t="n">
        <f aca="false">SUM(AZ36:AZ39)</f>
        <v>8829.57673937867</v>
      </c>
      <c r="BA40" s="382" t="n">
        <f aca="false">SUM(BA36:BA39)</f>
        <v>27857.5767393787</v>
      </c>
    </row>
    <row r="41" customFormat="false" ht="14.1" hidden="false" customHeight="true" outlineLevel="0" collapsed="false">
      <c r="A41" s="1115" t="n">
        <v>430</v>
      </c>
      <c r="B41" s="1115" t="s">
        <v>158</v>
      </c>
      <c r="C41" s="1115" t="n">
        <v>430</v>
      </c>
      <c r="D41" s="1115" t="s">
        <v>158</v>
      </c>
      <c r="E41" s="1115" t="s">
        <v>697</v>
      </c>
      <c r="F41" s="1115" t="n">
        <v>37830</v>
      </c>
      <c r="G41" s="1115" t="n">
        <v>430</v>
      </c>
      <c r="H41" s="1115" t="s">
        <v>158</v>
      </c>
      <c r="I41" s="1115" t="n">
        <v>500</v>
      </c>
      <c r="J41" s="1115" t="s">
        <v>158</v>
      </c>
      <c r="L41" s="1115" t="n">
        <f aca="false">LOOKUP(M41,$E$6:$F$4002)</f>
        <v>19600</v>
      </c>
      <c r="M41" s="1115" t="s">
        <v>828</v>
      </c>
      <c r="N41" s="1127" t="n">
        <v>0.96</v>
      </c>
      <c r="O41" s="780" t="n">
        <v>50100</v>
      </c>
      <c r="P41" s="780" t="s">
        <v>163</v>
      </c>
      <c r="Q41" s="33" t="n">
        <v>4510</v>
      </c>
      <c r="U41" s="504" t="s">
        <v>163</v>
      </c>
      <c r="V41" s="2" t="n">
        <v>4510</v>
      </c>
      <c r="AA41" s="1124"/>
      <c r="AU41" s="1145" t="s">
        <v>829</v>
      </c>
      <c r="AV41" s="1145"/>
      <c r="AW41" s="1145"/>
      <c r="AX41" s="1145"/>
      <c r="AY41" s="1145"/>
      <c r="AZ41" s="1177" t="n">
        <f aca="false">AZ10/(24*365)</f>
        <v>2.17210114847101</v>
      </c>
      <c r="BA41" s="1168" t="n">
        <f aca="false">1000*AZ10/(AW40*24*365)</f>
        <v>10.7000056574927</v>
      </c>
    </row>
    <row r="42" customFormat="false" ht="14.1" hidden="false" customHeight="true" outlineLevel="0" collapsed="false">
      <c r="A42" s="1115" t="n">
        <v>440</v>
      </c>
      <c r="B42" s="1115" t="s">
        <v>158</v>
      </c>
      <c r="C42" s="1115" t="n">
        <v>440</v>
      </c>
      <c r="D42" s="1115" t="s">
        <v>158</v>
      </c>
      <c r="E42" s="1115" t="s">
        <v>830</v>
      </c>
      <c r="F42" s="1115" t="n">
        <v>61540</v>
      </c>
      <c r="G42" s="1115" t="n">
        <v>440</v>
      </c>
      <c r="H42" s="1115" t="s">
        <v>158</v>
      </c>
      <c r="I42" s="1115" t="n">
        <v>510</v>
      </c>
      <c r="J42" s="1115" t="s">
        <v>158</v>
      </c>
      <c r="L42" s="1115" t="n">
        <f aca="false">LOOKUP(M42,$E$6:$F$4002)</f>
        <v>13880</v>
      </c>
      <c r="M42" s="1115" t="s">
        <v>831</v>
      </c>
      <c r="N42" s="1127" t="n">
        <v>1.01</v>
      </c>
      <c r="O42" s="780" t="n">
        <v>20100</v>
      </c>
      <c r="P42" s="780" t="s">
        <v>156</v>
      </c>
      <c r="Q42" s="33" t="n">
        <v>3803</v>
      </c>
      <c r="U42" s="504" t="s">
        <v>156</v>
      </c>
      <c r="V42" s="2" t="n">
        <v>3803</v>
      </c>
      <c r="AA42" s="1124"/>
      <c r="AU42" s="1145" t="str">
        <f aca="false">"Maksimiteho kaivoista valitulla  "&amp;BERGHEAT!G59&amp;" kW  -tehoisella lämpöpumpulla"</f>
        <v>Maksimiteho kaivoista valitulla  9 kW  -tehoisella lämpöpumpulla</v>
      </c>
      <c r="AV42" s="1145"/>
      <c r="AW42" s="1145"/>
      <c r="AX42" s="1145"/>
      <c r="AY42" s="1145"/>
      <c r="AZ42" s="1178" t="n">
        <f aca="false">(BERGHEAT!G59-(BERGHEAT!G59/BERGHEAT!G36))</f>
        <v>6.27272727272727</v>
      </c>
      <c r="BA42" s="1168" t="n">
        <f aca="false">1000*(BERGHEAT!G59-(BERGHEAT!G59/BERGHEAT!G36))/AW40</f>
        <v>30.9001343484102</v>
      </c>
    </row>
    <row r="43" customFormat="false" ht="14.1" hidden="false" customHeight="true" outlineLevel="0" collapsed="false">
      <c r="A43" s="1115" t="n">
        <v>500</v>
      </c>
      <c r="B43" s="1115" t="s">
        <v>158</v>
      </c>
      <c r="C43" s="1115" t="n">
        <v>500</v>
      </c>
      <c r="D43" s="1115" t="s">
        <v>158</v>
      </c>
      <c r="E43" s="1115" t="s">
        <v>832</v>
      </c>
      <c r="F43" s="1115" t="n">
        <v>38910</v>
      </c>
      <c r="G43" s="1115" t="n">
        <v>500</v>
      </c>
      <c r="H43" s="1115" t="s">
        <v>158</v>
      </c>
      <c r="I43" s="1115" t="n">
        <v>520</v>
      </c>
      <c r="J43" s="1115" t="s">
        <v>158</v>
      </c>
      <c r="L43" s="1115" t="n">
        <f aca="false">LOOKUP(M43,$E$6:$F$4002)</f>
        <v>14700</v>
      </c>
      <c r="M43" s="1115" t="s">
        <v>833</v>
      </c>
      <c r="N43" s="1127" t="n">
        <v>0.99</v>
      </c>
      <c r="O43" s="780" t="n">
        <v>90100</v>
      </c>
      <c r="P43" s="780" t="s">
        <v>169</v>
      </c>
      <c r="Q43" s="33" t="n">
        <v>5057</v>
      </c>
      <c r="U43" s="504" t="s">
        <v>169</v>
      </c>
      <c r="V43" s="2" t="n">
        <v>5057</v>
      </c>
      <c r="AA43" s="1124"/>
      <c r="AU43" s="1179" t="s">
        <v>834</v>
      </c>
      <c r="AV43" s="1179"/>
      <c r="AW43" s="1179"/>
      <c r="AX43" s="1179"/>
      <c r="AY43" s="1179"/>
      <c r="AZ43" s="1179"/>
      <c r="BA43" s="1179"/>
      <c r="BB43" s="0"/>
    </row>
    <row r="44" customFormat="false" ht="14.1" hidden="false" customHeight="true" outlineLevel="0" collapsed="false">
      <c r="A44" s="1115" t="n">
        <v>510</v>
      </c>
      <c r="B44" s="1115" t="s">
        <v>158</v>
      </c>
      <c r="C44" s="1115" t="n">
        <v>510</v>
      </c>
      <c r="D44" s="1115" t="s">
        <v>158</v>
      </c>
      <c r="E44" s="1115" t="s">
        <v>835</v>
      </c>
      <c r="F44" s="1115" t="n">
        <v>54160</v>
      </c>
      <c r="G44" s="1115" t="n">
        <v>510</v>
      </c>
      <c r="H44" s="1115" t="s">
        <v>158</v>
      </c>
      <c r="I44" s="1115" t="n">
        <v>530</v>
      </c>
      <c r="J44" s="1115" t="s">
        <v>158</v>
      </c>
      <c r="L44" s="1115" t="n">
        <f aca="false">LOOKUP(M44,$E$6:$F$4002)</f>
        <v>90840</v>
      </c>
      <c r="M44" s="1115" t="s">
        <v>836</v>
      </c>
      <c r="N44" s="1127" t="n">
        <v>0.97</v>
      </c>
      <c r="O44" s="780" t="n">
        <v>26100</v>
      </c>
      <c r="P44" s="780" t="s">
        <v>159</v>
      </c>
      <c r="Q44" s="33" t="n">
        <v>4161</v>
      </c>
      <c r="U44" s="504" t="s">
        <v>159</v>
      </c>
      <c r="V44" s="2" t="n">
        <v>4161</v>
      </c>
      <c r="AA44" s="1124"/>
      <c r="AU44" s="1143"/>
      <c r="AV44" s="1143"/>
      <c r="AW44" s="1143"/>
      <c r="AX44" s="1143"/>
      <c r="AY44" s="1143"/>
      <c r="AZ44" s="1143"/>
    </row>
    <row r="45" customFormat="false" ht="20.65" hidden="false" customHeight="true" outlineLevel="0" collapsed="false">
      <c r="A45" s="1115" t="n">
        <v>520</v>
      </c>
      <c r="B45" s="1115" t="s">
        <v>158</v>
      </c>
      <c r="C45" s="1115" t="n">
        <v>520</v>
      </c>
      <c r="D45" s="1115" t="s">
        <v>158</v>
      </c>
      <c r="E45" s="1115" t="s">
        <v>837</v>
      </c>
      <c r="F45" s="1115" t="n">
        <v>27220</v>
      </c>
      <c r="G45" s="1115" t="n">
        <v>520</v>
      </c>
      <c r="H45" s="1115" t="s">
        <v>158</v>
      </c>
      <c r="I45" s="1115" t="n">
        <v>540</v>
      </c>
      <c r="J45" s="1115" t="s">
        <v>158</v>
      </c>
      <c r="L45" s="1115" t="n">
        <f aca="false">LOOKUP(M45,$E$6:$F$4002)</f>
        <v>51600</v>
      </c>
      <c r="M45" s="1115" t="s">
        <v>838</v>
      </c>
      <c r="N45" s="1127" t="n">
        <v>1.01</v>
      </c>
      <c r="O45" s="780" t="n">
        <v>99600</v>
      </c>
      <c r="P45" s="780" t="s">
        <v>170</v>
      </c>
      <c r="Q45" s="33" t="n">
        <v>6180</v>
      </c>
      <c r="U45" s="504" t="s">
        <v>170</v>
      </c>
      <c r="V45" s="2" t="n">
        <v>6180</v>
      </c>
      <c r="AA45" s="1124"/>
      <c r="AU45" s="1180" t="str">
        <f aca="false">"Energiakaivo, varamitoitus, "&amp;BERGHEAT!G17&amp;",  kaivosta tarvitaan "&amp;ROUND(AZ10)&amp;" kWh, valittu pumpputeho  "&amp;BERGHEAT!G59&amp;" kW"</f>
        <v>Energiakaivo, varamitoitus, Jyväskylä,  kaivosta tarvitaan 19028 kWh, valittu pumpputeho  9 kW</v>
      </c>
      <c r="AV45" s="1180"/>
      <c r="AW45" s="1180"/>
      <c r="AX45" s="1180"/>
      <c r="AY45" s="1180"/>
      <c r="AZ45" s="1180"/>
      <c r="BA45" s="1180"/>
    </row>
    <row r="46" customFormat="false" ht="14.1" hidden="false" customHeight="true" outlineLevel="0" collapsed="false">
      <c r="A46" s="1115" t="n">
        <v>530</v>
      </c>
      <c r="B46" s="1115" t="s">
        <v>158</v>
      </c>
      <c r="C46" s="1115" t="n">
        <v>530</v>
      </c>
      <c r="D46" s="1115" t="s">
        <v>158</v>
      </c>
      <c r="E46" s="1115" t="s">
        <v>839</v>
      </c>
      <c r="F46" s="1115" t="n">
        <v>93210</v>
      </c>
      <c r="G46" s="1115" t="n">
        <v>530</v>
      </c>
      <c r="H46" s="1115" t="s">
        <v>158</v>
      </c>
      <c r="I46" s="1115" t="n">
        <v>550</v>
      </c>
      <c r="J46" s="1115" t="s">
        <v>158</v>
      </c>
      <c r="L46" s="1115" t="n">
        <f aca="false">LOOKUP(M46,$E$6:$F$4002)</f>
        <v>12210</v>
      </c>
      <c r="M46" s="1115" t="s">
        <v>840</v>
      </c>
      <c r="N46" s="1127" t="n">
        <v>1</v>
      </c>
      <c r="O46" s="780" t="n">
        <v>30100</v>
      </c>
      <c r="P46" s="780" t="s">
        <v>161</v>
      </c>
      <c r="Q46" s="33" t="n">
        <v>4424</v>
      </c>
      <c r="U46" s="504" t="s">
        <v>161</v>
      </c>
      <c r="V46" s="2" t="n">
        <v>4424</v>
      </c>
      <c r="AA46" s="1124"/>
      <c r="AU46" s="1181" t="s">
        <v>841</v>
      </c>
      <c r="AV46" s="1181"/>
      <c r="AW46" s="1181"/>
      <c r="AX46" s="1181"/>
      <c r="AY46" s="1181"/>
      <c r="AZ46" s="1181"/>
      <c r="BA46" s="1181"/>
    </row>
    <row r="47" customFormat="false" ht="14.1" hidden="false" customHeight="true" outlineLevel="0" collapsed="false">
      <c r="A47" s="1115" t="n">
        <v>540</v>
      </c>
      <c r="B47" s="1115" t="s">
        <v>158</v>
      </c>
      <c r="C47" s="1115" t="n">
        <v>540</v>
      </c>
      <c r="D47" s="1115" t="s">
        <v>158</v>
      </c>
      <c r="E47" s="1115" t="s">
        <v>842</v>
      </c>
      <c r="F47" s="1115" t="n">
        <v>73850</v>
      </c>
      <c r="G47" s="1115" t="n">
        <v>540</v>
      </c>
      <c r="H47" s="1115" t="s">
        <v>158</v>
      </c>
      <c r="I47" s="1115" t="n">
        <v>560</v>
      </c>
      <c r="J47" s="1115" t="s">
        <v>158</v>
      </c>
      <c r="L47" s="1115" t="n">
        <f aca="false">LOOKUP(M47,$E$6:$F$4002)</f>
        <v>18300</v>
      </c>
      <c r="M47" s="1115" t="s">
        <v>843</v>
      </c>
      <c r="N47" s="1127" t="n">
        <v>1</v>
      </c>
      <c r="O47" s="780" t="n">
        <v>20100</v>
      </c>
      <c r="P47" s="780" t="s">
        <v>160</v>
      </c>
      <c r="Q47" s="33" t="n">
        <v>4021</v>
      </c>
      <c r="U47" s="504" t="s">
        <v>160</v>
      </c>
      <c r="V47" s="2" t="n">
        <v>4021</v>
      </c>
      <c r="AA47" s="1124"/>
      <c r="AU47" s="1149" t="s">
        <v>768</v>
      </c>
      <c r="AV47" s="1149"/>
      <c r="AW47" s="1149"/>
      <c r="AX47" s="1140" t="s">
        <v>769</v>
      </c>
      <c r="AY47" s="1140" t="s">
        <v>770</v>
      </c>
      <c r="AZ47" s="1140" t="s">
        <v>783</v>
      </c>
      <c r="BA47" s="1147" t="str">
        <f aca="false">IF(BA65&lt;50,"","Valittu  pumpputeho "&amp;BERGHEAT!G59&amp;" kW,  on liian iso tälle kaivolle!")</f>
        <v/>
      </c>
    </row>
    <row r="48" customFormat="false" ht="14.1" hidden="false" customHeight="true" outlineLevel="0" collapsed="false">
      <c r="A48" s="1115" t="n">
        <v>550</v>
      </c>
      <c r="B48" s="1115" t="s">
        <v>158</v>
      </c>
      <c r="C48" s="1115" t="n">
        <v>550</v>
      </c>
      <c r="D48" s="1115" t="s">
        <v>158</v>
      </c>
      <c r="E48" s="1115" t="s">
        <v>844</v>
      </c>
      <c r="F48" s="1115" t="n">
        <v>49960</v>
      </c>
      <c r="G48" s="1115" t="n">
        <v>550</v>
      </c>
      <c r="H48" s="1115" t="s">
        <v>158</v>
      </c>
      <c r="I48" s="1115" t="n">
        <v>570</v>
      </c>
      <c r="J48" s="1115" t="s">
        <v>158</v>
      </c>
      <c r="L48" s="1115" t="n">
        <f aca="false">LOOKUP(M48,$E$6:$F$4002)</f>
        <v>79710</v>
      </c>
      <c r="M48" s="1115" t="s">
        <v>845</v>
      </c>
      <c r="N48" s="1127" t="n">
        <v>1.03</v>
      </c>
      <c r="O48" s="780" t="n">
        <v>65100</v>
      </c>
      <c r="P48" s="780" t="s">
        <v>165</v>
      </c>
      <c r="Q48" s="33" t="n">
        <v>4469</v>
      </c>
      <c r="U48" s="504" t="s">
        <v>165</v>
      </c>
      <c r="V48" s="2" t="n">
        <v>4469</v>
      </c>
      <c r="AA48" s="1124"/>
      <c r="AU48" s="102" t="s">
        <v>773</v>
      </c>
      <c r="AV48" s="102"/>
      <c r="AW48" s="102"/>
      <c r="AX48" s="1151" t="n">
        <f aca="false">BERGHEAT!E104</f>
        <v>10</v>
      </c>
      <c r="AY48" s="1152" t="n">
        <f aca="false">BERGHEAT!E105</f>
        <v>1.5</v>
      </c>
      <c r="AZ48" s="1182" t="s">
        <v>774</v>
      </c>
      <c r="BA48" s="1147"/>
    </row>
    <row r="49" customFormat="false" ht="14.1" hidden="false" customHeight="true" outlineLevel="0" collapsed="false">
      <c r="A49" s="1115" t="n">
        <v>560</v>
      </c>
      <c r="B49" s="1115" t="s">
        <v>158</v>
      </c>
      <c r="C49" s="1115" t="n">
        <v>560</v>
      </c>
      <c r="D49" s="1115" t="s">
        <v>158</v>
      </c>
      <c r="E49" s="1115" t="s">
        <v>846</v>
      </c>
      <c r="F49" s="1115" t="n">
        <v>62620</v>
      </c>
      <c r="G49" s="1115" t="n">
        <v>560</v>
      </c>
      <c r="H49" s="1115" t="s">
        <v>158</v>
      </c>
      <c r="I49" s="1115" t="n">
        <v>580</v>
      </c>
      <c r="J49" s="1115" t="s">
        <v>158</v>
      </c>
      <c r="L49" s="1115" t="n">
        <f aca="false">LOOKUP(M49,$E$6:$F$4002)</f>
        <v>990</v>
      </c>
      <c r="M49" s="1115" t="s">
        <v>158</v>
      </c>
      <c r="N49" s="1127" t="n">
        <v>1</v>
      </c>
      <c r="O49" s="780" t="n">
        <v>1200</v>
      </c>
      <c r="P49" s="780" t="s">
        <v>157</v>
      </c>
      <c r="Q49" s="33" t="n">
        <v>4097</v>
      </c>
      <c r="U49" s="504" t="s">
        <v>157</v>
      </c>
      <c r="V49" s="2" t="n">
        <v>4097</v>
      </c>
      <c r="AA49" s="1124"/>
      <c r="AU49" s="102" t="s">
        <v>777</v>
      </c>
      <c r="AV49" s="102"/>
      <c r="AW49" s="102"/>
      <c r="AX49" s="1154" t="n">
        <f aca="false">BERGHEAT!E108</f>
        <v>5.22946860165469</v>
      </c>
      <c r="AY49" s="1152" t="n">
        <f aca="false">BERGHEAT!E111</f>
        <v>2.5</v>
      </c>
      <c r="AZ49" s="1153" t="s">
        <v>778</v>
      </c>
      <c r="BA49" s="1147"/>
    </row>
    <row r="50" customFormat="false" ht="14.1" hidden="false" customHeight="true" outlineLevel="0" collapsed="false">
      <c r="A50" s="1115" t="n">
        <v>570</v>
      </c>
      <c r="B50" s="1115" t="s">
        <v>158</v>
      </c>
      <c r="C50" s="1115" t="n">
        <v>570</v>
      </c>
      <c r="D50" s="1115" t="s">
        <v>158</v>
      </c>
      <c r="E50" s="1115" t="s">
        <v>847</v>
      </c>
      <c r="F50" s="1115" t="n">
        <v>73880</v>
      </c>
      <c r="G50" s="1115" t="n">
        <v>570</v>
      </c>
      <c r="H50" s="1115" t="s">
        <v>158</v>
      </c>
      <c r="I50" s="1115" t="n">
        <v>590</v>
      </c>
      <c r="J50" s="1115" t="s">
        <v>158</v>
      </c>
      <c r="L50" s="1115" t="n">
        <f aca="false">LOOKUP(M50,$E$6:$F$4002)</f>
        <v>68100</v>
      </c>
      <c r="M50" s="1115" t="s">
        <v>848</v>
      </c>
      <c r="N50" s="1127" t="n">
        <v>1.03</v>
      </c>
      <c r="P50" s="1117"/>
      <c r="AA50" s="1124"/>
      <c r="AU50" s="366" t="s">
        <v>782</v>
      </c>
      <c r="AV50" s="366"/>
      <c r="AW50" s="366"/>
      <c r="AX50" s="1155" t="s">
        <v>783</v>
      </c>
      <c r="AY50" s="1183" t="s">
        <v>784</v>
      </c>
      <c r="AZ50" s="1184" t="s">
        <v>784</v>
      </c>
      <c r="BA50" s="1147"/>
    </row>
    <row r="51" customFormat="false" ht="14.1" hidden="false" customHeight="true" outlineLevel="0" collapsed="false">
      <c r="A51" s="1115" t="n">
        <v>580</v>
      </c>
      <c r="B51" s="1115" t="s">
        <v>158</v>
      </c>
      <c r="C51" s="1115" t="n">
        <v>580</v>
      </c>
      <c r="D51" s="1115" t="s">
        <v>158</v>
      </c>
      <c r="E51" s="1115" t="s">
        <v>849</v>
      </c>
      <c r="F51" s="1115" t="n">
        <v>93187</v>
      </c>
      <c r="G51" s="1115" t="n">
        <v>580</v>
      </c>
      <c r="H51" s="1115" t="s">
        <v>158</v>
      </c>
      <c r="I51" s="1115" t="n">
        <v>600</v>
      </c>
      <c r="J51" s="1115" t="s">
        <v>158</v>
      </c>
      <c r="L51" s="1115" t="n">
        <f aca="false">LOOKUP(M51,$E$6:$F$4002)</f>
        <v>52550</v>
      </c>
      <c r="M51" s="1115" t="s">
        <v>850</v>
      </c>
      <c r="N51" s="1127" t="n">
        <v>0.97</v>
      </c>
      <c r="P51" s="1117"/>
      <c r="AA51" s="1124"/>
      <c r="AU51" s="366"/>
      <c r="AV51" s="366"/>
      <c r="AW51" s="366"/>
      <c r="AX51" s="1155"/>
      <c r="AY51" s="1159" t="s">
        <v>851</v>
      </c>
      <c r="AZ51" s="1158" t="s">
        <v>789</v>
      </c>
      <c r="BA51" s="1147"/>
    </row>
    <row r="52" customFormat="false" ht="14.1" hidden="false" customHeight="true" outlineLevel="0" collapsed="false">
      <c r="A52" s="1115" t="n">
        <v>590</v>
      </c>
      <c r="B52" s="1115" t="s">
        <v>158</v>
      </c>
      <c r="C52" s="1115" t="n">
        <v>590</v>
      </c>
      <c r="D52" s="1115" t="s">
        <v>158</v>
      </c>
      <c r="E52" s="1115" t="s">
        <v>852</v>
      </c>
      <c r="F52" s="1115" t="n">
        <v>58690</v>
      </c>
      <c r="G52" s="1115" t="n">
        <v>590</v>
      </c>
      <c r="H52" s="1115" t="s">
        <v>158</v>
      </c>
      <c r="I52" s="1115" t="n">
        <v>610</v>
      </c>
      <c r="J52" s="1115" t="s">
        <v>158</v>
      </c>
      <c r="L52" s="1115" t="n">
        <f aca="false">LOOKUP(M52,$E$6:$F$4002)</f>
        <v>16710</v>
      </c>
      <c r="M52" s="1115" t="s">
        <v>853</v>
      </c>
      <c r="N52" s="1127" t="n">
        <v>0.98</v>
      </c>
      <c r="P52" s="1117"/>
      <c r="AA52" s="1124"/>
      <c r="AU52" s="62" t="s">
        <v>352</v>
      </c>
      <c r="AV52" s="62"/>
      <c r="AW52" s="62"/>
      <c r="AX52" s="1160" t="str">
        <f aca="false">0&amp;" - "&amp;INT(BERGHEAT!E115)&amp;" m"</f>
        <v>0 - 10 m</v>
      </c>
      <c r="AY52" s="1161" t="n">
        <f aca="false">BERGHEAT!G132</f>
        <v>37.4076491564032</v>
      </c>
      <c r="AZ52" s="598" t="n">
        <f aca="false">BERGHEAT!F132</f>
        <v>374.076491564032</v>
      </c>
      <c r="BA52" s="1147"/>
    </row>
    <row r="53" customFormat="false" ht="14.1" hidden="false" customHeight="true" outlineLevel="0" collapsed="false">
      <c r="A53" s="1115" t="n">
        <v>600</v>
      </c>
      <c r="B53" s="1115" t="s">
        <v>158</v>
      </c>
      <c r="C53" s="1115" t="n">
        <v>600</v>
      </c>
      <c r="D53" s="1115" t="s">
        <v>158</v>
      </c>
      <c r="E53" s="1115" t="s">
        <v>854</v>
      </c>
      <c r="F53" s="1115" t="n">
        <v>91930</v>
      </c>
      <c r="G53" s="1115" t="n">
        <v>600</v>
      </c>
      <c r="H53" s="1115" t="s">
        <v>158</v>
      </c>
      <c r="I53" s="1115" t="n">
        <v>620</v>
      </c>
      <c r="J53" s="1115" t="s">
        <v>158</v>
      </c>
      <c r="L53" s="1115" t="n">
        <f aca="false">LOOKUP(M53,$E$6:$F$4002)</f>
        <v>38950</v>
      </c>
      <c r="M53" s="1115" t="s">
        <v>855</v>
      </c>
      <c r="N53" s="1127" t="n">
        <v>0.96</v>
      </c>
      <c r="O53" s="1117" t="s">
        <v>805</v>
      </c>
      <c r="P53" s="1117" t="s">
        <v>805</v>
      </c>
      <c r="AA53" s="1124"/>
      <c r="AU53" s="62" t="s">
        <v>355</v>
      </c>
      <c r="AV53" s="62"/>
      <c r="AW53" s="62"/>
      <c r="AX53" s="1160" t="str">
        <f aca="false">INT(BERGHEAT!D116)&amp;" - "&amp;INT(BERGHEAT!E133)&amp;" m"</f>
        <v>10 - 20 m</v>
      </c>
      <c r="AY53" s="1161" t="n">
        <f aca="false">BERGHEAT!G133</f>
        <v>66.8675455446051</v>
      </c>
      <c r="AZ53" s="598" t="n">
        <f aca="false">BERGHEAT!F133</f>
        <v>668.675455446051</v>
      </c>
      <c r="BA53" s="1147"/>
    </row>
    <row r="54" customFormat="false" ht="14.1" hidden="false" customHeight="true" outlineLevel="0" collapsed="false">
      <c r="A54" s="1115" t="n">
        <v>610</v>
      </c>
      <c r="B54" s="1115" t="s">
        <v>158</v>
      </c>
      <c r="C54" s="1115" t="n">
        <v>610</v>
      </c>
      <c r="D54" s="1115" t="s">
        <v>158</v>
      </c>
      <c r="E54" s="1115" t="s">
        <v>856</v>
      </c>
      <c r="F54" s="1115" t="n">
        <v>61640</v>
      </c>
      <c r="G54" s="1115" t="n">
        <v>610</v>
      </c>
      <c r="H54" s="1115" t="s">
        <v>158</v>
      </c>
      <c r="I54" s="1115" t="n">
        <v>630</v>
      </c>
      <c r="J54" s="1115" t="s">
        <v>158</v>
      </c>
      <c r="L54" s="1115" t="n">
        <f aca="false">LOOKUP(M54,$E$6:$F$4002)</f>
        <v>21760</v>
      </c>
      <c r="M54" s="1115" t="s">
        <v>857</v>
      </c>
      <c r="N54" s="1127" t="n">
        <v>1</v>
      </c>
      <c r="O54" s="2" t="s">
        <v>809</v>
      </c>
      <c r="P54" s="1117" t="s">
        <v>271</v>
      </c>
      <c r="Q54" s="1117" t="s">
        <v>174</v>
      </c>
      <c r="U54" s="1117" t="s">
        <v>805</v>
      </c>
      <c r="AA54" s="1124"/>
      <c r="AU54" s="62" t="s">
        <v>359</v>
      </c>
      <c r="AV54" s="62"/>
      <c r="AW54" s="62"/>
      <c r="AX54" s="1160" t="str">
        <f aca="false">INT(BERGHEAT!D117)&amp;" - "&amp;INT(BERGHEAT!D138)&amp;" m"</f>
        <v>20 - 236 m</v>
      </c>
      <c r="AY54" s="1161" t="n">
        <f aca="false">BERGHEAT!G134</f>
        <v>82.9721174257423</v>
      </c>
      <c r="AZ54" s="598" t="n">
        <f aca="false">BERGHEAT!F134</f>
        <v>17921.9773639603</v>
      </c>
      <c r="BA54" s="1147"/>
    </row>
    <row r="55" customFormat="false" ht="14.1" hidden="false" customHeight="true" outlineLevel="0" collapsed="false">
      <c r="A55" s="1115" t="n">
        <v>620</v>
      </c>
      <c r="B55" s="1115" t="s">
        <v>158</v>
      </c>
      <c r="C55" s="1115" t="n">
        <v>620</v>
      </c>
      <c r="D55" s="1115" t="s">
        <v>158</v>
      </c>
      <c r="E55" s="1115" t="s">
        <v>858</v>
      </c>
      <c r="F55" s="1115" t="n">
        <v>68240</v>
      </c>
      <c r="G55" s="1115" t="n">
        <v>620</v>
      </c>
      <c r="H55" s="1115" t="s">
        <v>158</v>
      </c>
      <c r="I55" s="1115" t="n">
        <v>640</v>
      </c>
      <c r="J55" s="1115" t="s">
        <v>158</v>
      </c>
      <c r="L55" s="1115" t="n">
        <f aca="false">LOOKUP(M55,$E$6:$F$4002)</f>
        <v>32700</v>
      </c>
      <c r="M55" s="1115" t="s">
        <v>859</v>
      </c>
      <c r="N55" s="1127" t="n">
        <v>1.01</v>
      </c>
      <c r="O55" s="780" t="n">
        <v>1000</v>
      </c>
      <c r="P55" s="780" t="s">
        <v>158</v>
      </c>
      <c r="Q55" s="33" t="n">
        <v>647</v>
      </c>
      <c r="U55" s="504" t="s">
        <v>158</v>
      </c>
      <c r="V55" s="2" t="n">
        <v>647</v>
      </c>
      <c r="AA55" s="1124"/>
      <c r="AU55" s="1163" t="s">
        <v>800</v>
      </c>
      <c r="AV55" s="1163"/>
      <c r="AW55" s="1163"/>
      <c r="AX55" s="585" t="n">
        <f aca="false">BERGHEAT!D138</f>
        <v>236</v>
      </c>
      <c r="AY55" s="1164" t="n">
        <f aca="false">BERGHEAT!G135</f>
        <v>80.3590225041119</v>
      </c>
      <c r="AZ55" s="1185" t="n">
        <f aca="false">BERGHEAT!F135</f>
        <v>18964.7293109704</v>
      </c>
      <c r="BA55" s="1147"/>
    </row>
    <row r="56" customFormat="false" ht="14.1" hidden="false" customHeight="true" outlineLevel="0" collapsed="false">
      <c r="A56" s="1115" t="n">
        <v>630</v>
      </c>
      <c r="B56" s="1115" t="s">
        <v>158</v>
      </c>
      <c r="C56" s="1115" t="n">
        <v>630</v>
      </c>
      <c r="D56" s="1115" t="s">
        <v>158</v>
      </c>
      <c r="E56" s="1115" t="s">
        <v>860</v>
      </c>
      <c r="F56" s="1115" t="n">
        <v>89830</v>
      </c>
      <c r="G56" s="1115" t="n">
        <v>630</v>
      </c>
      <c r="H56" s="1115" t="s">
        <v>158</v>
      </c>
      <c r="I56" s="1115" t="n">
        <v>650</v>
      </c>
      <c r="J56" s="1115" t="s">
        <v>158</v>
      </c>
      <c r="L56" s="1115" t="n">
        <f aca="false">LOOKUP(M56,$E$6:$F$4002)</f>
        <v>31640</v>
      </c>
      <c r="M56" s="1115" t="s">
        <v>861</v>
      </c>
      <c r="N56" s="1127" t="n">
        <v>1.01</v>
      </c>
      <c r="O56" s="780" t="n">
        <v>99800</v>
      </c>
      <c r="P56" s="780" t="s">
        <v>171</v>
      </c>
      <c r="Q56" s="33" t="n">
        <v>923</v>
      </c>
      <c r="U56" s="504" t="s">
        <v>171</v>
      </c>
      <c r="V56" s="2" t="n">
        <v>923</v>
      </c>
      <c r="AA56" s="1124"/>
      <c r="AU56" s="13" t="s">
        <v>418</v>
      </c>
      <c r="AV56" s="13"/>
      <c r="AW56" s="1166" t="n">
        <f aca="false">BERGHEAT!D138</f>
        <v>236</v>
      </c>
      <c r="AX56" s="434" t="n">
        <f aca="false">BERGHEAT!F135</f>
        <v>18964.7293109704</v>
      </c>
      <c r="AY56" s="1167" t="n">
        <f aca="false">BERGHEAT!F138</f>
        <v>80.6254494093477</v>
      </c>
      <c r="AZ56" s="1168" t="n">
        <f aca="false">BERGHEAT!F145</f>
        <v>9.20381842572463</v>
      </c>
      <c r="BA56" s="1170" t="n">
        <f aca="false">BERGHEAT!G145</f>
        <v>1.48874532398278</v>
      </c>
    </row>
    <row r="57" customFormat="false" ht="14.1" hidden="false" customHeight="true" outlineLevel="0" collapsed="false">
      <c r="A57" s="1115" t="n">
        <v>640</v>
      </c>
      <c r="B57" s="1115" t="s">
        <v>158</v>
      </c>
      <c r="C57" s="1115" t="n">
        <v>640</v>
      </c>
      <c r="D57" s="1115" t="s">
        <v>158</v>
      </c>
      <c r="E57" s="1115" t="s">
        <v>862</v>
      </c>
      <c r="F57" s="1115" t="n">
        <v>91350</v>
      </c>
      <c r="G57" s="1115" t="n">
        <v>640</v>
      </c>
      <c r="H57" s="1115" t="s">
        <v>158</v>
      </c>
      <c r="I57" s="1115" t="n">
        <v>660</v>
      </c>
      <c r="J57" s="1115" t="s">
        <v>158</v>
      </c>
      <c r="L57" s="1115" t="n">
        <f aca="false">LOOKUP(M57,$E$6:$F$4002)</f>
        <v>89400</v>
      </c>
      <c r="M57" s="1115" t="s">
        <v>863</v>
      </c>
      <c r="N57" s="1127" t="n">
        <v>0.96</v>
      </c>
      <c r="O57" s="780" t="n">
        <v>80100</v>
      </c>
      <c r="P57" s="780" t="s">
        <v>167</v>
      </c>
      <c r="Q57" s="33" t="n">
        <v>826</v>
      </c>
      <c r="U57" s="504" t="s">
        <v>167</v>
      </c>
      <c r="V57" s="2" t="n">
        <v>826</v>
      </c>
      <c r="AA57" s="1124"/>
      <c r="AU57" s="248" t="s">
        <v>813</v>
      </c>
      <c r="AV57" s="248"/>
      <c r="AW57" s="248"/>
      <c r="AX57" s="248"/>
      <c r="AY57" s="248"/>
      <c r="AZ57" s="248"/>
      <c r="BA57" s="248"/>
    </row>
    <row r="58" customFormat="false" ht="14.1" hidden="false" customHeight="true" outlineLevel="0" collapsed="false">
      <c r="A58" s="1115" t="n">
        <v>650</v>
      </c>
      <c r="B58" s="1115" t="s">
        <v>158</v>
      </c>
      <c r="C58" s="1115" t="n">
        <v>650</v>
      </c>
      <c r="D58" s="1115" t="s">
        <v>158</v>
      </c>
      <c r="E58" s="1115" t="s">
        <v>704</v>
      </c>
      <c r="F58" s="1115" t="n">
        <v>62900</v>
      </c>
      <c r="G58" s="1115" t="n">
        <v>650</v>
      </c>
      <c r="H58" s="1115" t="s">
        <v>158</v>
      </c>
      <c r="I58" s="1115" t="n">
        <v>670</v>
      </c>
      <c r="J58" s="1115" t="s">
        <v>158</v>
      </c>
      <c r="L58" s="1115" t="n">
        <f aca="false">LOOKUP(M58,$E$6:$F$4002)</f>
        <v>5950</v>
      </c>
      <c r="M58" s="1115" t="s">
        <v>864</v>
      </c>
      <c r="N58" s="1127" t="n">
        <v>1.01</v>
      </c>
      <c r="O58" s="780" t="n">
        <v>40100</v>
      </c>
      <c r="P58" s="780" t="s">
        <v>164</v>
      </c>
      <c r="Q58" s="33" t="n">
        <v>785</v>
      </c>
      <c r="U58" s="504" t="s">
        <v>164</v>
      </c>
      <c r="V58" s="2" t="n">
        <v>785</v>
      </c>
      <c r="AA58" s="1124"/>
      <c r="AU58" s="1172" t="s">
        <v>816</v>
      </c>
      <c r="AV58" s="1172"/>
      <c r="AW58" s="65" t="s">
        <v>282</v>
      </c>
      <c r="AX58" s="65" t="s">
        <v>817</v>
      </c>
      <c r="AY58" s="65" t="s">
        <v>818</v>
      </c>
      <c r="AZ58" s="65" t="s">
        <v>819</v>
      </c>
      <c r="BA58" s="65" t="s">
        <v>176</v>
      </c>
    </row>
    <row r="59" customFormat="false" ht="14.1" hidden="false" customHeight="true" outlineLevel="0" collapsed="false">
      <c r="A59" s="1115" t="n">
        <v>660</v>
      </c>
      <c r="B59" s="1115" t="s">
        <v>158</v>
      </c>
      <c r="C59" s="1115" t="n">
        <v>660</v>
      </c>
      <c r="D59" s="1115" t="s">
        <v>158</v>
      </c>
      <c r="E59" s="1115" t="s">
        <v>865</v>
      </c>
      <c r="F59" s="1115" t="n">
        <v>97470</v>
      </c>
      <c r="G59" s="1115" t="n">
        <v>660</v>
      </c>
      <c r="H59" s="1115" t="s">
        <v>158</v>
      </c>
      <c r="I59" s="1115" t="n">
        <v>680</v>
      </c>
      <c r="J59" s="1115" t="s">
        <v>158</v>
      </c>
      <c r="L59" s="1115" t="n">
        <f aca="false">LOOKUP(M59,$E$6:$F$4002)</f>
        <v>58270</v>
      </c>
      <c r="M59" s="1115" t="s">
        <v>866</v>
      </c>
      <c r="N59" s="1127" t="n">
        <v>0.98</v>
      </c>
      <c r="O59" s="780" t="n">
        <v>84100</v>
      </c>
      <c r="P59" s="780" t="s">
        <v>168</v>
      </c>
      <c r="Q59" s="33" t="n">
        <v>864</v>
      </c>
      <c r="U59" s="504" t="s">
        <v>168</v>
      </c>
      <c r="V59" s="2" t="n">
        <v>864</v>
      </c>
      <c r="AA59" s="1124"/>
      <c r="AU59" s="108" t="str">
        <f aca="false">BERGHEAT!B139</f>
        <v>Kaivo # 1</v>
      </c>
      <c r="AV59" s="108"/>
      <c r="AW59" s="1151" t="n">
        <f aca="false">BERGHEAT!D139</f>
        <v>236</v>
      </c>
      <c r="AX59" s="1167" t="n">
        <f aca="false">BERGHEAT!F139</f>
        <v>80.6254494093477</v>
      </c>
      <c r="AY59" s="434" t="n">
        <f aca="false">BERGHEAT!E139</f>
        <v>19027.6060606061</v>
      </c>
      <c r="AZ59" s="1173" t="n">
        <f aca="false">IF(AW59="","",$AZ$11/$AZ$10*AY59)</f>
        <v>8829.39393939394</v>
      </c>
      <c r="BA59" s="434" t="n">
        <f aca="false">IF(AW59="","",SUM(AY59:AZ59))</f>
        <v>27857</v>
      </c>
    </row>
    <row r="60" customFormat="false" ht="14.1" hidden="false" customHeight="true" outlineLevel="0" collapsed="false">
      <c r="A60" s="1115" t="n">
        <v>670</v>
      </c>
      <c r="B60" s="1115" t="s">
        <v>158</v>
      </c>
      <c r="C60" s="1115" t="n">
        <v>670</v>
      </c>
      <c r="D60" s="1115" t="s">
        <v>158</v>
      </c>
      <c r="E60" s="1115" t="s">
        <v>867</v>
      </c>
      <c r="F60" s="1115" t="n">
        <v>95255</v>
      </c>
      <c r="G60" s="1115" t="n">
        <v>670</v>
      </c>
      <c r="H60" s="1115" t="s">
        <v>158</v>
      </c>
      <c r="I60" s="1115" t="n">
        <v>690</v>
      </c>
      <c r="J60" s="1115" t="s">
        <v>158</v>
      </c>
      <c r="L60" s="1115" t="n">
        <f aca="false">LOOKUP(M60,$E$6:$F$4002)</f>
        <v>39100</v>
      </c>
      <c r="M60" s="1115" t="s">
        <v>868</v>
      </c>
      <c r="N60" s="1127" t="n">
        <v>0.98</v>
      </c>
      <c r="O60" s="780" t="n">
        <v>70100</v>
      </c>
      <c r="P60" s="780" t="s">
        <v>166</v>
      </c>
      <c r="Q60" s="33" t="n">
        <v>812</v>
      </c>
      <c r="U60" s="504" t="s">
        <v>166</v>
      </c>
      <c r="V60" s="2" t="n">
        <v>812</v>
      </c>
      <c r="AA60" s="1124"/>
      <c r="AU60" s="108" t="str">
        <f aca="false">BERGHEAT!B140</f>
        <v/>
      </c>
      <c r="AV60" s="108"/>
      <c r="AW60" s="1151" t="str">
        <f aca="false">BERGHEAT!D140</f>
        <v/>
      </c>
      <c r="AX60" s="1167" t="str">
        <f aca="false">BERGHEAT!F140</f>
        <v/>
      </c>
      <c r="AY60" s="434" t="str">
        <f aca="false">BERGHEAT!E140</f>
        <v/>
      </c>
      <c r="AZ60" s="1173" t="str">
        <f aca="false">IF(AW60="","",$AZ$11/$AZ$10*AY60)</f>
        <v/>
      </c>
      <c r="BA60" s="434" t="str">
        <f aca="false">IF(AW60="","",SUM(AY60:AZ60))</f>
        <v/>
      </c>
    </row>
    <row r="61" customFormat="false" ht="14.1" hidden="false" customHeight="true" outlineLevel="0" collapsed="false">
      <c r="A61" s="1115" t="n">
        <v>680</v>
      </c>
      <c r="B61" s="1115" t="s">
        <v>158</v>
      </c>
      <c r="C61" s="1115" t="n">
        <v>680</v>
      </c>
      <c r="D61" s="1115" t="s">
        <v>158</v>
      </c>
      <c r="E61" s="1115" t="s">
        <v>869</v>
      </c>
      <c r="F61" s="1115" t="n">
        <v>71910</v>
      </c>
      <c r="G61" s="1115" t="n">
        <v>680</v>
      </c>
      <c r="H61" s="1115" t="s">
        <v>158</v>
      </c>
      <c r="I61" s="1115" t="n">
        <v>700</v>
      </c>
      <c r="J61" s="1115" t="s">
        <v>158</v>
      </c>
      <c r="L61" s="1115" t="n">
        <f aca="false">LOOKUP(M61,$E$6:$F$4002)</f>
        <v>13600</v>
      </c>
      <c r="M61" s="1115" t="s">
        <v>870</v>
      </c>
      <c r="N61" s="1127" t="n">
        <v>1</v>
      </c>
      <c r="O61" s="780" t="n">
        <v>45100</v>
      </c>
      <c r="P61" s="780" t="s">
        <v>162</v>
      </c>
      <c r="Q61" s="33" t="n">
        <v>726</v>
      </c>
      <c r="U61" s="504" t="s">
        <v>162</v>
      </c>
      <c r="V61" s="2" t="n">
        <v>726</v>
      </c>
      <c r="AA61" s="1124"/>
      <c r="AU61" s="108" t="str">
        <f aca="false">BERGHEAT!B141</f>
        <v/>
      </c>
      <c r="AV61" s="108"/>
      <c r="AW61" s="1151" t="str">
        <f aca="false">BERGHEAT!D141</f>
        <v/>
      </c>
      <c r="AX61" s="1167" t="str">
        <f aca="false">BERGHEAT!F141</f>
        <v/>
      </c>
      <c r="AY61" s="434" t="str">
        <f aca="false">BERGHEAT!E141</f>
        <v/>
      </c>
      <c r="AZ61" s="1173" t="str">
        <f aca="false">IF(AW61="","",$AZ$11/$AZ$10*AY61)</f>
        <v/>
      </c>
      <c r="BA61" s="434" t="str">
        <f aca="false">IF(AW61="","",SUM(AY61:AZ61))</f>
        <v/>
      </c>
    </row>
    <row r="62" customFormat="false" ht="14.1" hidden="false" customHeight="true" outlineLevel="0" collapsed="false">
      <c r="A62" s="1115" t="n">
        <v>690</v>
      </c>
      <c r="B62" s="1115" t="s">
        <v>158</v>
      </c>
      <c r="C62" s="1115" t="n">
        <v>690</v>
      </c>
      <c r="D62" s="1115" t="s">
        <v>158</v>
      </c>
      <c r="E62" s="1115" t="s">
        <v>871</v>
      </c>
      <c r="F62" s="1115" t="n">
        <v>39780</v>
      </c>
      <c r="G62" s="1115" t="n">
        <v>690</v>
      </c>
      <c r="H62" s="1115" t="s">
        <v>158</v>
      </c>
      <c r="I62" s="1115" t="n">
        <v>710</v>
      </c>
      <c r="J62" s="1115" t="s">
        <v>158</v>
      </c>
      <c r="L62" s="1115" t="n">
        <f aca="false">LOOKUP(M62,$E$6:$F$4002)</f>
        <v>91110</v>
      </c>
      <c r="M62" s="1115" t="s">
        <v>872</v>
      </c>
      <c r="N62" s="1127" t="n">
        <v>0.96</v>
      </c>
      <c r="O62" s="780" t="n">
        <v>50100</v>
      </c>
      <c r="P62" s="780" t="s">
        <v>163</v>
      </c>
      <c r="Q62" s="33" t="n">
        <v>759</v>
      </c>
      <c r="U62" s="504" t="s">
        <v>163</v>
      </c>
      <c r="V62" s="2" t="n">
        <v>759</v>
      </c>
      <c r="AA62" s="1124"/>
      <c r="AU62" s="108" t="str">
        <f aca="false">BERGHEAT!B142</f>
        <v/>
      </c>
      <c r="AV62" s="108"/>
      <c r="AW62" s="1151" t="str">
        <f aca="false">BERGHEAT!D142</f>
        <v/>
      </c>
      <c r="AX62" s="1167" t="str">
        <f aca="false">BERGHEAT!F142</f>
        <v/>
      </c>
      <c r="AY62" s="434" t="str">
        <f aca="false">BERGHEAT!E142</f>
        <v/>
      </c>
      <c r="AZ62" s="1173" t="str">
        <f aca="false">IF(AW62="","",$AZ$11/$AZ$10*AY62)</f>
        <v/>
      </c>
      <c r="BA62" s="434" t="str">
        <f aca="false">IF(AW62="","",SUM(AY62:AZ62))</f>
        <v/>
      </c>
    </row>
    <row r="63" customFormat="false" ht="14.1" hidden="false" customHeight="true" outlineLevel="0" collapsed="false">
      <c r="A63" s="1115" t="n">
        <v>700</v>
      </c>
      <c r="B63" s="1115" t="s">
        <v>158</v>
      </c>
      <c r="C63" s="1115" t="n">
        <v>700</v>
      </c>
      <c r="D63" s="1115" t="s">
        <v>158</v>
      </c>
      <c r="E63" s="1115" t="s">
        <v>873</v>
      </c>
      <c r="F63" s="1115" t="n">
        <v>63780</v>
      </c>
      <c r="G63" s="1115" t="n">
        <v>700</v>
      </c>
      <c r="H63" s="1115" t="s">
        <v>158</v>
      </c>
      <c r="I63" s="1115" t="n">
        <v>720</v>
      </c>
      <c r="J63" s="1115" t="s">
        <v>158</v>
      </c>
      <c r="L63" s="1115" t="n">
        <f aca="false">LOOKUP(M63,$E$6:$F$4002)</f>
        <v>74130</v>
      </c>
      <c r="M63" s="1115" t="s">
        <v>874</v>
      </c>
      <c r="N63" s="1127" t="n">
        <v>0.96</v>
      </c>
      <c r="O63" s="780" t="n">
        <v>20100</v>
      </c>
      <c r="P63" s="780" t="s">
        <v>156</v>
      </c>
      <c r="Q63" s="33" t="n">
        <v>592</v>
      </c>
      <c r="U63" s="504" t="s">
        <v>156</v>
      </c>
      <c r="V63" s="2" t="n">
        <v>592</v>
      </c>
      <c r="AA63" s="1124"/>
      <c r="AU63" s="7" t="s">
        <v>827</v>
      </c>
      <c r="AV63" s="7"/>
      <c r="AW63" s="1174" t="n">
        <f aca="false">SUM(AW59:AW62)</f>
        <v>236</v>
      </c>
      <c r="AX63" s="1175" t="n">
        <f aca="false">BERGHEAT!F143</f>
        <v>80.6254494093477</v>
      </c>
      <c r="AY63" s="382" t="n">
        <f aca="false">SUM(AY59:AY62)</f>
        <v>19027.6060606061</v>
      </c>
      <c r="AZ63" s="382" t="n">
        <f aca="false">SUM(AZ59:AZ62)</f>
        <v>8829.39393939394</v>
      </c>
      <c r="BA63" s="382" t="n">
        <f aca="false">SUM(BA59:BA62)</f>
        <v>27857</v>
      </c>
    </row>
    <row r="64" customFormat="false" ht="14.1" hidden="false" customHeight="true" outlineLevel="0" collapsed="false">
      <c r="A64" s="1115" t="n">
        <v>710</v>
      </c>
      <c r="B64" s="1115" t="s">
        <v>158</v>
      </c>
      <c r="C64" s="1115" t="n">
        <v>710</v>
      </c>
      <c r="D64" s="1115" t="s">
        <v>158</v>
      </c>
      <c r="E64" s="1115" t="s">
        <v>717</v>
      </c>
      <c r="F64" s="1115" t="n">
        <v>32440</v>
      </c>
      <c r="G64" s="1115" t="n">
        <v>710</v>
      </c>
      <c r="H64" s="1115" t="s">
        <v>158</v>
      </c>
      <c r="I64" s="1115" t="n">
        <v>730</v>
      </c>
      <c r="J64" s="1115" t="s">
        <v>158</v>
      </c>
      <c r="L64" s="1115" t="n">
        <f aca="false">LOOKUP(M64,$E$6:$F$4002)</f>
        <v>47570</v>
      </c>
      <c r="M64" s="1115" t="s">
        <v>875</v>
      </c>
      <c r="N64" s="1127" t="n">
        <v>1</v>
      </c>
      <c r="O64" s="780" t="n">
        <v>90100</v>
      </c>
      <c r="P64" s="780" t="s">
        <v>169</v>
      </c>
      <c r="Q64" s="33" t="n">
        <v>824</v>
      </c>
      <c r="U64" s="504" t="s">
        <v>169</v>
      </c>
      <c r="V64" s="2" t="n">
        <v>824</v>
      </c>
      <c r="AA64" s="1124"/>
      <c r="AU64" s="1145" t="s">
        <v>876</v>
      </c>
      <c r="AV64" s="1145"/>
      <c r="AW64" s="1145"/>
      <c r="AX64" s="1145"/>
      <c r="AY64" s="1145"/>
      <c r="AZ64" s="1186" t="n">
        <f aca="false">AZ10/(24*365)</f>
        <v>2.17210114847101</v>
      </c>
      <c r="BA64" s="1169" t="n">
        <f aca="false">1000*AZ10/(AW63*24*365)</f>
        <v>9.20381842572462</v>
      </c>
    </row>
    <row r="65" customFormat="false" ht="14.1" hidden="false" customHeight="true" outlineLevel="0" collapsed="false">
      <c r="A65" s="1115" t="n">
        <v>720</v>
      </c>
      <c r="B65" s="1115" t="s">
        <v>158</v>
      </c>
      <c r="C65" s="1115" t="n">
        <v>720</v>
      </c>
      <c r="D65" s="1115" t="s">
        <v>158</v>
      </c>
      <c r="E65" s="1115" t="s">
        <v>877</v>
      </c>
      <c r="F65" s="1115" t="n">
        <v>68410</v>
      </c>
      <c r="G65" s="1115" t="n">
        <v>720</v>
      </c>
      <c r="H65" s="1115" t="s">
        <v>158</v>
      </c>
      <c r="I65" s="1115" t="n">
        <v>740</v>
      </c>
      <c r="J65" s="1115" t="s">
        <v>158</v>
      </c>
      <c r="L65" s="1115" t="n">
        <f aca="false">LOOKUP(M65,$E$6:$F$4002)</f>
        <v>39510</v>
      </c>
      <c r="M65" s="1115" t="s">
        <v>878</v>
      </c>
      <c r="N65" s="1127" t="n">
        <v>0.96</v>
      </c>
      <c r="O65" s="780" t="n">
        <v>26100</v>
      </c>
      <c r="P65" s="780" t="s">
        <v>159</v>
      </c>
      <c r="Q65" s="33" t="n">
        <v>677</v>
      </c>
      <c r="U65" s="504" t="s">
        <v>159</v>
      </c>
      <c r="V65" s="2" t="n">
        <v>677</v>
      </c>
      <c r="AA65" s="1124"/>
      <c r="AU65" s="1145" t="str">
        <f aca="false">"Maksimiteho kaivoista valitulla  "&amp;BERGHEAT!G59&amp;" kW  -tehoisella lämpöpumpulla"</f>
        <v>Maksimiteho kaivoista valitulla  9 kW  -tehoisella lämpöpumpulla</v>
      </c>
      <c r="AV65" s="1145"/>
      <c r="AW65" s="1145"/>
      <c r="AX65" s="1145"/>
      <c r="AY65" s="1145"/>
      <c r="AZ65" s="1186" t="n">
        <f aca="false">(BERGHEAT!G59-(BERGHEAT!G59/BERGHEAT!G36))</f>
        <v>6.27272727272727</v>
      </c>
      <c r="BA65" s="1169" t="n">
        <f aca="false">1000*(BERGHEAT!G59-(BERGHEAT!G59/BERGHEAT!G36))/AW63</f>
        <v>26.5793528505393</v>
      </c>
    </row>
    <row r="66" customFormat="false" ht="14.1" hidden="false" customHeight="true" outlineLevel="0" collapsed="false">
      <c r="A66" s="1115" t="n">
        <v>730</v>
      </c>
      <c r="B66" s="1115" t="s">
        <v>158</v>
      </c>
      <c r="C66" s="1115" t="n">
        <v>730</v>
      </c>
      <c r="D66" s="1115" t="s">
        <v>158</v>
      </c>
      <c r="E66" s="1115" t="s">
        <v>719</v>
      </c>
      <c r="F66" s="1115" t="n">
        <v>85200</v>
      </c>
      <c r="G66" s="1115" t="n">
        <v>730</v>
      </c>
      <c r="H66" s="1115" t="s">
        <v>158</v>
      </c>
      <c r="I66" s="1115" t="n">
        <v>750</v>
      </c>
      <c r="J66" s="1115" t="s">
        <v>158</v>
      </c>
      <c r="L66" s="1115" t="n">
        <f aca="false">LOOKUP(M66,$E$6:$F$4002)</f>
        <v>60800</v>
      </c>
      <c r="M66" s="1115" t="s">
        <v>879</v>
      </c>
      <c r="N66" s="1127" t="n">
        <v>0.95</v>
      </c>
      <c r="O66" s="780" t="n">
        <v>99600</v>
      </c>
      <c r="P66" s="780" t="s">
        <v>170</v>
      </c>
      <c r="Q66" s="33" t="n">
        <v>946</v>
      </c>
      <c r="U66" s="504" t="s">
        <v>170</v>
      </c>
      <c r="V66" s="2" t="n">
        <v>946</v>
      </c>
      <c r="AA66" s="1124"/>
      <c r="AU66" s="1179" t="s">
        <v>834</v>
      </c>
      <c r="AV66" s="1179"/>
      <c r="AW66" s="1179"/>
      <c r="AX66" s="1179"/>
      <c r="AY66" s="1179"/>
      <c r="AZ66" s="1179"/>
      <c r="BA66" s="1179"/>
    </row>
    <row r="67" customFormat="false" ht="14.1" hidden="false" customHeight="true" outlineLevel="0" collapsed="false">
      <c r="A67" s="1115" t="n">
        <v>740</v>
      </c>
      <c r="B67" s="1115" t="s">
        <v>158</v>
      </c>
      <c r="C67" s="1115" t="n">
        <v>740</v>
      </c>
      <c r="D67" s="1115" t="s">
        <v>158</v>
      </c>
      <c r="E67" s="1115" t="s">
        <v>723</v>
      </c>
      <c r="F67" s="1115" t="n">
        <v>63300</v>
      </c>
      <c r="G67" s="1115" t="n">
        <v>740</v>
      </c>
      <c r="H67" s="1115" t="s">
        <v>158</v>
      </c>
      <c r="I67" s="1115" t="n">
        <v>760</v>
      </c>
      <c r="J67" s="1115" t="s">
        <v>158</v>
      </c>
      <c r="L67" s="1115" t="n">
        <f aca="false">LOOKUP(M67,$E$6:$F$4002)</f>
        <v>82900</v>
      </c>
      <c r="M67" s="1115" t="s">
        <v>880</v>
      </c>
      <c r="N67" s="1127" t="n">
        <v>0.97</v>
      </c>
      <c r="O67" s="780" t="n">
        <v>30100</v>
      </c>
      <c r="P67" s="780" t="s">
        <v>161</v>
      </c>
      <c r="Q67" s="33" t="n">
        <v>724</v>
      </c>
      <c r="U67" s="504" t="s">
        <v>161</v>
      </c>
      <c r="V67" s="2" t="n">
        <v>724</v>
      </c>
      <c r="AU67" s="0"/>
      <c r="AV67" s="0"/>
      <c r="AW67" s="0"/>
      <c r="AX67" s="0"/>
      <c r="AY67" s="0"/>
      <c r="AZ67" s="0"/>
      <c r="BA67" s="0"/>
    </row>
    <row r="68" customFormat="false" ht="14.1" hidden="false" customHeight="true" outlineLevel="0" collapsed="false">
      <c r="A68" s="1115" t="n">
        <v>750</v>
      </c>
      <c r="B68" s="1115" t="s">
        <v>158</v>
      </c>
      <c r="C68" s="1115" t="n">
        <v>750</v>
      </c>
      <c r="D68" s="1115" t="s">
        <v>158</v>
      </c>
      <c r="E68" s="1115" t="s">
        <v>723</v>
      </c>
      <c r="F68" s="1115" t="n">
        <v>63400</v>
      </c>
      <c r="G68" s="1115" t="n">
        <v>750</v>
      </c>
      <c r="H68" s="1115" t="s">
        <v>158</v>
      </c>
      <c r="I68" s="1115" t="n">
        <v>770</v>
      </c>
      <c r="J68" s="1115" t="s">
        <v>158</v>
      </c>
      <c r="L68" s="1115" t="n">
        <f aca="false">LOOKUP(M68,$E$6:$F$4002)</f>
        <v>55950</v>
      </c>
      <c r="M68" s="1115" t="s">
        <v>881</v>
      </c>
      <c r="N68" s="1127" t="n">
        <v>0.99</v>
      </c>
      <c r="O68" s="780" t="n">
        <v>20100</v>
      </c>
      <c r="P68" s="780" t="s">
        <v>160</v>
      </c>
      <c r="Q68" s="33" t="n">
        <v>663</v>
      </c>
      <c r="U68" s="504" t="s">
        <v>160</v>
      </c>
      <c r="V68" s="2" t="n">
        <v>663</v>
      </c>
      <c r="AA68" s="1124"/>
      <c r="AU68" s="0"/>
      <c r="AV68" s="0"/>
      <c r="AW68" s="0"/>
      <c r="AX68" s="0"/>
      <c r="AY68" s="0"/>
      <c r="AZ68" s="0"/>
      <c r="BA68" s="0"/>
    </row>
    <row r="69" customFormat="false" ht="14.1" hidden="false" customHeight="true" outlineLevel="0" collapsed="false">
      <c r="A69" s="1115" t="n">
        <v>760</v>
      </c>
      <c r="B69" s="1115" t="s">
        <v>158</v>
      </c>
      <c r="C69" s="1115" t="n">
        <v>760</v>
      </c>
      <c r="D69" s="1115" t="s">
        <v>158</v>
      </c>
      <c r="E69" s="1115" t="s">
        <v>882</v>
      </c>
      <c r="F69" s="1115" t="n">
        <v>42250</v>
      </c>
      <c r="G69" s="1115" t="n">
        <v>760</v>
      </c>
      <c r="H69" s="1115" t="s">
        <v>158</v>
      </c>
      <c r="I69" s="1115" t="n">
        <v>780</v>
      </c>
      <c r="J69" s="1115" t="s">
        <v>158</v>
      </c>
      <c r="L69" s="1115" t="n">
        <f aca="false">LOOKUP(M69,$E$6:$F$4002)</f>
        <v>99870</v>
      </c>
      <c r="M69" s="1115" t="s">
        <v>883</v>
      </c>
      <c r="N69" s="1127" t="n">
        <v>0.98</v>
      </c>
      <c r="O69" s="780" t="n">
        <v>65100</v>
      </c>
      <c r="P69" s="780" t="s">
        <v>165</v>
      </c>
      <c r="Q69" s="33" t="n">
        <v>719</v>
      </c>
      <c r="U69" s="504" t="s">
        <v>165</v>
      </c>
      <c r="V69" s="2" t="n">
        <v>719</v>
      </c>
      <c r="AA69" s="1124"/>
      <c r="AU69" s="0"/>
      <c r="AV69" s="0"/>
      <c r="AW69" s="0"/>
      <c r="AX69" s="0"/>
      <c r="AY69" s="0"/>
      <c r="AZ69" s="0"/>
      <c r="BA69" s="0"/>
    </row>
    <row r="70" customFormat="false" ht="14.1" hidden="false" customHeight="true" outlineLevel="0" collapsed="false">
      <c r="A70" s="1115" t="n">
        <v>770</v>
      </c>
      <c r="B70" s="1115" t="s">
        <v>158</v>
      </c>
      <c r="C70" s="1115" t="n">
        <v>770</v>
      </c>
      <c r="D70" s="1115" t="s">
        <v>158</v>
      </c>
      <c r="E70" s="1115" t="s">
        <v>884</v>
      </c>
      <c r="F70" s="1115" t="n">
        <v>39990</v>
      </c>
      <c r="G70" s="1115" t="n">
        <v>770</v>
      </c>
      <c r="H70" s="1115" t="s">
        <v>158</v>
      </c>
      <c r="I70" s="1115" t="n">
        <v>790</v>
      </c>
      <c r="J70" s="1115" t="s">
        <v>158</v>
      </c>
      <c r="L70" s="1115" t="n">
        <f aca="false">LOOKUP(M70,$E$6:$F$4002)</f>
        <v>23390</v>
      </c>
      <c r="M70" s="1115" t="s">
        <v>885</v>
      </c>
      <c r="N70" s="1127" t="n">
        <v>1</v>
      </c>
      <c r="O70" s="780" t="n">
        <v>1200</v>
      </c>
      <c r="P70" s="780" t="s">
        <v>157</v>
      </c>
      <c r="Q70" s="33" t="n">
        <v>682</v>
      </c>
      <c r="U70" s="504" t="s">
        <v>157</v>
      </c>
      <c r="V70" s="2" t="n">
        <v>682</v>
      </c>
      <c r="AA70" s="1124"/>
      <c r="AV70" s="1187" t="str">
        <f aca="false">BERGHEAT!E15</f>
        <v>Asuinrakennus  Matti Maalämmittäjä</v>
      </c>
      <c r="AW70" s="1187"/>
      <c r="AX70" s="1187"/>
      <c r="AY70" s="1187"/>
      <c r="AZ70" s="1187"/>
      <c r="BA70" s="1187"/>
    </row>
    <row r="71" customFormat="false" ht="14.1" hidden="false" customHeight="true" outlineLevel="0" collapsed="false">
      <c r="A71" s="1115" t="n">
        <v>780</v>
      </c>
      <c r="B71" s="1115" t="s">
        <v>158</v>
      </c>
      <c r="C71" s="1115" t="n">
        <v>780</v>
      </c>
      <c r="D71" s="1115" t="s">
        <v>158</v>
      </c>
      <c r="E71" s="1115" t="s">
        <v>886</v>
      </c>
      <c r="F71" s="1115" t="n">
        <v>86460</v>
      </c>
      <c r="G71" s="1115" t="n">
        <v>780</v>
      </c>
      <c r="H71" s="1115" t="s">
        <v>158</v>
      </c>
      <c r="I71" s="1115" t="n">
        <v>800</v>
      </c>
      <c r="J71" s="1115" t="s">
        <v>158</v>
      </c>
      <c r="L71" s="1115" t="n">
        <f aca="false">LOOKUP(M71,$E$6:$F$4002)</f>
        <v>10230</v>
      </c>
      <c r="M71" s="1115" t="s">
        <v>887</v>
      </c>
      <c r="N71" s="1127" t="n">
        <v>0.98</v>
      </c>
      <c r="P71" s="1117"/>
      <c r="AA71" s="1124"/>
      <c r="AV71" s="1187" t="str">
        <f aca="false">BERGHEAT!E16</f>
        <v>Kotikatu 21</v>
      </c>
      <c r="AW71" s="1187"/>
      <c r="AX71" s="1187"/>
      <c r="AY71" s="1187"/>
      <c r="AZ71" s="1187"/>
      <c r="BA71" s="1188"/>
    </row>
    <row r="72" customFormat="false" ht="14.1" hidden="false" customHeight="true" outlineLevel="0" collapsed="false">
      <c r="A72" s="1115" t="n">
        <v>790</v>
      </c>
      <c r="B72" s="1115" t="s">
        <v>158</v>
      </c>
      <c r="C72" s="1115" t="n">
        <v>790</v>
      </c>
      <c r="D72" s="1115" t="s">
        <v>158</v>
      </c>
      <c r="E72" s="1115" t="s">
        <v>888</v>
      </c>
      <c r="F72" s="1115" t="n">
        <v>44860</v>
      </c>
      <c r="G72" s="1115" t="n">
        <v>790</v>
      </c>
      <c r="H72" s="1115" t="s">
        <v>158</v>
      </c>
      <c r="I72" s="1115" t="n">
        <v>810</v>
      </c>
      <c r="J72" s="1115" t="s">
        <v>158</v>
      </c>
      <c r="L72" s="1115" t="n">
        <f aca="false">LOOKUP(M72,$E$6:$F$4002)</f>
        <v>64900</v>
      </c>
      <c r="M72" s="1115" t="s">
        <v>889</v>
      </c>
      <c r="N72" s="1127" t="n">
        <v>0.96</v>
      </c>
      <c r="P72" s="1117"/>
      <c r="AA72" s="1124"/>
      <c r="AV72" s="1187" t="str">
        <f aca="false">BERGHEAT!F17&amp;" "&amp;BERGHEAT!G17</f>
        <v>40100 Jyväskylä</v>
      </c>
      <c r="AW72" s="1187"/>
      <c r="AX72" s="1187"/>
      <c r="AY72" s="1187"/>
      <c r="AZ72" s="1187"/>
      <c r="BA72" s="1188"/>
    </row>
    <row r="73" customFormat="false" ht="14.1" hidden="false" customHeight="true" outlineLevel="0" collapsed="false">
      <c r="A73" s="1115" t="n">
        <v>800</v>
      </c>
      <c r="B73" s="1115" t="s">
        <v>158</v>
      </c>
      <c r="C73" s="1115" t="n">
        <v>800</v>
      </c>
      <c r="D73" s="1115" t="s">
        <v>158</v>
      </c>
      <c r="E73" s="1115" t="s">
        <v>890</v>
      </c>
      <c r="F73" s="1115" t="n">
        <v>14680</v>
      </c>
      <c r="G73" s="1115" t="n">
        <v>800</v>
      </c>
      <c r="H73" s="1115" t="s">
        <v>158</v>
      </c>
      <c r="I73" s="1115" t="n">
        <v>820</v>
      </c>
      <c r="J73" s="1115" t="s">
        <v>158</v>
      </c>
      <c r="L73" s="1115" t="n">
        <f aca="false">LOOKUP(M73,$E$6:$F$4002)</f>
        <v>61500</v>
      </c>
      <c r="M73" s="1115" t="s">
        <v>891</v>
      </c>
      <c r="N73" s="1127" t="n">
        <v>0.98</v>
      </c>
      <c r="P73" s="1117"/>
      <c r="AA73" s="1124"/>
      <c r="AV73" s="504"/>
      <c r="AW73" s="1188"/>
      <c r="AX73" s="1188"/>
      <c r="AY73" s="504"/>
      <c r="AZ73" s="504"/>
      <c r="BA73" s="1188"/>
    </row>
    <row r="74" customFormat="false" ht="14.1" hidden="false" customHeight="true" outlineLevel="0" collapsed="false">
      <c r="A74" s="1115" t="n">
        <v>810</v>
      </c>
      <c r="B74" s="1115" t="s">
        <v>158</v>
      </c>
      <c r="C74" s="1115" t="n">
        <v>810</v>
      </c>
      <c r="D74" s="1115" t="s">
        <v>158</v>
      </c>
      <c r="E74" s="1115" t="s">
        <v>892</v>
      </c>
      <c r="F74" s="1115" t="n">
        <v>97980</v>
      </c>
      <c r="G74" s="1115" t="n">
        <v>810</v>
      </c>
      <c r="H74" s="1115" t="s">
        <v>158</v>
      </c>
      <c r="I74" s="1115" t="n">
        <v>830</v>
      </c>
      <c r="J74" s="1115" t="s">
        <v>158</v>
      </c>
      <c r="L74" s="1115" t="n">
        <f aca="false">LOOKUP(M74,$E$6:$F$4002)</f>
        <v>99800</v>
      </c>
      <c r="M74" s="1115" t="s">
        <v>171</v>
      </c>
      <c r="N74" s="1127" t="n">
        <v>1</v>
      </c>
      <c r="AA74" s="1124"/>
      <c r="AU74" s="1189" t="str">
        <f aca="false">BERGHEAT!C18</f>
        <v>Talo 1974, Keski-Suomessa.
3 kerrosta, puoliksi maan alainen kellari, alakerta ja ullakko.
Yläpohjassa 40 cm puhallusvillaa, seinissä 15 cm villat.
Lämmitysöljyn kulutus ollut keskimäärin 3200 litraa/vuosi.</v>
      </c>
      <c r="AV74" s="1189"/>
      <c r="AW74" s="1189"/>
      <c r="AX74" s="1189"/>
      <c r="AY74" s="1189"/>
      <c r="AZ74" s="1189"/>
      <c r="BA74" s="1189"/>
    </row>
    <row r="75" customFormat="false" ht="14.1" hidden="false" customHeight="true" outlineLevel="0" collapsed="false">
      <c r="A75" s="1115" t="n">
        <v>820</v>
      </c>
      <c r="B75" s="1115" t="s">
        <v>158</v>
      </c>
      <c r="C75" s="1115" t="n">
        <v>820</v>
      </c>
      <c r="D75" s="1115" t="s">
        <v>158</v>
      </c>
      <c r="E75" s="1115" t="s">
        <v>893</v>
      </c>
      <c r="F75" s="1115" t="n">
        <v>25230</v>
      </c>
      <c r="G75" s="1115" t="n">
        <v>820</v>
      </c>
      <c r="H75" s="1115" t="s">
        <v>158</v>
      </c>
      <c r="I75" s="1115" t="n">
        <v>840</v>
      </c>
      <c r="J75" s="1115" t="s">
        <v>158</v>
      </c>
      <c r="L75" s="1115" t="n">
        <f aca="false">LOOKUP(M75,$E$6:$F$4002)</f>
        <v>47710</v>
      </c>
      <c r="M75" s="1115" t="s">
        <v>894</v>
      </c>
      <c r="N75" s="1127" t="n">
        <v>0.99</v>
      </c>
      <c r="O75" s="1115" t="s">
        <v>271</v>
      </c>
      <c r="P75" s="1115" t="s">
        <v>895</v>
      </c>
      <c r="AA75" s="1124"/>
      <c r="AU75" s="1189"/>
      <c r="AV75" s="1189"/>
      <c r="AW75" s="1189"/>
      <c r="AX75" s="1189"/>
      <c r="AY75" s="1189"/>
      <c r="AZ75" s="1189"/>
      <c r="BA75" s="1189"/>
    </row>
    <row r="76" customFormat="false" ht="14.1" hidden="false" customHeight="true" outlineLevel="0" collapsed="false">
      <c r="A76" s="1115" t="n">
        <v>830</v>
      </c>
      <c r="B76" s="1115" t="s">
        <v>158</v>
      </c>
      <c r="C76" s="1115" t="n">
        <v>830</v>
      </c>
      <c r="D76" s="1115" t="s">
        <v>158</v>
      </c>
      <c r="E76" s="1115" t="s">
        <v>896</v>
      </c>
      <c r="F76" s="1115" t="n">
        <v>46910</v>
      </c>
      <c r="G76" s="1115" t="n">
        <v>830</v>
      </c>
      <c r="H76" s="1115" t="s">
        <v>158</v>
      </c>
      <c r="I76" s="1115" t="n">
        <v>850</v>
      </c>
      <c r="J76" s="1115" t="s">
        <v>158</v>
      </c>
      <c r="L76" s="1115" t="n">
        <f aca="false">LOOKUP(M76,$E$6:$F$4002)</f>
        <v>61600</v>
      </c>
      <c r="M76" s="1115" t="s">
        <v>897</v>
      </c>
      <c r="N76" s="1127" t="n">
        <v>0.93</v>
      </c>
      <c r="O76" s="1115" t="s">
        <v>158</v>
      </c>
      <c r="P76" s="1115" t="s">
        <v>698</v>
      </c>
      <c r="AA76" s="1124"/>
      <c r="AU76" s="1189"/>
      <c r="AV76" s="1189"/>
      <c r="AW76" s="1189"/>
      <c r="AX76" s="1189"/>
      <c r="AY76" s="1189"/>
      <c r="AZ76" s="1189"/>
      <c r="BA76" s="1189"/>
    </row>
    <row r="77" customFormat="false" ht="14.1" hidden="false" customHeight="true" outlineLevel="0" collapsed="false">
      <c r="A77" s="1115" t="n">
        <v>840</v>
      </c>
      <c r="B77" s="1115" t="s">
        <v>158</v>
      </c>
      <c r="C77" s="1115" t="n">
        <v>840</v>
      </c>
      <c r="D77" s="1115" t="s">
        <v>158</v>
      </c>
      <c r="E77" s="1115" t="s">
        <v>898</v>
      </c>
      <c r="F77" s="1115" t="n">
        <v>86530</v>
      </c>
      <c r="G77" s="1115" t="n">
        <v>840</v>
      </c>
      <c r="H77" s="1115" t="s">
        <v>158</v>
      </c>
      <c r="I77" s="1115" t="n">
        <v>860</v>
      </c>
      <c r="J77" s="1115" t="s">
        <v>158</v>
      </c>
      <c r="L77" s="1115" t="n">
        <f aca="false">LOOKUP(M77,$E$6:$F$4002)</f>
        <v>14240</v>
      </c>
      <c r="M77" s="1115" t="s">
        <v>899</v>
      </c>
      <c r="N77" s="1127" t="n">
        <v>1</v>
      </c>
      <c r="O77" s="1115" t="s">
        <v>171</v>
      </c>
      <c r="P77" s="1115" t="s">
        <v>900</v>
      </c>
      <c r="AA77" s="1124"/>
      <c r="AU77" s="1189"/>
      <c r="AV77" s="1189"/>
      <c r="AW77" s="1189"/>
      <c r="AX77" s="1189"/>
      <c r="AY77" s="1189"/>
      <c r="AZ77" s="1189"/>
      <c r="BA77" s="1189"/>
    </row>
    <row r="78" customFormat="false" ht="14.1" hidden="false" customHeight="true" outlineLevel="0" collapsed="false">
      <c r="A78" s="1115" t="n">
        <v>850</v>
      </c>
      <c r="B78" s="1115" t="s">
        <v>158</v>
      </c>
      <c r="C78" s="1115" t="n">
        <v>850</v>
      </c>
      <c r="D78" s="1115" t="s">
        <v>158</v>
      </c>
      <c r="E78" s="1115" t="s">
        <v>901</v>
      </c>
      <c r="F78" s="1115" t="n">
        <v>10480</v>
      </c>
      <c r="G78" s="1115" t="n">
        <v>850</v>
      </c>
      <c r="H78" s="1115" t="s">
        <v>158</v>
      </c>
      <c r="I78" s="1115" t="n">
        <v>870</v>
      </c>
      <c r="J78" s="1115" t="s">
        <v>158</v>
      </c>
      <c r="L78" s="1115" t="n">
        <f aca="false">LOOKUP(M78,$E$6:$F$4002)</f>
        <v>80260</v>
      </c>
      <c r="M78" s="1115" t="s">
        <v>167</v>
      </c>
      <c r="N78" s="1127" t="n">
        <v>1</v>
      </c>
      <c r="O78" s="1115" t="s">
        <v>167</v>
      </c>
      <c r="P78" s="1115" t="s">
        <v>167</v>
      </c>
      <c r="AA78" s="1124"/>
      <c r="AU78" s="1189"/>
      <c r="AV78" s="1189"/>
      <c r="AW78" s="1189"/>
      <c r="AX78" s="1189"/>
      <c r="AY78" s="1189"/>
      <c r="AZ78" s="1189"/>
      <c r="BA78" s="1189"/>
    </row>
    <row r="79" customFormat="false" ht="14.1" hidden="false" customHeight="true" outlineLevel="0" collapsed="false">
      <c r="A79" s="1115" t="n">
        <v>860</v>
      </c>
      <c r="B79" s="1115" t="s">
        <v>158</v>
      </c>
      <c r="C79" s="1115" t="n">
        <v>860</v>
      </c>
      <c r="D79" s="1115" t="s">
        <v>158</v>
      </c>
      <c r="E79" s="1115" t="s">
        <v>902</v>
      </c>
      <c r="F79" s="1115" t="n">
        <v>7130</v>
      </c>
      <c r="G79" s="1115" t="n">
        <v>860</v>
      </c>
      <c r="H79" s="1115" t="s">
        <v>158</v>
      </c>
      <c r="I79" s="1115" t="n">
        <v>880</v>
      </c>
      <c r="J79" s="1115" t="s">
        <v>158</v>
      </c>
      <c r="L79" s="1115" t="n">
        <f aca="false">LOOKUP(M79,$E$6:$F$4002)</f>
        <v>80260</v>
      </c>
      <c r="M79" s="1115" t="s">
        <v>167</v>
      </c>
      <c r="N79" s="1127" t="n">
        <v>1.01</v>
      </c>
      <c r="O79" s="1115" t="s">
        <v>903</v>
      </c>
      <c r="P79" s="1115" t="s">
        <v>904</v>
      </c>
      <c r="AA79" s="1124"/>
      <c r="AU79" s="1189"/>
      <c r="AV79" s="1189"/>
      <c r="AW79" s="1189"/>
      <c r="AX79" s="1189"/>
      <c r="AY79" s="1189"/>
      <c r="AZ79" s="1189"/>
      <c r="BA79" s="1189"/>
    </row>
    <row r="80" customFormat="false" ht="14.1" hidden="false" customHeight="true" outlineLevel="0" collapsed="false">
      <c r="A80" s="1115" t="n">
        <v>870</v>
      </c>
      <c r="B80" s="1115" t="s">
        <v>158</v>
      </c>
      <c r="C80" s="1115" t="n">
        <v>870</v>
      </c>
      <c r="D80" s="1115" t="s">
        <v>158</v>
      </c>
      <c r="E80" s="1115" t="s">
        <v>905</v>
      </c>
      <c r="F80" s="1115" t="n">
        <v>52100</v>
      </c>
      <c r="G80" s="1115" t="n">
        <v>870</v>
      </c>
      <c r="H80" s="1115" t="s">
        <v>158</v>
      </c>
      <c r="I80" s="1115" t="n">
        <v>890</v>
      </c>
      <c r="J80" s="1115" t="s">
        <v>158</v>
      </c>
      <c r="L80" s="1115" t="n">
        <f aca="false">LOOKUP(M80,$E$6:$F$4002)</f>
        <v>31600</v>
      </c>
      <c r="M80" s="1115" t="s">
        <v>906</v>
      </c>
      <c r="N80" s="1127" t="n">
        <v>1.02</v>
      </c>
      <c r="O80" s="1115" t="s">
        <v>164</v>
      </c>
      <c r="P80" s="1115" t="s">
        <v>907</v>
      </c>
      <c r="AA80" s="1124"/>
      <c r="AU80" s="1189"/>
      <c r="AV80" s="1189"/>
      <c r="AW80" s="1189"/>
      <c r="AX80" s="1189"/>
      <c r="AY80" s="1189"/>
      <c r="AZ80" s="1189"/>
      <c r="BA80" s="1189"/>
    </row>
    <row r="81" customFormat="false" ht="14.1" hidden="false" customHeight="true" outlineLevel="0" collapsed="false">
      <c r="A81" s="1115" t="n">
        <v>880</v>
      </c>
      <c r="B81" s="1115" t="s">
        <v>158</v>
      </c>
      <c r="C81" s="1115" t="n">
        <v>880</v>
      </c>
      <c r="D81" s="1115" t="s">
        <v>158</v>
      </c>
      <c r="E81" s="1115" t="s">
        <v>908</v>
      </c>
      <c r="F81" s="1115" t="n">
        <v>91310</v>
      </c>
      <c r="G81" s="1115" t="n">
        <v>880</v>
      </c>
      <c r="H81" s="1115" t="s">
        <v>158</v>
      </c>
      <c r="I81" s="1115" t="n">
        <v>900</v>
      </c>
      <c r="J81" s="1115" t="s">
        <v>158</v>
      </c>
      <c r="L81" s="1115" t="n">
        <f aca="false">LOOKUP(M81,$E$6:$F$4002)</f>
        <v>22150</v>
      </c>
      <c r="M81" s="1115" t="s">
        <v>903</v>
      </c>
      <c r="N81" s="1127" t="n">
        <v>0.99</v>
      </c>
      <c r="O81" s="1115" t="s">
        <v>168</v>
      </c>
      <c r="P81" s="1115" t="s">
        <v>909</v>
      </c>
      <c r="AU81" s="1189"/>
      <c r="AV81" s="1189"/>
      <c r="AW81" s="1189"/>
      <c r="AX81" s="1189"/>
      <c r="AY81" s="1189"/>
      <c r="AZ81" s="1189"/>
      <c r="BA81" s="1189"/>
    </row>
    <row r="82" customFormat="false" ht="14.1" hidden="false" customHeight="true" outlineLevel="0" collapsed="false">
      <c r="A82" s="1115" t="n">
        <v>890</v>
      </c>
      <c r="B82" s="1115" t="s">
        <v>158</v>
      </c>
      <c r="C82" s="1115" t="n">
        <v>890</v>
      </c>
      <c r="D82" s="1115" t="s">
        <v>158</v>
      </c>
      <c r="E82" s="1115" t="s">
        <v>910</v>
      </c>
      <c r="F82" s="1115" t="n">
        <v>92210</v>
      </c>
      <c r="G82" s="1115" t="n">
        <v>890</v>
      </c>
      <c r="H82" s="1115" t="s">
        <v>158</v>
      </c>
      <c r="I82" s="1115" t="n">
        <v>910</v>
      </c>
      <c r="J82" s="1115" t="s">
        <v>158</v>
      </c>
      <c r="L82" s="1115" t="n">
        <f aca="false">LOOKUP(M82,$E$6:$F$4002)</f>
        <v>79600</v>
      </c>
      <c r="M82" s="1115" t="s">
        <v>911</v>
      </c>
      <c r="N82" s="1127" t="n">
        <v>1.01</v>
      </c>
      <c r="O82" s="1115" t="s">
        <v>781</v>
      </c>
      <c r="P82" s="1115" t="s">
        <v>781</v>
      </c>
      <c r="AA82" s="1124"/>
      <c r="AU82" s="1189"/>
      <c r="AV82" s="1189"/>
      <c r="AW82" s="1189"/>
      <c r="AX82" s="1189"/>
      <c r="AY82" s="1189"/>
      <c r="AZ82" s="1189"/>
      <c r="BA82" s="1189"/>
    </row>
    <row r="83" customFormat="false" ht="14.1" hidden="false" customHeight="true" outlineLevel="0" collapsed="false">
      <c r="A83" s="1115" t="n">
        <v>900</v>
      </c>
      <c r="B83" s="1115" t="s">
        <v>158</v>
      </c>
      <c r="C83" s="1115" t="n">
        <v>900</v>
      </c>
      <c r="D83" s="1115" t="s">
        <v>158</v>
      </c>
      <c r="E83" s="1115" t="s">
        <v>912</v>
      </c>
      <c r="F83" s="1115" t="n">
        <v>41575</v>
      </c>
      <c r="G83" s="1115" t="n">
        <v>900</v>
      </c>
      <c r="H83" s="1115" t="s">
        <v>158</v>
      </c>
      <c r="I83" s="1115" t="n">
        <v>920</v>
      </c>
      <c r="J83" s="1115" t="s">
        <v>158</v>
      </c>
      <c r="L83" s="1115" t="n">
        <f aca="false">LOOKUP(M83,$E$6:$F$4002)</f>
        <v>19650</v>
      </c>
      <c r="M83" s="1115" t="s">
        <v>913</v>
      </c>
      <c r="N83" s="1127" t="n">
        <v>1.03</v>
      </c>
      <c r="O83" s="1115" t="s">
        <v>761</v>
      </c>
      <c r="P83" s="1115" t="s">
        <v>914</v>
      </c>
      <c r="AA83" s="1124"/>
      <c r="AU83" s="1189"/>
      <c r="AV83" s="1189"/>
      <c r="AW83" s="1189"/>
      <c r="AX83" s="1189"/>
      <c r="AY83" s="1189"/>
      <c r="AZ83" s="1189"/>
      <c r="BA83" s="1189"/>
    </row>
    <row r="84" customFormat="false" ht="14.1" hidden="false" customHeight="true" outlineLevel="0" collapsed="false">
      <c r="A84" s="1115" t="n">
        <v>910</v>
      </c>
      <c r="B84" s="1115" t="s">
        <v>158</v>
      </c>
      <c r="C84" s="1115" t="n">
        <v>910</v>
      </c>
      <c r="D84" s="1115" t="s">
        <v>158</v>
      </c>
      <c r="E84" s="1115" t="s">
        <v>915</v>
      </c>
      <c r="F84" s="1115" t="n">
        <v>46230</v>
      </c>
      <c r="G84" s="1115" t="n">
        <v>910</v>
      </c>
      <c r="H84" s="1115" t="s">
        <v>158</v>
      </c>
      <c r="I84" s="1115" t="n">
        <v>930</v>
      </c>
      <c r="J84" s="1115" t="s">
        <v>158</v>
      </c>
      <c r="L84" s="1115" t="n">
        <f aca="false">LOOKUP(M84,$E$6:$F$4002)</f>
        <v>54100</v>
      </c>
      <c r="M84" s="1115" t="s">
        <v>916</v>
      </c>
      <c r="N84" s="1127" t="n">
        <v>0.99</v>
      </c>
      <c r="O84" s="1115" t="s">
        <v>166</v>
      </c>
      <c r="P84" s="1115" t="s">
        <v>917</v>
      </c>
      <c r="AA84" s="1124"/>
      <c r="AU84" s="1189"/>
      <c r="AV84" s="1189"/>
      <c r="AW84" s="1189"/>
      <c r="AX84" s="1189"/>
      <c r="AY84" s="1189"/>
      <c r="AZ84" s="1189"/>
      <c r="BA84" s="1189"/>
    </row>
    <row r="85" customFormat="false" ht="14.1" hidden="false" customHeight="true" outlineLevel="0" collapsed="false">
      <c r="A85" s="1115" t="n">
        <v>920</v>
      </c>
      <c r="B85" s="1115" t="s">
        <v>158</v>
      </c>
      <c r="C85" s="1115" t="n">
        <v>920</v>
      </c>
      <c r="D85" s="1115" t="s">
        <v>158</v>
      </c>
      <c r="E85" s="1115" t="s">
        <v>918</v>
      </c>
      <c r="F85" s="1115" t="n">
        <v>93215</v>
      </c>
      <c r="G85" s="1115" t="n">
        <v>920</v>
      </c>
      <c r="H85" s="1115" t="s">
        <v>158</v>
      </c>
      <c r="I85" s="1115" t="n">
        <v>940</v>
      </c>
      <c r="J85" s="1115" t="s">
        <v>158</v>
      </c>
      <c r="L85" s="1115" t="n">
        <f aca="false">LOOKUP(M85,$E$6:$F$4002)</f>
        <v>73500</v>
      </c>
      <c r="M85" s="1115" t="s">
        <v>919</v>
      </c>
      <c r="N85" s="1127" t="n">
        <v>0.98</v>
      </c>
      <c r="O85" s="1115" t="s">
        <v>162</v>
      </c>
      <c r="P85" s="1115" t="s">
        <v>920</v>
      </c>
      <c r="AA85" s="1124"/>
      <c r="AU85" s="1189"/>
      <c r="AV85" s="1189"/>
      <c r="AW85" s="1189"/>
      <c r="AX85" s="1189"/>
      <c r="AY85" s="1189"/>
      <c r="AZ85" s="1189"/>
      <c r="BA85" s="1189"/>
    </row>
    <row r="86" customFormat="false" ht="14.1" hidden="false" customHeight="true" outlineLevel="0" collapsed="false">
      <c r="A86" s="1115" t="n">
        <v>930</v>
      </c>
      <c r="B86" s="1115" t="s">
        <v>158</v>
      </c>
      <c r="C86" s="1115" t="n">
        <v>930</v>
      </c>
      <c r="D86" s="1115" t="s">
        <v>158</v>
      </c>
      <c r="E86" s="1115" t="s">
        <v>921</v>
      </c>
      <c r="F86" s="1115" t="n">
        <v>17530</v>
      </c>
      <c r="G86" s="1115" t="n">
        <v>930</v>
      </c>
      <c r="H86" s="1115" t="s">
        <v>158</v>
      </c>
      <c r="I86" s="1115" t="n">
        <v>950</v>
      </c>
      <c r="J86" s="1115" t="s">
        <v>158</v>
      </c>
      <c r="L86" s="1115" t="n">
        <f aca="false">LOOKUP(M86,$E$6:$F$4002)</f>
        <v>66300</v>
      </c>
      <c r="M86" s="1115" t="s">
        <v>922</v>
      </c>
      <c r="N86" s="1127" t="n">
        <v>0.97</v>
      </c>
      <c r="O86" s="1115" t="s">
        <v>163</v>
      </c>
      <c r="P86" s="1115" t="s">
        <v>923</v>
      </c>
      <c r="AA86" s="1124"/>
      <c r="AU86" s="1189"/>
      <c r="AV86" s="1189"/>
      <c r="AW86" s="1189"/>
      <c r="AX86" s="1189"/>
      <c r="AY86" s="1189"/>
      <c r="AZ86" s="1189"/>
      <c r="BA86" s="1189"/>
    </row>
    <row r="87" customFormat="false" ht="14.1" hidden="false" customHeight="true" outlineLevel="0" collapsed="false">
      <c r="A87" s="1115" t="n">
        <v>940</v>
      </c>
      <c r="B87" s="1115" t="s">
        <v>158</v>
      </c>
      <c r="C87" s="1115" t="n">
        <v>940</v>
      </c>
      <c r="D87" s="1115" t="s">
        <v>158</v>
      </c>
      <c r="E87" s="1115" t="s">
        <v>731</v>
      </c>
      <c r="F87" s="1115" t="n">
        <v>16200</v>
      </c>
      <c r="G87" s="1115" t="n">
        <v>940</v>
      </c>
      <c r="H87" s="1115" t="s">
        <v>158</v>
      </c>
      <c r="I87" s="1115" t="n">
        <v>960</v>
      </c>
      <c r="J87" s="1115" t="s">
        <v>158</v>
      </c>
      <c r="L87" s="1115" t="n">
        <f aca="false">LOOKUP(M87,$E$6:$F$4002)</f>
        <v>83900</v>
      </c>
      <c r="M87" s="1115" t="s">
        <v>924</v>
      </c>
      <c r="N87" s="1127" t="n">
        <v>0.96</v>
      </c>
      <c r="O87" s="1115" t="s">
        <v>169</v>
      </c>
      <c r="P87" s="1115" t="s">
        <v>925</v>
      </c>
      <c r="AA87" s="1124"/>
      <c r="AU87" s="0"/>
      <c r="AV87" s="0"/>
      <c r="AW87" s="0"/>
      <c r="AX87" s="0"/>
      <c r="AY87" s="0"/>
      <c r="AZ87" s="0"/>
      <c r="BA87" s="0"/>
    </row>
    <row r="88" customFormat="false" ht="14.1" hidden="false" customHeight="true" outlineLevel="0" collapsed="false">
      <c r="A88" s="1115" t="n">
        <v>950</v>
      </c>
      <c r="B88" s="1115" t="s">
        <v>158</v>
      </c>
      <c r="C88" s="1115" t="n">
        <v>950</v>
      </c>
      <c r="D88" s="1115" t="s">
        <v>158</v>
      </c>
      <c r="E88" s="1115" t="s">
        <v>731</v>
      </c>
      <c r="F88" s="1115" t="n">
        <v>16230</v>
      </c>
      <c r="G88" s="1115" t="n">
        <v>950</v>
      </c>
      <c r="H88" s="1115" t="s">
        <v>158</v>
      </c>
      <c r="I88" s="1115" t="n">
        <v>970</v>
      </c>
      <c r="J88" s="1115" t="s">
        <v>158</v>
      </c>
      <c r="L88" s="1115" t="n">
        <f aca="false">LOOKUP(M88,$E$6:$F$4002)</f>
        <v>35540</v>
      </c>
      <c r="M88" s="1115" t="s">
        <v>926</v>
      </c>
      <c r="N88" s="1127" t="n">
        <v>0.94</v>
      </c>
      <c r="O88" s="1115" t="s">
        <v>159</v>
      </c>
      <c r="P88" s="1115" t="s">
        <v>159</v>
      </c>
      <c r="AA88" s="1124"/>
      <c r="AU88" s="0"/>
      <c r="AV88" s="0"/>
      <c r="AW88" s="0"/>
      <c r="AX88" s="0"/>
      <c r="AY88" s="0"/>
      <c r="AZ88" s="0"/>
      <c r="BA88" s="0"/>
    </row>
    <row r="89" customFormat="false" ht="14.1" hidden="false" customHeight="true" outlineLevel="0" collapsed="false">
      <c r="A89" s="1115" t="n">
        <v>960</v>
      </c>
      <c r="B89" s="1115" t="s">
        <v>158</v>
      </c>
      <c r="C89" s="1115" t="n">
        <v>960</v>
      </c>
      <c r="D89" s="1115" t="s">
        <v>158</v>
      </c>
      <c r="E89" s="1115" t="s">
        <v>734</v>
      </c>
      <c r="F89" s="1115" t="n">
        <v>17320</v>
      </c>
      <c r="G89" s="1115" t="n">
        <v>960</v>
      </c>
      <c r="H89" s="1115" t="s">
        <v>158</v>
      </c>
      <c r="I89" s="1115" t="n">
        <v>980</v>
      </c>
      <c r="J89" s="1115" t="s">
        <v>158</v>
      </c>
      <c r="L89" s="1115" t="n">
        <f aca="false">LOOKUP(M89,$E$6:$F$4002)</f>
        <v>51900</v>
      </c>
      <c r="M89" s="1115" t="s">
        <v>927</v>
      </c>
      <c r="N89" s="1127" t="n">
        <v>0.96</v>
      </c>
      <c r="O89" s="1115" t="s">
        <v>928</v>
      </c>
      <c r="P89" s="1115" t="s">
        <v>787</v>
      </c>
      <c r="AA89" s="1124"/>
      <c r="AU89" s="0"/>
      <c r="AV89" s="0"/>
      <c r="AW89" s="0"/>
      <c r="AX89" s="0"/>
      <c r="AY89" s="0"/>
      <c r="AZ89" s="0"/>
      <c r="BA89" s="0"/>
      <c r="BB89" s="504"/>
      <c r="BC89" s="504"/>
    </row>
    <row r="90" customFormat="false" ht="14.1" hidden="false" customHeight="true" outlineLevel="0" collapsed="false">
      <c r="A90" s="1115" t="n">
        <v>970</v>
      </c>
      <c r="B90" s="1115" t="s">
        <v>158</v>
      </c>
      <c r="C90" s="1115" t="n">
        <v>970</v>
      </c>
      <c r="D90" s="1115" t="s">
        <v>158</v>
      </c>
      <c r="E90" s="1115" t="s">
        <v>929</v>
      </c>
      <c r="F90" s="1115" t="n">
        <v>51730</v>
      </c>
      <c r="G90" s="1115" t="n">
        <v>970</v>
      </c>
      <c r="H90" s="1115" t="s">
        <v>158</v>
      </c>
      <c r="I90" s="1115" t="n">
        <v>990</v>
      </c>
      <c r="J90" s="1115" t="s">
        <v>158</v>
      </c>
      <c r="L90" s="1115" t="n">
        <f aca="false">LOOKUP(M90,$E$6:$F$4002)</f>
        <v>40740</v>
      </c>
      <c r="M90" s="1115" t="s">
        <v>164</v>
      </c>
      <c r="N90" s="1127" t="n">
        <v>1</v>
      </c>
      <c r="O90" s="1115" t="s">
        <v>170</v>
      </c>
      <c r="P90" s="1115" t="s">
        <v>792</v>
      </c>
      <c r="U90" s="1115"/>
      <c r="AA90" s="1124"/>
      <c r="AV90" s="1190" t="s">
        <v>930</v>
      </c>
      <c r="AW90" s="1190"/>
      <c r="AX90" s="1190"/>
      <c r="AY90" s="1190"/>
      <c r="AZ90" s="1190"/>
      <c r="BA90" s="1191"/>
      <c r="BB90" s="504"/>
      <c r="BC90" s="504"/>
    </row>
    <row r="91" customFormat="false" ht="14.1" hidden="false" customHeight="true" outlineLevel="0" collapsed="false">
      <c r="A91" s="1115" t="n">
        <v>980</v>
      </c>
      <c r="B91" s="1115" t="s">
        <v>158</v>
      </c>
      <c r="C91" s="1115" t="n">
        <v>980</v>
      </c>
      <c r="D91" s="1115" t="s">
        <v>158</v>
      </c>
      <c r="E91" s="1115" t="s">
        <v>931</v>
      </c>
      <c r="F91" s="1115" t="n">
        <v>99550</v>
      </c>
      <c r="G91" s="1115" t="n">
        <v>980</v>
      </c>
      <c r="H91" s="1115" t="s">
        <v>158</v>
      </c>
      <c r="I91" s="1115" t="n">
        <v>1009</v>
      </c>
      <c r="J91" s="1115" t="s">
        <v>157</v>
      </c>
      <c r="L91" s="1115" t="n">
        <f aca="false">LOOKUP(M91,$E$6:$F$4002)</f>
        <v>40740</v>
      </c>
      <c r="M91" s="1115" t="s">
        <v>164</v>
      </c>
      <c r="N91" s="1127" t="n">
        <v>1.01</v>
      </c>
      <c r="O91" s="1115" t="s">
        <v>161</v>
      </c>
      <c r="P91" s="1115" t="s">
        <v>738</v>
      </c>
      <c r="U91" s="1192"/>
      <c r="V91" s="1192"/>
      <c r="W91" s="1192"/>
      <c r="AA91" s="1124"/>
      <c r="AV91" s="1190" t="s">
        <v>932</v>
      </c>
      <c r="AW91" s="1190"/>
      <c r="AX91" s="1190"/>
      <c r="AY91" s="1190"/>
      <c r="AZ91" s="1190"/>
      <c r="BA91" s="1193"/>
      <c r="BB91" s="504"/>
      <c r="BC91" s="504"/>
    </row>
    <row r="92" customFormat="false" ht="14.1" hidden="false" customHeight="true" outlineLevel="0" collapsed="false">
      <c r="A92" s="1115" t="n">
        <v>990</v>
      </c>
      <c r="B92" s="1115" t="s">
        <v>158</v>
      </c>
      <c r="C92" s="1115" t="n">
        <v>990</v>
      </c>
      <c r="D92" s="1115" t="s">
        <v>158</v>
      </c>
      <c r="E92" s="1115" t="s">
        <v>737</v>
      </c>
      <c r="F92" s="1115" t="n">
        <v>21240</v>
      </c>
      <c r="G92" s="1115" t="n">
        <v>990</v>
      </c>
      <c r="H92" s="1115" t="s">
        <v>158</v>
      </c>
      <c r="I92" s="1115" t="n">
        <v>1120</v>
      </c>
      <c r="J92" s="1115" t="s">
        <v>933</v>
      </c>
      <c r="L92" s="1115" t="n">
        <f aca="false">LOOKUP(M92,$E$6:$F$4002)</f>
        <v>40740</v>
      </c>
      <c r="M92" s="1115" t="s">
        <v>934</v>
      </c>
      <c r="N92" s="1127" t="n">
        <v>1.01</v>
      </c>
      <c r="O92" s="1115" t="s">
        <v>160</v>
      </c>
      <c r="P92" s="1115" t="s">
        <v>724</v>
      </c>
      <c r="U92" s="1192"/>
      <c r="V92" s="1192"/>
      <c r="W92" s="1192"/>
      <c r="AA92" s="1124"/>
      <c r="AV92" s="1190" t="s">
        <v>935</v>
      </c>
      <c r="AW92" s="1190"/>
      <c r="AX92" s="1190"/>
      <c r="AY92" s="1190"/>
      <c r="AZ92" s="1190"/>
      <c r="BA92" s="1193"/>
      <c r="BB92" s="504"/>
      <c r="BC92" s="504"/>
    </row>
    <row r="93" customFormat="false" ht="14.1" hidden="false" customHeight="true" outlineLevel="0" collapsed="false">
      <c r="A93" s="1115" t="n">
        <v>1009</v>
      </c>
      <c r="B93" s="1115" t="s">
        <v>157</v>
      </c>
      <c r="C93" s="1115" t="n">
        <v>1009</v>
      </c>
      <c r="D93" s="1115" t="s">
        <v>157</v>
      </c>
      <c r="E93" s="1115" t="s">
        <v>741</v>
      </c>
      <c r="F93" s="1115" t="n">
        <v>7500</v>
      </c>
      <c r="G93" s="1115" t="n">
        <v>1009</v>
      </c>
      <c r="H93" s="1115" t="s">
        <v>157</v>
      </c>
      <c r="I93" s="1115" t="n">
        <v>1130</v>
      </c>
      <c r="J93" s="1115" t="s">
        <v>933</v>
      </c>
      <c r="L93" s="1115" t="n">
        <f aca="false">LOOKUP(M93,$E$6:$F$4002)</f>
        <v>38800</v>
      </c>
      <c r="M93" s="1115" t="s">
        <v>936</v>
      </c>
      <c r="N93" s="1127" t="n">
        <v>0.97</v>
      </c>
      <c r="O93" s="1115" t="s">
        <v>165</v>
      </c>
      <c r="P93" s="1115" t="s">
        <v>757</v>
      </c>
      <c r="U93" s="1192"/>
      <c r="V93" s="1192"/>
      <c r="W93" s="1192"/>
      <c r="AA93" s="1124"/>
      <c r="AV93" s="1194"/>
      <c r="AW93" s="1194"/>
      <c r="AX93" s="1194"/>
      <c r="AY93" s="1194"/>
      <c r="AZ93" s="1194"/>
      <c r="BA93" s="504"/>
      <c r="BB93" s="504"/>
      <c r="BC93" s="504"/>
    </row>
    <row r="94" customFormat="false" ht="14.1" hidden="false" customHeight="true" outlineLevel="0" collapsed="false">
      <c r="A94" s="1115" t="n">
        <v>1120</v>
      </c>
      <c r="B94" s="1115" t="s">
        <v>157</v>
      </c>
      <c r="C94" s="1115" t="n">
        <v>1120</v>
      </c>
      <c r="D94" s="1115" t="s">
        <v>937</v>
      </c>
      <c r="E94" s="1115" t="s">
        <v>938</v>
      </c>
      <c r="F94" s="1115" t="n">
        <v>42570</v>
      </c>
      <c r="G94" s="1115" t="n">
        <v>1120</v>
      </c>
      <c r="H94" s="1115" t="s">
        <v>937</v>
      </c>
      <c r="I94" s="1115" t="n">
        <v>1150</v>
      </c>
      <c r="J94" s="1115" t="s">
        <v>933</v>
      </c>
      <c r="L94" s="1115" t="n">
        <f aca="false">LOOKUP(M94,$E$6:$F$4002)</f>
        <v>42120</v>
      </c>
      <c r="M94" s="1115" t="s">
        <v>939</v>
      </c>
      <c r="N94" s="1127" t="n">
        <v>1.03</v>
      </c>
      <c r="O94" s="1115" t="s">
        <v>157</v>
      </c>
      <c r="P94" s="1115" t="s">
        <v>705</v>
      </c>
      <c r="U94" s="1192"/>
      <c r="V94" s="1192"/>
      <c r="W94" s="1192"/>
      <c r="AA94" s="1124"/>
      <c r="AV94" s="1195"/>
      <c r="AW94" s="1195"/>
      <c r="AX94" s="1195"/>
      <c r="AY94" s="1195"/>
      <c r="AZ94" s="1195"/>
      <c r="BA94" s="1193"/>
      <c r="BB94" s="504"/>
      <c r="BC94" s="504"/>
    </row>
    <row r="95" customFormat="false" ht="14.1" hidden="false" customHeight="true" outlineLevel="0" collapsed="false">
      <c r="A95" s="1115" t="n">
        <v>1130</v>
      </c>
      <c r="B95" s="1115" t="s">
        <v>157</v>
      </c>
      <c r="C95" s="1115" t="n">
        <v>1130</v>
      </c>
      <c r="D95" s="1115" t="s">
        <v>940</v>
      </c>
      <c r="E95" s="1115" t="s">
        <v>941</v>
      </c>
      <c r="F95" s="1115" t="n">
        <v>60060</v>
      </c>
      <c r="G95" s="1115" t="n">
        <v>1130</v>
      </c>
      <c r="H95" s="1115" t="s">
        <v>940</v>
      </c>
      <c r="I95" s="1115" t="n">
        <v>1160</v>
      </c>
      <c r="J95" s="1115" t="s">
        <v>933</v>
      </c>
      <c r="L95" s="1115" t="n">
        <f aca="false">LOOKUP(M95,$E$6:$F$4002)</f>
        <v>42300</v>
      </c>
      <c r="M95" s="1115" t="s">
        <v>942</v>
      </c>
      <c r="N95" s="1127" t="n">
        <v>1.02</v>
      </c>
      <c r="U95" s="1192"/>
      <c r="V95" s="1192"/>
      <c r="W95" s="1192"/>
      <c r="AV95" s="1195"/>
      <c r="AW95" s="1195"/>
      <c r="AX95" s="1195"/>
      <c r="AY95" s="1195"/>
      <c r="AZ95" s="1195"/>
      <c r="BA95" s="1193"/>
      <c r="BB95" s="504"/>
      <c r="BC95" s="504"/>
    </row>
    <row r="96" customFormat="false" ht="14.1" hidden="false" customHeight="true" outlineLevel="0" collapsed="false">
      <c r="A96" s="1115" t="n">
        <v>1150</v>
      </c>
      <c r="B96" s="1115" t="s">
        <v>157</v>
      </c>
      <c r="C96" s="1115" t="n">
        <v>1150</v>
      </c>
      <c r="D96" s="1115" t="s">
        <v>943</v>
      </c>
      <c r="E96" s="1115" t="s">
        <v>944</v>
      </c>
      <c r="F96" s="1115" t="n">
        <v>13230</v>
      </c>
      <c r="G96" s="1115" t="n">
        <v>1150</v>
      </c>
      <c r="H96" s="1115" t="s">
        <v>943</v>
      </c>
      <c r="I96" s="1115" t="n">
        <v>1180</v>
      </c>
      <c r="J96" s="1115" t="s">
        <v>933</v>
      </c>
      <c r="L96" s="1115" t="n">
        <f aca="false">LOOKUP(M96,$E$6:$F$4002)</f>
        <v>4440</v>
      </c>
      <c r="M96" s="1115" t="s">
        <v>945</v>
      </c>
      <c r="N96" s="1127" t="n">
        <v>0.96</v>
      </c>
      <c r="U96" s="1192"/>
      <c r="V96" s="1192"/>
      <c r="W96" s="1192"/>
      <c r="AA96" s="1124"/>
      <c r="AV96" s="1196" t="str">
        <f aca="false">" Laskettu "&amp;BERGHEAT!$G$59&amp;" kW tehoiselle maalämpöpumpulle"</f>
        <v> Laskettu 9 kW tehoiselle maalämpöpumpulle</v>
      </c>
      <c r="AW96" s="1196"/>
      <c r="AX96" s="1196" t="n">
        <f aca="false">BERGHEAT!$G$59</f>
        <v>9</v>
      </c>
      <c r="AY96" s="1196" t="s">
        <v>946</v>
      </c>
      <c r="AZ96" s="1196"/>
      <c r="BA96" s="1193"/>
      <c r="BB96" s="504"/>
      <c r="BC96" s="504"/>
    </row>
    <row r="97" customFormat="false" ht="14.1" hidden="false" customHeight="true" outlineLevel="0" collapsed="false">
      <c r="A97" s="1115" t="n">
        <v>1160</v>
      </c>
      <c r="B97" s="1115" t="s">
        <v>157</v>
      </c>
      <c r="C97" s="1115" t="n">
        <v>1160</v>
      </c>
      <c r="D97" s="1115" t="s">
        <v>947</v>
      </c>
      <c r="E97" s="1115" t="s">
        <v>744</v>
      </c>
      <c r="F97" s="1115" t="n">
        <v>21380</v>
      </c>
      <c r="G97" s="1115" t="n">
        <v>1160</v>
      </c>
      <c r="H97" s="1115" t="s">
        <v>947</v>
      </c>
      <c r="I97" s="1115" t="n">
        <v>1190</v>
      </c>
      <c r="J97" s="1115" t="s">
        <v>933</v>
      </c>
      <c r="L97" s="1115" t="n">
        <f aca="false">LOOKUP(M97,$E$6:$F$4002)</f>
        <v>20780</v>
      </c>
      <c r="M97" s="1115" t="s">
        <v>948</v>
      </c>
      <c r="N97" s="1127" t="n">
        <v>1</v>
      </c>
      <c r="AA97" s="1124"/>
      <c r="AV97" s="1197" t="str">
        <f aca="false">"Laskelmassa sähkön hinta  "&amp;BERGHEAT!G25&amp;" euroa / kilowattitunti"</f>
        <v>Laskelmassa sähkön hinta  0,15 euroa / kilowattitunti</v>
      </c>
      <c r="AW97" s="1197"/>
      <c r="AX97" s="1197"/>
      <c r="AY97" s="1197"/>
      <c r="AZ97" s="1197"/>
      <c r="BA97" s="1193"/>
      <c r="BB97" s="504"/>
      <c r="BC97" s="504"/>
    </row>
    <row r="98" customFormat="false" ht="14.1" hidden="false" customHeight="true" outlineLevel="0" collapsed="false">
      <c r="A98" s="1115" t="n">
        <v>1180</v>
      </c>
      <c r="B98" s="1115" t="s">
        <v>157</v>
      </c>
      <c r="C98" s="1115" t="n">
        <v>1180</v>
      </c>
      <c r="D98" s="1115" t="s">
        <v>949</v>
      </c>
      <c r="E98" s="1115" t="s">
        <v>950</v>
      </c>
      <c r="F98" s="1115" t="n">
        <v>39770</v>
      </c>
      <c r="G98" s="1115" t="n">
        <v>1180</v>
      </c>
      <c r="H98" s="1115" t="s">
        <v>949</v>
      </c>
      <c r="I98" s="1115" t="n">
        <v>1200</v>
      </c>
      <c r="J98" s="1115" t="s">
        <v>157</v>
      </c>
      <c r="L98" s="1115" t="n">
        <f aca="false">LOOKUP(M98,$E$6:$F$4002)</f>
        <v>73600</v>
      </c>
      <c r="M98" s="1115" t="s">
        <v>951</v>
      </c>
      <c r="N98" s="1127" t="n">
        <v>0.96</v>
      </c>
      <c r="AA98" s="1124"/>
      <c r="AV98" s="1195"/>
      <c r="AW98" s="1195"/>
      <c r="AX98" s="1195"/>
      <c r="AY98" s="1195"/>
      <c r="AZ98" s="1195"/>
      <c r="BA98" s="1193"/>
      <c r="BB98" s="504"/>
      <c r="BC98" s="504"/>
    </row>
    <row r="99" customFormat="false" ht="14.1" hidden="false" customHeight="true" outlineLevel="0" collapsed="false">
      <c r="A99" s="1115" t="n">
        <v>1190</v>
      </c>
      <c r="B99" s="1115" t="s">
        <v>157</v>
      </c>
      <c r="C99" s="1115" t="n">
        <v>1190</v>
      </c>
      <c r="D99" s="1115" t="s">
        <v>952</v>
      </c>
      <c r="E99" s="1115" t="s">
        <v>953</v>
      </c>
      <c r="F99" s="1115" t="n">
        <v>45360</v>
      </c>
      <c r="G99" s="1115" t="n">
        <v>1190</v>
      </c>
      <c r="H99" s="1115" t="s">
        <v>952</v>
      </c>
      <c r="I99" s="1115" t="n">
        <v>1230</v>
      </c>
      <c r="J99" s="1115" t="s">
        <v>157</v>
      </c>
      <c r="L99" s="1115" t="n">
        <f aca="false">LOOKUP(M99,$E$6:$F$4002)</f>
        <v>87600</v>
      </c>
      <c r="M99" s="1115" t="s">
        <v>168</v>
      </c>
      <c r="N99" s="1127" t="n">
        <v>1</v>
      </c>
      <c r="R99" s="1115" t="s">
        <v>693</v>
      </c>
      <c r="S99" s="1115" t="s">
        <v>954</v>
      </c>
      <c r="T99" s="1115" t="s">
        <v>955</v>
      </c>
      <c r="U99" s="1115"/>
      <c r="AA99" s="1124"/>
      <c r="AV99" s="1195"/>
      <c r="AW99" s="1195"/>
      <c r="AX99" s="1195"/>
      <c r="AY99" s="1195"/>
      <c r="AZ99" s="1195"/>
      <c r="BA99" s="1193"/>
      <c r="BB99" s="504"/>
      <c r="BC99" s="504"/>
    </row>
    <row r="100" customFormat="false" ht="14.1" hidden="false" customHeight="true" outlineLevel="0" collapsed="false">
      <c r="A100" s="1115" t="n">
        <v>1200</v>
      </c>
      <c r="B100" s="1115" t="s">
        <v>157</v>
      </c>
      <c r="C100" s="1115" t="n">
        <v>1200</v>
      </c>
      <c r="D100" s="1115" t="s">
        <v>157</v>
      </c>
      <c r="E100" s="1115" t="s">
        <v>956</v>
      </c>
      <c r="F100" s="1115" t="n">
        <v>98390</v>
      </c>
      <c r="G100" s="1115" t="n">
        <v>1200</v>
      </c>
      <c r="H100" s="1115" t="s">
        <v>157</v>
      </c>
      <c r="I100" s="1115" t="n">
        <v>1260</v>
      </c>
      <c r="J100" s="1115" t="s">
        <v>157</v>
      </c>
      <c r="L100" s="1115" t="n">
        <f aca="false">LOOKUP(M100,$E$6:$F$4002)</f>
        <v>87600</v>
      </c>
      <c r="M100" s="1115" t="s">
        <v>168</v>
      </c>
      <c r="N100" s="1127" t="n">
        <v>1</v>
      </c>
      <c r="O100" s="1115" t="n">
        <v>-1000</v>
      </c>
      <c r="P100" s="1115" t="s">
        <v>957</v>
      </c>
      <c r="R100" s="1115" t="s">
        <v>149</v>
      </c>
      <c r="S100" s="1115" t="s">
        <v>577</v>
      </c>
      <c r="T100" s="1115" t="s">
        <v>575</v>
      </c>
      <c r="U100" s="1117" t="s">
        <v>958</v>
      </c>
      <c r="V100" s="1117" t="s">
        <v>959</v>
      </c>
      <c r="W100" s="1117" t="s">
        <v>960</v>
      </c>
      <c r="AA100" s="1124"/>
      <c r="AV100" s="1195"/>
      <c r="AW100" s="1195"/>
      <c r="AX100" s="1195"/>
      <c r="AY100" s="1195"/>
      <c r="AZ100" s="1195"/>
      <c r="BA100" s="1193"/>
      <c r="BB100" s="504"/>
      <c r="BC100" s="504"/>
    </row>
    <row r="101" customFormat="false" ht="14.1" hidden="false" customHeight="true" outlineLevel="0" collapsed="false">
      <c r="A101" s="1115" t="n">
        <v>1230</v>
      </c>
      <c r="B101" s="1115" t="s">
        <v>157</v>
      </c>
      <c r="C101" s="1115" t="n">
        <v>1230</v>
      </c>
      <c r="D101" s="1115" t="s">
        <v>157</v>
      </c>
      <c r="E101" s="1115" t="s">
        <v>961</v>
      </c>
      <c r="F101" s="1115" t="n">
        <v>97655</v>
      </c>
      <c r="G101" s="1115" t="n">
        <v>1230</v>
      </c>
      <c r="H101" s="1115" t="s">
        <v>157</v>
      </c>
      <c r="I101" s="1115" t="n">
        <v>1280</v>
      </c>
      <c r="J101" s="1115" t="s">
        <v>157</v>
      </c>
      <c r="L101" s="1115" t="n">
        <f aca="false">LOOKUP(M101,$E$6:$F$4002)</f>
        <v>85100</v>
      </c>
      <c r="M101" s="1115" t="s">
        <v>962</v>
      </c>
      <c r="N101" s="1127" t="n">
        <v>1.02</v>
      </c>
      <c r="O101" s="1115" t="n">
        <v>-1</v>
      </c>
      <c r="P101" s="1115" t="s">
        <v>963</v>
      </c>
      <c r="R101" s="1115" t="n">
        <v>1</v>
      </c>
      <c r="S101" s="1115" t="n">
        <v>0.4</v>
      </c>
      <c r="T101" s="1115" t="n">
        <v>0.45</v>
      </c>
      <c r="U101" s="1198" t="n">
        <v>3</v>
      </c>
      <c r="V101" s="1198" t="n">
        <v>3</v>
      </c>
      <c r="W101" s="1198" t="n">
        <v>1</v>
      </c>
      <c r="AA101" s="1124"/>
      <c r="AV101" s="1199" t="s">
        <v>964</v>
      </c>
      <c r="AW101" s="1199"/>
      <c r="AX101" s="1199"/>
      <c r="AY101" s="1200" t="n">
        <f aca="false">BERGHEAT!N32</f>
        <v>23857</v>
      </c>
      <c r="AZ101" s="1201" t="n">
        <f aca="false">BERGHEAT!S32</f>
        <v>1084.40909090909</v>
      </c>
      <c r="BA101" s="1202"/>
      <c r="BB101" s="504"/>
      <c r="BC101" s="504"/>
    </row>
    <row r="102" customFormat="false" ht="14.1" hidden="false" customHeight="true" outlineLevel="0" collapsed="false">
      <c r="A102" s="1115" t="n">
        <v>1260</v>
      </c>
      <c r="B102" s="1115" t="s">
        <v>157</v>
      </c>
      <c r="C102" s="1115" t="n">
        <v>1260</v>
      </c>
      <c r="D102" s="1115" t="s">
        <v>157</v>
      </c>
      <c r="E102" s="1115" t="s">
        <v>965</v>
      </c>
      <c r="F102" s="1115" t="n">
        <v>17610</v>
      </c>
      <c r="G102" s="1115" t="n">
        <v>1260</v>
      </c>
      <c r="H102" s="1115" t="s">
        <v>157</v>
      </c>
      <c r="I102" s="1115" t="n">
        <v>1300</v>
      </c>
      <c r="J102" s="1115" t="s">
        <v>157</v>
      </c>
      <c r="L102" s="1115" t="n">
        <f aca="false">LOOKUP(M102,$E$6:$F$4002)</f>
        <v>51540</v>
      </c>
      <c r="M102" s="1115" t="s">
        <v>966</v>
      </c>
      <c r="N102" s="1127" t="n">
        <v>1.01</v>
      </c>
      <c r="O102" s="1115" t="n">
        <v>0</v>
      </c>
      <c r="P102" s="1115" t="s">
        <v>967</v>
      </c>
      <c r="R102" s="1115" t="n">
        <v>1900</v>
      </c>
      <c r="S102" s="1115" t="n">
        <v>0.35</v>
      </c>
      <c r="T102" s="1115" t="n">
        <v>0.33</v>
      </c>
      <c r="U102" s="1198" t="n">
        <v>2</v>
      </c>
      <c r="V102" s="1198" t="n">
        <v>2</v>
      </c>
      <c r="W102" s="1198" t="n">
        <v>0.7</v>
      </c>
      <c r="AA102" s="1124"/>
      <c r="AV102" s="1199" t="s">
        <v>968</v>
      </c>
      <c r="AW102" s="1199"/>
      <c r="AX102" s="1199"/>
      <c r="AY102" s="1200" t="n">
        <f aca="false">BERGHEAT!$R$9</f>
        <v>4000</v>
      </c>
      <c r="AZ102" s="1201" t="n">
        <f aca="false">BERGHEAT!S33</f>
        <v>240</v>
      </c>
      <c r="BA102" s="1193"/>
      <c r="BB102" s="504"/>
      <c r="BC102" s="504"/>
    </row>
    <row r="103" customFormat="false" ht="14.1" hidden="false" customHeight="true" outlineLevel="0" collapsed="false">
      <c r="A103" s="1115" t="n">
        <v>1280</v>
      </c>
      <c r="B103" s="1115" t="s">
        <v>157</v>
      </c>
      <c r="C103" s="1115" t="n">
        <v>1280</v>
      </c>
      <c r="D103" s="1115" t="s">
        <v>157</v>
      </c>
      <c r="E103" s="1115" t="s">
        <v>969</v>
      </c>
      <c r="F103" s="1115" t="n">
        <v>21860</v>
      </c>
      <c r="G103" s="1115" t="n">
        <v>1280</v>
      </c>
      <c r="H103" s="1115" t="s">
        <v>157</v>
      </c>
      <c r="I103" s="1115" t="n">
        <v>1350</v>
      </c>
      <c r="J103" s="1115" t="s">
        <v>157</v>
      </c>
      <c r="L103" s="1115" t="n">
        <f aca="false">LOOKUP(M103,$E$6:$F$4002)</f>
        <v>36270</v>
      </c>
      <c r="M103" s="1115" t="s">
        <v>970</v>
      </c>
      <c r="N103" s="1127" t="n">
        <v>0.99</v>
      </c>
      <c r="O103" s="1115" t="n">
        <v>1</v>
      </c>
      <c r="P103" s="1115" t="s">
        <v>971</v>
      </c>
      <c r="R103" s="1115" t="n">
        <v>1940</v>
      </c>
      <c r="S103" s="1115" t="n">
        <v>0.33</v>
      </c>
      <c r="T103" s="1115" t="n">
        <v>0.3</v>
      </c>
      <c r="U103" s="1198" t="n">
        <v>2</v>
      </c>
      <c r="V103" s="1198" t="n">
        <v>2</v>
      </c>
      <c r="W103" s="1198" t="n">
        <v>0.6</v>
      </c>
      <c r="AA103" s="1124"/>
      <c r="AV103" s="1199" t="s">
        <v>972</v>
      </c>
      <c r="AW103" s="1199"/>
      <c r="AX103" s="1199"/>
      <c r="AY103" s="1200" t="n">
        <f aca="false">SUM(AY101:AY102)</f>
        <v>27857</v>
      </c>
      <c r="AZ103" s="1201" t="n">
        <f aca="false">AZ101+AZ102</f>
        <v>1324.40909090909</v>
      </c>
      <c r="BA103" s="1193"/>
      <c r="BB103" s="504"/>
      <c r="BC103" s="504"/>
    </row>
    <row r="104" customFormat="false" ht="14.1" hidden="false" customHeight="true" outlineLevel="0" collapsed="false">
      <c r="A104" s="1115" t="n">
        <v>1300</v>
      </c>
      <c r="B104" s="1115" t="s">
        <v>157</v>
      </c>
      <c r="C104" s="1115" t="n">
        <v>1300</v>
      </c>
      <c r="D104" s="1115" t="s">
        <v>157</v>
      </c>
      <c r="E104" s="1115" t="s">
        <v>973</v>
      </c>
      <c r="F104" s="1115" t="n">
        <v>10270</v>
      </c>
      <c r="G104" s="1115" t="n">
        <v>1300</v>
      </c>
      <c r="H104" s="1115" t="s">
        <v>157</v>
      </c>
      <c r="I104" s="1115" t="n">
        <v>1360</v>
      </c>
      <c r="J104" s="1115" t="s">
        <v>157</v>
      </c>
      <c r="L104" s="1115" t="n">
        <f aca="false">LOOKUP(M104,$E$6:$F$4002)</f>
        <v>51200</v>
      </c>
      <c r="M104" s="1115" t="s">
        <v>974</v>
      </c>
      <c r="N104" s="1127" t="n">
        <v>1.01</v>
      </c>
      <c r="O104" s="1115" t="n">
        <v>2</v>
      </c>
      <c r="P104" s="1115" t="s">
        <v>975</v>
      </c>
      <c r="R104" s="1115" t="n">
        <v>1950</v>
      </c>
      <c r="S104" s="1115" t="n">
        <v>0.3</v>
      </c>
      <c r="T104" s="1115" t="n">
        <v>0.28</v>
      </c>
      <c r="U104" s="1198" t="n">
        <v>1.9</v>
      </c>
      <c r="V104" s="1198" t="n">
        <v>1.9</v>
      </c>
      <c r="W104" s="1198" t="n">
        <v>0.5</v>
      </c>
      <c r="AA104" s="1124"/>
      <c r="AV104" s="1199" t="s">
        <v>68</v>
      </c>
      <c r="AW104" s="1199"/>
      <c r="AX104" s="1199"/>
      <c r="AY104" s="1200" t="s">
        <v>68</v>
      </c>
      <c r="AZ104" s="1194"/>
      <c r="BA104" s="1193"/>
      <c r="BB104" s="504"/>
      <c r="BC104" s="504"/>
    </row>
    <row r="105" customFormat="false" ht="14.1" hidden="false" customHeight="true" outlineLevel="0" collapsed="false">
      <c r="A105" s="1115" t="n">
        <v>1350</v>
      </c>
      <c r="B105" s="1115" t="s">
        <v>157</v>
      </c>
      <c r="C105" s="1115" t="n">
        <v>1350</v>
      </c>
      <c r="D105" s="1115" t="s">
        <v>157</v>
      </c>
      <c r="E105" s="1115" t="s">
        <v>976</v>
      </c>
      <c r="F105" s="1115" t="n">
        <v>68910</v>
      </c>
      <c r="G105" s="1115" t="n">
        <v>1350</v>
      </c>
      <c r="H105" s="1115" t="s">
        <v>157</v>
      </c>
      <c r="I105" s="1115" t="n">
        <v>1370</v>
      </c>
      <c r="J105" s="1115" t="s">
        <v>157</v>
      </c>
      <c r="L105" s="1115" t="n">
        <f aca="false">LOOKUP(M105,$E$6:$F$4002)</f>
        <v>38710</v>
      </c>
      <c r="M105" s="1115" t="s">
        <v>977</v>
      </c>
      <c r="N105" s="1127" t="n">
        <v>0.98</v>
      </c>
      <c r="O105" s="1115" t="n">
        <v>3</v>
      </c>
      <c r="P105" s="1115" t="s">
        <v>978</v>
      </c>
      <c r="R105" s="1115" t="n">
        <v>1960</v>
      </c>
      <c r="S105" s="1115" t="n">
        <v>0.26</v>
      </c>
      <c r="T105" s="1115" t="n">
        <v>0.27</v>
      </c>
      <c r="U105" s="1198" t="n">
        <v>1.8</v>
      </c>
      <c r="V105" s="1198" t="n">
        <v>1.9</v>
      </c>
      <c r="W105" s="1198" t="n">
        <v>0.35</v>
      </c>
      <c r="AA105" s="1124"/>
      <c r="AV105" s="1199" t="s">
        <v>979</v>
      </c>
      <c r="AW105" s="1199"/>
      <c r="AX105" s="1199"/>
      <c r="AY105" s="1200" t="n">
        <f aca="false">BERGHEAT!R26</f>
        <v>8829.39393939394</v>
      </c>
      <c r="AZ105" s="1203" t="n">
        <f aca="false">BERGHEAT!S26</f>
        <v>1324.40909090909</v>
      </c>
      <c r="BA105" s="1193"/>
      <c r="BB105" s="504"/>
      <c r="BC105" s="504"/>
    </row>
    <row r="106" customFormat="false" ht="14.1" hidden="false" customHeight="true" outlineLevel="0" collapsed="false">
      <c r="A106" s="1115" t="n">
        <v>1360</v>
      </c>
      <c r="B106" s="1115" t="s">
        <v>157</v>
      </c>
      <c r="C106" s="1115" t="n">
        <v>1360</v>
      </c>
      <c r="D106" s="1115" t="s">
        <v>157</v>
      </c>
      <c r="E106" s="1115" t="s">
        <v>980</v>
      </c>
      <c r="F106" s="1115" t="n">
        <v>66220</v>
      </c>
      <c r="G106" s="1115" t="n">
        <v>1360</v>
      </c>
      <c r="H106" s="1115" t="s">
        <v>157</v>
      </c>
      <c r="I106" s="1115" t="n">
        <v>1380</v>
      </c>
      <c r="J106" s="1115" t="s">
        <v>157</v>
      </c>
      <c r="L106" s="1115" t="n">
        <f aca="false">LOOKUP(M106,$E$6:$F$4002)</f>
        <v>43300</v>
      </c>
      <c r="M106" s="1115" t="s">
        <v>981</v>
      </c>
      <c r="N106" s="1127" t="n">
        <v>0.99</v>
      </c>
      <c r="O106" s="1115" t="n">
        <v>5</v>
      </c>
      <c r="P106" s="1115" t="s">
        <v>982</v>
      </c>
      <c r="R106" s="1115" t="n">
        <v>1970</v>
      </c>
      <c r="S106" s="1115" t="n">
        <v>0.24</v>
      </c>
      <c r="T106" s="1115" t="n">
        <v>0.26</v>
      </c>
      <c r="U106" s="1198" t="n">
        <v>1.7</v>
      </c>
      <c r="V106" s="1198" t="n">
        <v>1.8</v>
      </c>
      <c r="W106" s="1198" t="n">
        <v>0.3</v>
      </c>
      <c r="AA106" s="1124"/>
      <c r="AU106" s="504"/>
      <c r="AV106" s="1199" t="s">
        <v>983</v>
      </c>
      <c r="AW106" s="1199"/>
      <c r="AX106" s="1199"/>
      <c r="AY106" s="1200" t="n">
        <f aca="false">BERGHEAT!R27</f>
        <v>0</v>
      </c>
      <c r="AZ106" s="1203" t="n">
        <f aca="false">BERGHEAT!S27</f>
        <v>0</v>
      </c>
      <c r="BA106" s="1193"/>
      <c r="BB106" s="504"/>
      <c r="BC106" s="504"/>
    </row>
    <row r="107" customFormat="false" ht="14.1" hidden="false" customHeight="true" outlineLevel="0" collapsed="false">
      <c r="A107" s="1115" t="n">
        <v>1370</v>
      </c>
      <c r="B107" s="1115" t="s">
        <v>157</v>
      </c>
      <c r="C107" s="1115" t="n">
        <v>1370</v>
      </c>
      <c r="D107" s="1115" t="s">
        <v>157</v>
      </c>
      <c r="E107" s="1115" t="s">
        <v>984</v>
      </c>
      <c r="F107" s="1115" t="n">
        <v>66660</v>
      </c>
      <c r="G107" s="1115" t="n">
        <v>1370</v>
      </c>
      <c r="H107" s="1115" t="s">
        <v>157</v>
      </c>
      <c r="I107" s="1115" t="n">
        <v>1390</v>
      </c>
      <c r="J107" s="1115" t="s">
        <v>157</v>
      </c>
      <c r="L107" s="1115" t="n">
        <f aca="false">LOOKUP(M107,$E$6:$F$4002)</f>
        <v>69100</v>
      </c>
      <c r="M107" s="1115" t="s">
        <v>985</v>
      </c>
      <c r="N107" s="1127" t="n">
        <v>1.01</v>
      </c>
      <c r="O107" s="1115" t="n">
        <v>6</v>
      </c>
      <c r="P107" s="1115" t="s">
        <v>986</v>
      </c>
      <c r="R107" s="1115" t="n">
        <v>1980</v>
      </c>
      <c r="S107" s="1115" t="n">
        <v>0.23</v>
      </c>
      <c r="T107" s="1115" t="n">
        <v>0.24</v>
      </c>
      <c r="U107" s="1198" t="n">
        <v>1.6</v>
      </c>
      <c r="V107" s="1198" t="n">
        <v>1.7</v>
      </c>
      <c r="W107" s="1198" t="n">
        <v>0.27</v>
      </c>
      <c r="AA107" s="1124"/>
      <c r="AU107" s="504"/>
      <c r="AV107" s="1199" t="s">
        <v>972</v>
      </c>
      <c r="AW107" s="1199"/>
      <c r="AX107" s="1199"/>
      <c r="AY107" s="1204" t="n">
        <f aca="false">SUM(AY105:AY106)</f>
        <v>8829.39393939394</v>
      </c>
      <c r="AZ107" s="1203" t="n">
        <f aca="false">BERGHEAT!S35</f>
        <v>1324.40909090909</v>
      </c>
      <c r="BA107" s="1193"/>
      <c r="BB107" s="504"/>
      <c r="BC107" s="504"/>
    </row>
    <row r="108" customFormat="false" ht="14.1" hidden="false" customHeight="true" outlineLevel="0" collapsed="false">
      <c r="A108" s="1115" t="n">
        <v>1380</v>
      </c>
      <c r="B108" s="1115" t="s">
        <v>157</v>
      </c>
      <c r="C108" s="1115" t="n">
        <v>1380</v>
      </c>
      <c r="D108" s="1115" t="s">
        <v>157</v>
      </c>
      <c r="E108" s="1115" t="s">
        <v>987</v>
      </c>
      <c r="F108" s="1115" t="n">
        <v>25860</v>
      </c>
      <c r="G108" s="1115" t="n">
        <v>1380</v>
      </c>
      <c r="H108" s="1115" t="s">
        <v>157</v>
      </c>
      <c r="I108" s="1115" t="n">
        <v>1400</v>
      </c>
      <c r="J108" s="1115" t="s">
        <v>157</v>
      </c>
      <c r="L108" s="1115" t="n">
        <f aca="false">LOOKUP(M108,$E$6:$F$4002)</f>
        <v>64350</v>
      </c>
      <c r="M108" s="1115" t="s">
        <v>988</v>
      </c>
      <c r="N108" s="1127" t="n">
        <v>0.99</v>
      </c>
      <c r="O108" s="1115" t="n">
        <v>7</v>
      </c>
      <c r="P108" s="1115" t="s">
        <v>989</v>
      </c>
      <c r="R108" s="1115" t="n">
        <v>1990</v>
      </c>
      <c r="S108" s="1115" t="n">
        <v>0.22</v>
      </c>
      <c r="T108" s="1115" t="n">
        <v>0.22</v>
      </c>
      <c r="U108" s="1198" t="n">
        <v>1.5</v>
      </c>
      <c r="V108" s="1198" t="n">
        <v>1.6</v>
      </c>
      <c r="W108" s="1198" t="n">
        <v>0.25</v>
      </c>
      <c r="AA108" s="1124"/>
      <c r="AU108" s="504"/>
      <c r="AV108" s="1195"/>
      <c r="AW108" s="1195"/>
      <c r="AX108" s="1195"/>
      <c r="AY108" s="1195"/>
      <c r="AZ108" s="1195"/>
      <c r="BB108" s="504"/>
      <c r="BC108" s="504"/>
    </row>
    <row r="109" customFormat="false" ht="14.1" hidden="false" customHeight="true" outlineLevel="0" collapsed="false">
      <c r="A109" s="1115" t="n">
        <v>1390</v>
      </c>
      <c r="B109" s="1115" t="s">
        <v>157</v>
      </c>
      <c r="C109" s="1115" t="n">
        <v>1390</v>
      </c>
      <c r="D109" s="1115" t="s">
        <v>157</v>
      </c>
      <c r="E109" s="1115" t="s">
        <v>990</v>
      </c>
      <c r="F109" s="1115" t="n">
        <v>65870</v>
      </c>
      <c r="G109" s="1115" t="n">
        <v>1390</v>
      </c>
      <c r="H109" s="1115" t="s">
        <v>157</v>
      </c>
      <c r="I109" s="1115" t="n">
        <v>1420</v>
      </c>
      <c r="J109" s="1115" t="s">
        <v>157</v>
      </c>
      <c r="L109" s="1115" t="n">
        <f aca="false">LOOKUP(M109,$E$6:$F$4002)</f>
        <v>10300</v>
      </c>
      <c r="M109" s="1115" t="s">
        <v>991</v>
      </c>
      <c r="N109" s="1127" t="n">
        <v>1.02</v>
      </c>
      <c r="O109" s="1115" t="n">
        <v>7.5</v>
      </c>
      <c r="P109" s="1115" t="s">
        <v>992</v>
      </c>
      <c r="R109" s="1115" t="n">
        <v>2000</v>
      </c>
      <c r="S109" s="1115" t="n">
        <v>0.2</v>
      </c>
      <c r="T109" s="1115" t="n">
        <v>0.18</v>
      </c>
      <c r="U109" s="1198" t="n">
        <v>1.4</v>
      </c>
      <c r="V109" s="1198" t="n">
        <v>1.55</v>
      </c>
      <c r="W109" s="1198" t="n">
        <v>0.21</v>
      </c>
      <c r="AU109" s="504"/>
      <c r="AV109" s="1199" t="s">
        <v>993</v>
      </c>
      <c r="AW109" s="1199"/>
      <c r="AX109" s="1199"/>
      <c r="AY109" s="1205" t="s">
        <v>68</v>
      </c>
      <c r="AZ109" s="1206" t="n">
        <f aca="false">BERGHEAT!S25</f>
        <v>3.15502968733912</v>
      </c>
      <c r="BB109" s="504"/>
      <c r="BC109" s="504"/>
    </row>
    <row r="110" customFormat="false" ht="14.1" hidden="false" customHeight="true" outlineLevel="0" collapsed="false">
      <c r="A110" s="1115" t="n">
        <v>1400</v>
      </c>
      <c r="B110" s="1115" t="s">
        <v>157</v>
      </c>
      <c r="C110" s="1115" t="n">
        <v>1400</v>
      </c>
      <c r="D110" s="1115" t="s">
        <v>157</v>
      </c>
      <c r="E110" s="1115" t="s">
        <v>994</v>
      </c>
      <c r="F110" s="1115" t="n">
        <v>25920</v>
      </c>
      <c r="G110" s="1115" t="n">
        <v>1400</v>
      </c>
      <c r="H110" s="1115" t="s">
        <v>157</v>
      </c>
      <c r="I110" s="1115" t="n">
        <v>1450</v>
      </c>
      <c r="J110" s="1115" t="s">
        <v>157</v>
      </c>
      <c r="L110" s="1115" t="n">
        <f aca="false">LOOKUP(M110,$E$6:$F$4002)</f>
        <v>9120</v>
      </c>
      <c r="M110" s="1115" t="s">
        <v>995</v>
      </c>
      <c r="N110" s="1127" t="n">
        <v>1.01</v>
      </c>
      <c r="O110" s="1115" t="n">
        <v>9</v>
      </c>
      <c r="P110" s="1115" t="s">
        <v>996</v>
      </c>
      <c r="R110" s="1115" t="n">
        <v>2005</v>
      </c>
      <c r="S110" s="1115" t="n">
        <v>0.2</v>
      </c>
      <c r="T110" s="1115" t="n">
        <v>0.15</v>
      </c>
      <c r="U110" s="1198" t="n">
        <v>1.4</v>
      </c>
      <c r="V110" s="1198" t="n">
        <v>1.5</v>
      </c>
      <c r="W110" s="1198" t="n">
        <v>0.21</v>
      </c>
      <c r="AA110" s="1124"/>
      <c r="AU110" s="504"/>
      <c r="AV110" s="1195"/>
      <c r="AW110" s="1195"/>
      <c r="AX110" s="1195"/>
      <c r="AY110" s="1195"/>
      <c r="AZ110" s="1195"/>
      <c r="BB110" s="504"/>
      <c r="BC110" s="504"/>
    </row>
    <row r="111" customFormat="false" ht="14.1" hidden="false" customHeight="true" outlineLevel="0" collapsed="false">
      <c r="A111" s="1115" t="n">
        <v>1420</v>
      </c>
      <c r="B111" s="1115" t="s">
        <v>157</v>
      </c>
      <c r="C111" s="1115" t="n">
        <v>1420</v>
      </c>
      <c r="D111" s="1115" t="s">
        <v>157</v>
      </c>
      <c r="E111" s="1115" t="s">
        <v>997</v>
      </c>
      <c r="F111" s="1115" t="n">
        <v>10440</v>
      </c>
      <c r="G111" s="1115" t="n">
        <v>1420</v>
      </c>
      <c r="H111" s="1115" t="s">
        <v>157</v>
      </c>
      <c r="I111" s="1115" t="n">
        <v>1480</v>
      </c>
      <c r="J111" s="1115" t="s">
        <v>157</v>
      </c>
      <c r="L111" s="1115" t="n">
        <f aca="false">LOOKUP(M111,$E$6:$F$4002)</f>
        <v>3600</v>
      </c>
      <c r="M111" s="1115" t="s">
        <v>998</v>
      </c>
      <c r="N111" s="1127" t="n">
        <v>1.02</v>
      </c>
      <c r="O111" s="1115" t="n">
        <v>10</v>
      </c>
      <c r="P111" s="1115" t="s">
        <v>999</v>
      </c>
      <c r="R111" s="1115" t="n">
        <v>2007</v>
      </c>
      <c r="S111" s="1115" t="n">
        <v>0.19</v>
      </c>
      <c r="T111" s="1115" t="n">
        <v>0.14</v>
      </c>
      <c r="U111" s="1198" t="n">
        <v>1.3</v>
      </c>
      <c r="V111" s="1198" t="n">
        <v>1.4</v>
      </c>
      <c r="W111" s="1198" t="n">
        <v>0.2</v>
      </c>
      <c r="AA111" s="1124"/>
      <c r="AU111" s="504"/>
      <c r="AV111" s="1199" t="s">
        <v>1000</v>
      </c>
      <c r="AW111" s="1199"/>
      <c r="AX111" s="1199"/>
      <c r="AY111" s="1205" t="s">
        <v>68</v>
      </c>
      <c r="AZ111" s="1203" t="n">
        <f aca="false">BERGHEAT!R22</f>
        <v>4178.55</v>
      </c>
      <c r="BB111" s="504"/>
      <c r="BC111" s="504"/>
    </row>
    <row r="112" customFormat="false" ht="14.1" hidden="false" customHeight="true" outlineLevel="0" collapsed="false">
      <c r="A112" s="1115" t="n">
        <v>1450</v>
      </c>
      <c r="B112" s="1115" t="s">
        <v>157</v>
      </c>
      <c r="C112" s="1115" t="n">
        <v>1450</v>
      </c>
      <c r="D112" s="1115" t="s">
        <v>157</v>
      </c>
      <c r="E112" s="1115" t="s">
        <v>1001</v>
      </c>
      <c r="F112" s="1115" t="n">
        <v>75550</v>
      </c>
      <c r="G112" s="1115" t="n">
        <v>1450</v>
      </c>
      <c r="H112" s="1115" t="s">
        <v>157</v>
      </c>
      <c r="I112" s="1115" t="n">
        <v>1490</v>
      </c>
      <c r="J112" s="1115" t="s">
        <v>157</v>
      </c>
      <c r="L112" s="1115" t="n">
        <f aca="false">LOOKUP(M112,$E$6:$F$4002)</f>
        <v>43500</v>
      </c>
      <c r="M112" s="1115" t="s">
        <v>1002</v>
      </c>
      <c r="N112" s="1127" t="n">
        <v>0.98</v>
      </c>
      <c r="O112" s="1115" t="n">
        <v>10.4</v>
      </c>
      <c r="P112" s="1115" t="s">
        <v>1003</v>
      </c>
      <c r="R112" s="1115" t="n">
        <v>2008</v>
      </c>
      <c r="S112" s="1115" t="n">
        <v>0.19</v>
      </c>
      <c r="T112" s="1115" t="n">
        <v>0.13</v>
      </c>
      <c r="U112" s="1198" t="n">
        <v>1.2</v>
      </c>
      <c r="V112" s="1198" t="n">
        <v>1.3</v>
      </c>
      <c r="W112" s="1198" t="n">
        <v>0.19</v>
      </c>
      <c r="AA112" s="1124"/>
      <c r="AU112" s="504"/>
      <c r="AV112" s="1199" t="s">
        <v>1004</v>
      </c>
      <c r="AW112" s="1199"/>
      <c r="AX112" s="1199"/>
      <c r="AY112" s="1205" t="s">
        <v>68</v>
      </c>
      <c r="AZ112" s="1203" t="n">
        <f aca="false">BERGHEAT!R20</f>
        <v>3682.24712643678</v>
      </c>
      <c r="BA112" s="504"/>
      <c r="BB112" s="504"/>
      <c r="BC112" s="504"/>
    </row>
    <row r="113" customFormat="false" ht="14.1" hidden="false" customHeight="true" outlineLevel="0" collapsed="false">
      <c r="A113" s="1115" t="n">
        <v>1480</v>
      </c>
      <c r="B113" s="1115" t="s">
        <v>157</v>
      </c>
      <c r="C113" s="1115" t="n">
        <v>1480</v>
      </c>
      <c r="D113" s="1115" t="s">
        <v>157</v>
      </c>
      <c r="E113" s="1115" t="s">
        <v>1005</v>
      </c>
      <c r="F113" s="1115" t="n">
        <v>68555</v>
      </c>
      <c r="G113" s="1115" t="n">
        <v>1480</v>
      </c>
      <c r="H113" s="1115" t="s">
        <v>157</v>
      </c>
      <c r="I113" s="1115" t="n">
        <v>1510</v>
      </c>
      <c r="J113" s="1115" t="s">
        <v>157</v>
      </c>
      <c r="L113" s="1115" t="n">
        <f aca="false">LOOKUP(M113,$E$6:$F$4002)</f>
        <v>72100</v>
      </c>
      <c r="M113" s="1115" t="s">
        <v>1006</v>
      </c>
      <c r="N113" s="1127" t="n">
        <v>0.99</v>
      </c>
      <c r="O113" s="1115" t="n">
        <v>10.8</v>
      </c>
      <c r="P113" s="1115" t="s">
        <v>1007</v>
      </c>
      <c r="R113" s="1115" t="n">
        <v>2009</v>
      </c>
      <c r="S113" s="1115" t="n">
        <v>0.18</v>
      </c>
      <c r="T113" s="1115" t="n">
        <v>0.12</v>
      </c>
      <c r="U113" s="1198" t="n">
        <v>1.1</v>
      </c>
      <c r="V113" s="1198" t="n">
        <v>1.1</v>
      </c>
      <c r="W113" s="1198" t="n">
        <v>0.18</v>
      </c>
      <c r="AA113" s="1124"/>
      <c r="AU113" s="504"/>
      <c r="AV113" s="1195"/>
      <c r="AW113" s="1195"/>
      <c r="AX113" s="1195"/>
      <c r="AY113" s="1195"/>
      <c r="AZ113" s="1195"/>
      <c r="BA113" s="504"/>
      <c r="BB113" s="504"/>
      <c r="BC113" s="504"/>
    </row>
    <row r="114" customFormat="false" ht="14.1" hidden="false" customHeight="true" outlineLevel="0" collapsed="false">
      <c r="A114" s="1115" t="n">
        <v>1490</v>
      </c>
      <c r="B114" s="1115" t="s">
        <v>157</v>
      </c>
      <c r="C114" s="1115" t="n">
        <v>1490</v>
      </c>
      <c r="D114" s="1115" t="s">
        <v>157</v>
      </c>
      <c r="E114" s="1115" t="s">
        <v>1008</v>
      </c>
      <c r="F114" s="1115" t="n">
        <v>10750</v>
      </c>
      <c r="G114" s="1115" t="n">
        <v>1490</v>
      </c>
      <c r="H114" s="1115" t="s">
        <v>157</v>
      </c>
      <c r="I114" s="1115" t="n">
        <v>1530</v>
      </c>
      <c r="J114" s="1115" t="s">
        <v>157</v>
      </c>
      <c r="L114" s="1115" t="n">
        <f aca="false">LOOKUP(M114,$E$6:$F$4002)</f>
        <v>39930</v>
      </c>
      <c r="M114" s="1115" t="s">
        <v>1009</v>
      </c>
      <c r="N114" s="1127" t="n">
        <v>0.93</v>
      </c>
      <c r="O114" s="1115" t="n">
        <v>11</v>
      </c>
      <c r="P114" s="1115" t="s">
        <v>1010</v>
      </c>
      <c r="R114" s="1115" t="n">
        <v>2010</v>
      </c>
      <c r="S114" s="1115" t="n">
        <v>0.17</v>
      </c>
      <c r="T114" s="1115" t="n">
        <v>0.09</v>
      </c>
      <c r="U114" s="1198" t="n">
        <v>1</v>
      </c>
      <c r="V114" s="1198" t="n">
        <v>1</v>
      </c>
      <c r="W114" s="1198" t="n">
        <v>0.17</v>
      </c>
      <c r="AA114" s="1124"/>
      <c r="AU114" s="504"/>
      <c r="AV114" s="1199" t="s">
        <v>1011</v>
      </c>
      <c r="AW114" s="1199"/>
      <c r="AX114" s="1199"/>
      <c r="AY114" s="1200" t="n">
        <f aca="false">BERGHEAT!G41</f>
        <v>4630</v>
      </c>
      <c r="AZ114" s="1203" t="n">
        <f aca="false">BERGHEAT!G25*AY114</f>
        <v>694.5</v>
      </c>
      <c r="BA114" s="504"/>
      <c r="BB114" s="504"/>
      <c r="BC114" s="504"/>
    </row>
    <row r="115" customFormat="false" ht="14.1" hidden="false" customHeight="true" outlineLevel="0" collapsed="false">
      <c r="A115" s="1115" t="n">
        <v>1510</v>
      </c>
      <c r="B115" s="1115" t="s">
        <v>157</v>
      </c>
      <c r="C115" s="1115" t="n">
        <v>1510</v>
      </c>
      <c r="D115" s="1115" t="s">
        <v>157</v>
      </c>
      <c r="E115" s="1115" t="s">
        <v>1012</v>
      </c>
      <c r="F115" s="1115" t="n">
        <v>10570</v>
      </c>
      <c r="G115" s="1115" t="n">
        <v>1510</v>
      </c>
      <c r="H115" s="1115" t="s">
        <v>157</v>
      </c>
      <c r="I115" s="1115" t="n">
        <v>1560</v>
      </c>
      <c r="J115" s="1115" t="s">
        <v>1013</v>
      </c>
      <c r="L115" s="1115" t="n">
        <f aca="false">LOOKUP(M115,$E$6:$F$4002)</f>
        <v>64260</v>
      </c>
      <c r="M115" s="1115" t="s">
        <v>1014</v>
      </c>
      <c r="N115" s="1127" t="n">
        <v>1.03</v>
      </c>
      <c r="O115" s="1115" t="n">
        <v>11.5</v>
      </c>
      <c r="P115" s="1115" t="s">
        <v>1015</v>
      </c>
      <c r="R115" s="1115" t="n">
        <v>2011</v>
      </c>
      <c r="S115" s="1115" t="n">
        <v>0.16</v>
      </c>
      <c r="T115" s="1115" t="n">
        <v>0.09</v>
      </c>
      <c r="U115" s="1198" t="n">
        <v>1</v>
      </c>
      <c r="V115" s="1198" t="n">
        <v>1</v>
      </c>
      <c r="W115" s="1198" t="n">
        <v>0.17</v>
      </c>
      <c r="AA115" s="1124"/>
      <c r="AU115" s="504"/>
      <c r="AV115" s="1199" t="s">
        <v>1016</v>
      </c>
      <c r="AW115" s="1199"/>
      <c r="AX115" s="1199"/>
      <c r="AY115" s="1200" t="n">
        <f aca="false">BERGHEAT!R28</f>
        <v>8829.39393939394</v>
      </c>
      <c r="AZ115" s="1203" t="n">
        <f aca="false">BERGHEAT!S28</f>
        <v>1324.40909090909</v>
      </c>
      <c r="BA115" s="504"/>
      <c r="BB115" s="504"/>
      <c r="BC115" s="504"/>
    </row>
    <row r="116" customFormat="false" ht="14.1" hidden="false" customHeight="true" outlineLevel="0" collapsed="false">
      <c r="A116" s="1115" t="n">
        <v>1530</v>
      </c>
      <c r="B116" s="1115" t="s">
        <v>157</v>
      </c>
      <c r="C116" s="1115" t="n">
        <v>1530</v>
      </c>
      <c r="D116" s="1115" t="s">
        <v>1017</v>
      </c>
      <c r="E116" s="1115" t="s">
        <v>750</v>
      </c>
      <c r="F116" s="1115" t="n">
        <v>22920</v>
      </c>
      <c r="G116" s="1115" t="n">
        <v>1530</v>
      </c>
      <c r="H116" s="1115" t="s">
        <v>1017</v>
      </c>
      <c r="I116" s="1115" t="n">
        <v>1590</v>
      </c>
      <c r="J116" s="1115" t="s">
        <v>1013</v>
      </c>
      <c r="L116" s="1115" t="n">
        <f aca="false">LOOKUP(M116,$E$6:$F$4002)</f>
        <v>61850</v>
      </c>
      <c r="M116" s="1115" t="s">
        <v>1018</v>
      </c>
      <c r="N116" s="1127" t="n">
        <v>0.94</v>
      </c>
      <c r="O116" s="1115" t="n">
        <v>12</v>
      </c>
      <c r="P116" s="1115" t="s">
        <v>1015</v>
      </c>
      <c r="R116" s="1115" t="n">
        <v>2012</v>
      </c>
      <c r="S116" s="1115" t="n">
        <v>0.16</v>
      </c>
      <c r="T116" s="1115" t="n">
        <v>0.09</v>
      </c>
      <c r="U116" s="1198" t="n">
        <v>1</v>
      </c>
      <c r="V116" s="1198" t="n">
        <v>1</v>
      </c>
      <c r="W116" s="1198" t="n">
        <v>0.17</v>
      </c>
      <c r="AA116" s="1124"/>
      <c r="AU116" s="504"/>
      <c r="AV116" s="1199" t="s">
        <v>1019</v>
      </c>
      <c r="AW116" s="1199"/>
      <c r="AX116" s="1199"/>
      <c r="AY116" s="1207" t="n">
        <f aca="false">SUM(AY114:AY115)</f>
        <v>13459.3939393939</v>
      </c>
      <c r="AZ116" s="1203" t="n">
        <f aca="false">SUM(AZ114:AZ115)</f>
        <v>2018.90909090909</v>
      </c>
      <c r="BA116" s="504"/>
      <c r="BB116" s="504"/>
      <c r="BC116" s="504"/>
    </row>
    <row r="117" customFormat="false" ht="14.1" hidden="false" customHeight="true" outlineLevel="0" collapsed="false">
      <c r="A117" s="1115" t="n">
        <v>1560</v>
      </c>
      <c r="B117" s="1115" t="s">
        <v>157</v>
      </c>
      <c r="C117" s="1115" t="n">
        <v>1560</v>
      </c>
      <c r="D117" s="1115" t="s">
        <v>1020</v>
      </c>
      <c r="E117" s="1115" t="s">
        <v>750</v>
      </c>
      <c r="F117" s="1115" t="n">
        <v>22920</v>
      </c>
      <c r="G117" s="1115" t="n">
        <v>1560</v>
      </c>
      <c r="H117" s="1115" t="s">
        <v>1020</v>
      </c>
      <c r="I117" s="1115" t="n">
        <v>1600</v>
      </c>
      <c r="J117" s="1115" t="s">
        <v>157</v>
      </c>
      <c r="L117" s="1115" t="n">
        <f aca="false">LOOKUP(M117,$E$6:$F$4002)</f>
        <v>62200</v>
      </c>
      <c r="M117" s="1115" t="s">
        <v>1021</v>
      </c>
      <c r="N117" s="1127" t="n">
        <v>1.02</v>
      </c>
      <c r="O117" s="1115" t="n">
        <v>12.5</v>
      </c>
      <c r="P117" s="1115" t="s">
        <v>1022</v>
      </c>
      <c r="R117" s="1115" t="n">
        <v>2013</v>
      </c>
      <c r="S117" s="1115" t="n">
        <v>0.15</v>
      </c>
      <c r="T117" s="1115" t="n">
        <v>0.09</v>
      </c>
      <c r="U117" s="1198" t="n">
        <v>1</v>
      </c>
      <c r="V117" s="1198" t="n">
        <v>1</v>
      </c>
      <c r="W117" s="1198" t="n">
        <v>0.15</v>
      </c>
      <c r="AA117" s="1124"/>
      <c r="AU117" s="504"/>
      <c r="AV117" s="0"/>
      <c r="AW117" s="0"/>
      <c r="AX117" s="504"/>
      <c r="AY117" s="504"/>
      <c r="AZ117" s="504"/>
      <c r="BA117" s="504"/>
      <c r="BB117" s="504"/>
      <c r="BC117" s="504"/>
    </row>
    <row r="118" customFormat="false" ht="14.1" hidden="false" customHeight="true" outlineLevel="0" collapsed="false">
      <c r="A118" s="1115" t="n">
        <v>1590</v>
      </c>
      <c r="B118" s="1115" t="s">
        <v>157</v>
      </c>
      <c r="C118" s="1115" t="n">
        <v>1590</v>
      </c>
      <c r="D118" s="1115" t="s">
        <v>1023</v>
      </c>
      <c r="E118" s="1115" t="s">
        <v>1024</v>
      </c>
      <c r="F118" s="1115" t="n">
        <v>65950</v>
      </c>
      <c r="G118" s="1115" t="n">
        <v>1590</v>
      </c>
      <c r="H118" s="1115" t="s">
        <v>1023</v>
      </c>
      <c r="I118" s="1115" t="n">
        <v>1610</v>
      </c>
      <c r="J118" s="1115" t="s">
        <v>157</v>
      </c>
      <c r="L118" s="1115" t="n">
        <f aca="false">LOOKUP(M118,$E$6:$F$4002)</f>
        <v>2700</v>
      </c>
      <c r="M118" s="1115" t="s">
        <v>1025</v>
      </c>
      <c r="N118" s="1127" t="n">
        <v>0.95</v>
      </c>
      <c r="O118" s="1115" t="n">
        <v>13</v>
      </c>
      <c r="P118" s="1115" t="s">
        <v>1026</v>
      </c>
      <c r="R118" s="1115" t="n">
        <v>2014</v>
      </c>
      <c r="S118" s="1115" t="n">
        <v>0.14</v>
      </c>
      <c r="T118" s="1115" t="n">
        <v>0.09</v>
      </c>
      <c r="U118" s="1198" t="n">
        <v>1</v>
      </c>
      <c r="V118" s="1198" t="n">
        <v>0.95</v>
      </c>
      <c r="W118" s="1198" t="n">
        <v>0.13</v>
      </c>
      <c r="AA118" s="1124"/>
      <c r="AU118" s="504"/>
      <c r="AV118" s="1208" t="str">
        <f aca="false">"Bergheat "&amp;BERGHEAT!B1&amp;" - "&amp;BERGHEAT!H200</f>
        <v>Bergheat 46.680 - 1,8</v>
      </c>
      <c r="AW118" s="1209" t="n">
        <f aca="true">TODAY()</f>
        <v>40404</v>
      </c>
      <c r="AX118" s="504"/>
      <c r="AY118" s="504"/>
      <c r="AZ118" s="504"/>
      <c r="BA118" s="504"/>
      <c r="BB118" s="504"/>
      <c r="BC118" s="504"/>
    </row>
    <row r="119" customFormat="false" ht="14.1" hidden="false" customHeight="true" outlineLevel="0" collapsed="false">
      <c r="A119" s="1115" t="n">
        <v>1600</v>
      </c>
      <c r="B119" s="1115" t="s">
        <v>157</v>
      </c>
      <c r="C119" s="1115" t="n">
        <v>1600</v>
      </c>
      <c r="D119" s="1115" t="s">
        <v>157</v>
      </c>
      <c r="E119" s="1115" t="s">
        <v>1027</v>
      </c>
      <c r="F119" s="1115" t="n">
        <v>68830</v>
      </c>
      <c r="G119" s="1115" t="n">
        <v>1600</v>
      </c>
      <c r="H119" s="1115" t="s">
        <v>157</v>
      </c>
      <c r="I119" s="1115" t="n">
        <v>1620</v>
      </c>
      <c r="J119" s="1115" t="s">
        <v>157</v>
      </c>
      <c r="L119" s="1115" t="n">
        <f aca="false">LOOKUP(M119,$E$6:$F$4002)</f>
        <v>69600</v>
      </c>
      <c r="M119" s="1115" t="s">
        <v>1028</v>
      </c>
      <c r="N119" s="1127" t="n">
        <v>0.99</v>
      </c>
      <c r="O119" s="1115" t="n">
        <v>13.5</v>
      </c>
      <c r="P119" s="1115" t="s">
        <v>1029</v>
      </c>
      <c r="R119" s="1115" t="n">
        <v>2015</v>
      </c>
      <c r="S119" s="1115" t="n">
        <v>0.12</v>
      </c>
      <c r="T119" s="1115" t="n">
        <v>0.08</v>
      </c>
      <c r="U119" s="1198" t="n">
        <v>0.9</v>
      </c>
      <c r="V119" s="1198" t="n">
        <v>0.9</v>
      </c>
      <c r="W119" s="1198" t="n">
        <v>0.1</v>
      </c>
      <c r="AA119" s="1124"/>
      <c r="AU119" s="504"/>
      <c r="AV119" s="504"/>
      <c r="AW119" s="504"/>
      <c r="AX119" s="504"/>
      <c r="AY119" s="504"/>
      <c r="AZ119" s="504"/>
      <c r="BA119" s="504"/>
      <c r="BB119" s="504"/>
      <c r="BC119" s="504"/>
    </row>
    <row r="120" customFormat="false" ht="14.1" hidden="false" customHeight="true" outlineLevel="0" collapsed="false">
      <c r="A120" s="1115" t="n">
        <v>1610</v>
      </c>
      <c r="B120" s="1115" t="s">
        <v>157</v>
      </c>
      <c r="C120" s="1115" t="n">
        <v>1610</v>
      </c>
      <c r="D120" s="1115" t="s">
        <v>157</v>
      </c>
      <c r="E120" s="1115" t="s">
        <v>1030</v>
      </c>
      <c r="F120" s="1115" t="n">
        <v>64240</v>
      </c>
      <c r="G120" s="1115" t="n">
        <v>1610</v>
      </c>
      <c r="H120" s="1115" t="s">
        <v>157</v>
      </c>
      <c r="I120" s="1115" t="n">
        <v>1630</v>
      </c>
      <c r="J120" s="1115" t="s">
        <v>157</v>
      </c>
      <c r="L120" s="1115" t="n">
        <f aca="false">LOOKUP(M120,$E$6:$F$4002)</f>
        <v>72600</v>
      </c>
      <c r="M120" s="1115" t="s">
        <v>1031</v>
      </c>
      <c r="N120" s="1127" t="n">
        <v>0.98</v>
      </c>
      <c r="O120" s="1115" t="n">
        <v>14</v>
      </c>
      <c r="P120" s="1115" t="s">
        <v>1032</v>
      </c>
      <c r="R120" s="1115" t="n">
        <v>2016</v>
      </c>
      <c r="S120" s="1115" t="n">
        <v>0.11</v>
      </c>
      <c r="T120" s="1115" t="n">
        <v>0.06</v>
      </c>
      <c r="U120" s="1198" t="n">
        <v>0.8</v>
      </c>
      <c r="V120" s="1198" t="n">
        <v>0.8</v>
      </c>
      <c r="W120" s="1198" t="n">
        <v>0.08</v>
      </c>
      <c r="AA120" s="1124"/>
      <c r="AU120" s="504"/>
      <c r="AV120" s="504"/>
      <c r="AW120" s="504"/>
      <c r="AX120" s="504"/>
      <c r="AY120" s="504"/>
      <c r="AZ120" s="504"/>
      <c r="BA120" s="504"/>
      <c r="BB120" s="504"/>
      <c r="BC120" s="504"/>
    </row>
    <row r="121" customFormat="false" ht="14.1" hidden="false" customHeight="true" outlineLevel="0" collapsed="false">
      <c r="A121" s="1115" t="n">
        <v>1620</v>
      </c>
      <c r="B121" s="1115" t="s">
        <v>157</v>
      </c>
      <c r="C121" s="1115" t="n">
        <v>1620</v>
      </c>
      <c r="D121" s="1115" t="s">
        <v>157</v>
      </c>
      <c r="E121" s="1115" t="s">
        <v>1033</v>
      </c>
      <c r="F121" s="1115" t="n">
        <v>64320</v>
      </c>
      <c r="G121" s="1115" t="n">
        <v>1620</v>
      </c>
      <c r="H121" s="1115" t="s">
        <v>157</v>
      </c>
      <c r="I121" s="1115" t="n">
        <v>1640</v>
      </c>
      <c r="J121" s="1115" t="s">
        <v>157</v>
      </c>
      <c r="L121" s="1115" t="n">
        <f aca="false">LOOKUP(M121,$E$6:$F$4002)</f>
        <v>94900</v>
      </c>
      <c r="M121" s="1115" t="s">
        <v>781</v>
      </c>
      <c r="N121" s="1127" t="n">
        <v>0.95</v>
      </c>
      <c r="O121" s="1115" t="n">
        <v>14.5</v>
      </c>
      <c r="P121" s="1115" t="s">
        <v>1034</v>
      </c>
      <c r="R121" s="1115" t="n">
        <v>2025</v>
      </c>
      <c r="S121" s="1115" t="n">
        <v>0.1</v>
      </c>
      <c r="T121" s="1115" t="n">
        <v>0.05</v>
      </c>
      <c r="U121" s="1198" t="n">
        <v>0.8</v>
      </c>
      <c r="V121" s="1198" t="n">
        <v>0.8</v>
      </c>
      <c r="W121" s="1198" t="n">
        <v>0.07</v>
      </c>
      <c r="AA121" s="1124"/>
      <c r="AU121" s="504"/>
      <c r="AV121" s="504"/>
      <c r="AW121" s="504"/>
      <c r="AX121" s="504"/>
      <c r="AY121" s="504"/>
      <c r="AZ121" s="504"/>
      <c r="BA121" s="504"/>
      <c r="BB121" s="504"/>
      <c r="BC121" s="504"/>
    </row>
    <row r="122" customFormat="false" ht="14.1" hidden="false" customHeight="true" outlineLevel="0" collapsed="false">
      <c r="A122" s="1115" t="n">
        <v>1630</v>
      </c>
      <c r="B122" s="1115" t="s">
        <v>157</v>
      </c>
      <c r="C122" s="1115" t="n">
        <v>1630</v>
      </c>
      <c r="D122" s="1115" t="s">
        <v>157</v>
      </c>
      <c r="E122" s="1115" t="s">
        <v>1033</v>
      </c>
      <c r="F122" s="1115" t="n">
        <v>64320</v>
      </c>
      <c r="G122" s="1115" t="n">
        <v>1630</v>
      </c>
      <c r="H122" s="1115" t="s">
        <v>157</v>
      </c>
      <c r="I122" s="1115" t="n">
        <v>1650</v>
      </c>
      <c r="J122" s="1115" t="s">
        <v>157</v>
      </c>
      <c r="L122" s="1115" t="n">
        <f aca="false">LOOKUP(M122,$E$6:$F$4002)</f>
        <v>98120</v>
      </c>
      <c r="M122" s="1115" t="s">
        <v>1035</v>
      </c>
      <c r="N122" s="1127" t="n">
        <v>1.03</v>
      </c>
      <c r="O122" s="1115" t="n">
        <v>15</v>
      </c>
      <c r="P122" s="1115" t="s">
        <v>1036</v>
      </c>
      <c r="AA122" s="1124"/>
      <c r="AU122" s="504"/>
      <c r="AV122" s="504"/>
      <c r="AW122" s="504"/>
      <c r="AX122" s="504"/>
      <c r="AY122" s="504"/>
      <c r="AZ122" s="504"/>
      <c r="BA122" s="504"/>
      <c r="BB122" s="504"/>
      <c r="BC122" s="504"/>
    </row>
    <row r="123" customFormat="false" ht="14.1" hidden="false" customHeight="true" outlineLevel="0" collapsed="false">
      <c r="A123" s="1115" t="n">
        <v>1640</v>
      </c>
      <c r="B123" s="1115" t="s">
        <v>157</v>
      </c>
      <c r="C123" s="1115" t="n">
        <v>1640</v>
      </c>
      <c r="D123" s="1115" t="s">
        <v>157</v>
      </c>
      <c r="E123" s="1115" t="s">
        <v>1037</v>
      </c>
      <c r="F123" s="1115" t="n">
        <v>64470</v>
      </c>
      <c r="G123" s="1115" t="n">
        <v>1640</v>
      </c>
      <c r="H123" s="1115" t="s">
        <v>157</v>
      </c>
      <c r="I123" s="1115" t="n">
        <v>1660</v>
      </c>
      <c r="J123" s="1115" t="s">
        <v>157</v>
      </c>
      <c r="L123" s="1115" t="n">
        <f aca="false">LOOKUP(M123,$E$6:$F$4002)</f>
        <v>94400</v>
      </c>
      <c r="M123" s="1115" t="s">
        <v>1038</v>
      </c>
      <c r="N123" s="1127" t="n">
        <v>0.93</v>
      </c>
      <c r="O123" s="1115" t="n">
        <v>15.5</v>
      </c>
      <c r="P123" s="1115" t="s">
        <v>1039</v>
      </c>
      <c r="AU123" s="504"/>
      <c r="AV123" s="504"/>
      <c r="AW123" s="504"/>
      <c r="AX123" s="504"/>
      <c r="AY123" s="504"/>
      <c r="AZ123" s="504"/>
      <c r="BA123" s="504"/>
      <c r="BB123" s="504"/>
      <c r="BC123" s="504"/>
    </row>
    <row r="124" customFormat="false" ht="14.1" hidden="false" customHeight="true" outlineLevel="0" collapsed="false">
      <c r="A124" s="1115" t="n">
        <v>1650</v>
      </c>
      <c r="B124" s="1115" t="s">
        <v>157</v>
      </c>
      <c r="C124" s="1115" t="n">
        <v>1650</v>
      </c>
      <c r="D124" s="1115" t="s">
        <v>157</v>
      </c>
      <c r="E124" s="1115" t="s">
        <v>1040</v>
      </c>
      <c r="F124" s="1115" t="n">
        <v>10160</v>
      </c>
      <c r="G124" s="1115" t="n">
        <v>1650</v>
      </c>
      <c r="H124" s="1115" t="s">
        <v>157</v>
      </c>
      <c r="I124" s="1115" t="n">
        <v>1670</v>
      </c>
      <c r="J124" s="1115" t="s">
        <v>157</v>
      </c>
      <c r="L124" s="1115" t="n">
        <f aca="false">LOOKUP(M124,$E$6:$F$4002)</f>
        <v>25700</v>
      </c>
      <c r="M124" s="1115" t="s">
        <v>1041</v>
      </c>
      <c r="N124" s="1127" t="n">
        <v>1.01</v>
      </c>
      <c r="O124" s="1115" t="n">
        <v>16</v>
      </c>
      <c r="P124" s="1115" t="s">
        <v>1042</v>
      </c>
      <c r="AA124" s="1124"/>
      <c r="AU124" s="504"/>
      <c r="AV124" s="504"/>
      <c r="AW124" s="504"/>
      <c r="AX124" s="504"/>
      <c r="AY124" s="504"/>
      <c r="AZ124" s="504"/>
      <c r="BA124" s="504"/>
      <c r="BB124" s="504"/>
      <c r="BC124" s="504"/>
    </row>
    <row r="125" customFormat="false" ht="14.1" hidden="false" customHeight="true" outlineLevel="0" collapsed="false">
      <c r="A125" s="1115" t="n">
        <v>1660</v>
      </c>
      <c r="B125" s="1115" t="s">
        <v>157</v>
      </c>
      <c r="C125" s="1115" t="n">
        <v>1660</v>
      </c>
      <c r="D125" s="1115" t="s">
        <v>157</v>
      </c>
      <c r="E125" s="1115" t="s">
        <v>752</v>
      </c>
      <c r="F125" s="1115" t="n">
        <v>25870</v>
      </c>
      <c r="G125" s="1115" t="n">
        <v>1660</v>
      </c>
      <c r="H125" s="1115" t="s">
        <v>157</v>
      </c>
      <c r="I125" s="1115" t="n">
        <v>1680</v>
      </c>
      <c r="J125" s="1115" t="s">
        <v>157</v>
      </c>
      <c r="L125" s="1115" t="n">
        <f aca="false">LOOKUP(M125,$E$6:$F$4002)</f>
        <v>90450</v>
      </c>
      <c r="M125" s="1115" t="s">
        <v>1043</v>
      </c>
      <c r="N125" s="1127" t="n">
        <v>0.99</v>
      </c>
      <c r="O125" s="1115" t="n">
        <v>20</v>
      </c>
      <c r="P125" s="1115" t="s">
        <v>1044</v>
      </c>
      <c r="AA125" s="1124"/>
      <c r="AU125" s="504"/>
      <c r="AV125" s="504"/>
      <c r="AW125" s="504"/>
      <c r="AX125" s="504"/>
      <c r="AY125" s="504"/>
      <c r="AZ125" s="504"/>
      <c r="BA125" s="504"/>
      <c r="BB125" s="504"/>
      <c r="BC125" s="504"/>
    </row>
    <row r="126" customFormat="false" ht="14.1" hidden="false" customHeight="true" outlineLevel="0" collapsed="false">
      <c r="A126" s="1115" t="n">
        <v>1670</v>
      </c>
      <c r="B126" s="1115" t="s">
        <v>157</v>
      </c>
      <c r="C126" s="1115" t="n">
        <v>1670</v>
      </c>
      <c r="D126" s="1115" t="s">
        <v>157</v>
      </c>
      <c r="E126" s="1115" t="s">
        <v>1045</v>
      </c>
      <c r="F126" s="1115" t="n">
        <v>10640</v>
      </c>
      <c r="G126" s="1115" t="n">
        <v>1670</v>
      </c>
      <c r="H126" s="1115" t="s">
        <v>157</v>
      </c>
      <c r="I126" s="1115" t="n">
        <v>1690</v>
      </c>
      <c r="J126" s="1115" t="s">
        <v>157</v>
      </c>
      <c r="L126" s="1115" t="n">
        <f aca="false">LOOKUP(M126,$E$6:$F$4002)</f>
        <v>4260</v>
      </c>
      <c r="M126" s="1115" t="s">
        <v>1046</v>
      </c>
      <c r="N126" s="1127" t="n">
        <v>0.96</v>
      </c>
      <c r="O126" s="1115" t="n">
        <v>25</v>
      </c>
      <c r="P126" s="1115" t="s">
        <v>1047</v>
      </c>
      <c r="AA126" s="1124"/>
      <c r="AU126" s="504"/>
      <c r="AV126" s="504"/>
      <c r="AW126" s="504"/>
      <c r="AX126" s="504"/>
      <c r="AY126" s="504"/>
      <c r="AZ126" s="504"/>
      <c r="BA126" s="504"/>
      <c r="BB126" s="504"/>
      <c r="BC126" s="504"/>
    </row>
    <row r="127" customFormat="false" ht="14.1" hidden="false" customHeight="true" outlineLevel="0" collapsed="false">
      <c r="A127" s="1115" t="n">
        <v>1680</v>
      </c>
      <c r="B127" s="1115" t="s">
        <v>157</v>
      </c>
      <c r="C127" s="1115" t="n">
        <v>1680</v>
      </c>
      <c r="D127" s="1115" t="s">
        <v>157</v>
      </c>
      <c r="E127" s="1115" t="s">
        <v>754</v>
      </c>
      <c r="F127" s="1115" t="n">
        <v>22270</v>
      </c>
      <c r="G127" s="1115" t="n">
        <v>1680</v>
      </c>
      <c r="H127" s="1115" t="s">
        <v>157</v>
      </c>
      <c r="I127" s="1115" t="n">
        <v>1700</v>
      </c>
      <c r="J127" s="1115" t="s">
        <v>157</v>
      </c>
      <c r="L127" s="1115" t="n">
        <f aca="false">LOOKUP(M127,$E$6:$F$4002)</f>
        <v>58200</v>
      </c>
      <c r="M127" s="1115" t="s">
        <v>1048</v>
      </c>
      <c r="N127" s="1127" t="n">
        <v>1.06</v>
      </c>
      <c r="O127" s="1115" t="n">
        <v>30</v>
      </c>
      <c r="P127" s="1115" t="s">
        <v>1049</v>
      </c>
      <c r="AA127" s="1124"/>
      <c r="AU127" s="504"/>
      <c r="AV127" s="504"/>
      <c r="AW127" s="504"/>
      <c r="AX127" s="504"/>
      <c r="AY127" s="504"/>
      <c r="AZ127" s="504"/>
      <c r="BA127" s="504"/>
      <c r="BB127" s="504"/>
      <c r="BC127" s="504"/>
    </row>
    <row r="128" customFormat="false" ht="14.1" hidden="false" customHeight="true" outlineLevel="0" collapsed="false">
      <c r="A128" s="1115" t="n">
        <v>1690</v>
      </c>
      <c r="B128" s="1115" t="s">
        <v>157</v>
      </c>
      <c r="C128" s="1115" t="n">
        <v>1690</v>
      </c>
      <c r="D128" s="1115" t="s">
        <v>157</v>
      </c>
      <c r="E128" s="1115" t="s">
        <v>754</v>
      </c>
      <c r="F128" s="1115" t="n">
        <v>22270</v>
      </c>
      <c r="G128" s="1115" t="n">
        <v>1690</v>
      </c>
      <c r="H128" s="1115" t="s">
        <v>157</v>
      </c>
      <c r="I128" s="1115" t="n">
        <v>1710</v>
      </c>
      <c r="J128" s="1115" t="s">
        <v>157</v>
      </c>
      <c r="L128" s="1115" t="n">
        <f aca="false">LOOKUP(M128,$E$6:$F$4002)</f>
        <v>92700</v>
      </c>
      <c r="M128" s="1115" t="s">
        <v>1050</v>
      </c>
      <c r="N128" s="1127" t="n">
        <v>1.01</v>
      </c>
      <c r="O128" s="1115" t="n">
        <v>35</v>
      </c>
      <c r="P128" s="1115" t="s">
        <v>1051</v>
      </c>
      <c r="AA128" s="1124"/>
      <c r="AU128" s="504"/>
      <c r="AV128" s="504"/>
      <c r="AW128" s="504"/>
      <c r="AX128" s="504"/>
      <c r="AY128" s="504"/>
      <c r="AZ128" s="504"/>
      <c r="BA128" s="504"/>
      <c r="BB128" s="504"/>
      <c r="BC128" s="504"/>
    </row>
    <row r="129" customFormat="false" ht="14.1" hidden="false" customHeight="true" outlineLevel="0" collapsed="false">
      <c r="A129" s="1115" t="n">
        <v>1700</v>
      </c>
      <c r="B129" s="1115" t="s">
        <v>157</v>
      </c>
      <c r="C129" s="1115" t="n">
        <v>1700</v>
      </c>
      <c r="D129" s="1115" t="s">
        <v>157</v>
      </c>
      <c r="E129" s="1115" t="s">
        <v>1052</v>
      </c>
      <c r="F129" s="1115" t="n">
        <v>68870</v>
      </c>
      <c r="G129" s="1115" t="n">
        <v>1700</v>
      </c>
      <c r="H129" s="1115" t="s">
        <v>157</v>
      </c>
      <c r="I129" s="1115" t="n">
        <v>1730</v>
      </c>
      <c r="J129" s="1115" t="s">
        <v>157</v>
      </c>
      <c r="L129" s="1115" t="n">
        <f aca="false">LOOKUP(M129,$E$6:$F$4002)</f>
        <v>59800</v>
      </c>
      <c r="M129" s="1115" t="s">
        <v>1053</v>
      </c>
      <c r="N129" s="1127" t="n">
        <v>1.04</v>
      </c>
      <c r="O129" s="1115" t="n">
        <v>50</v>
      </c>
      <c r="P129" s="1115" t="s">
        <v>1054</v>
      </c>
      <c r="AA129" s="1124"/>
      <c r="AU129" s="504"/>
      <c r="AV129" s="504"/>
      <c r="AW129" s="504"/>
      <c r="AX129" s="504"/>
      <c r="AY129" s="504"/>
      <c r="AZ129" s="504"/>
      <c r="BA129" s="504"/>
      <c r="BB129" s="504"/>
      <c r="BC129" s="504"/>
    </row>
    <row r="130" customFormat="false" ht="14.1" hidden="false" customHeight="true" outlineLevel="0" collapsed="false">
      <c r="A130" s="1115" t="n">
        <v>1710</v>
      </c>
      <c r="B130" s="1115" t="s">
        <v>157</v>
      </c>
      <c r="C130" s="1115" t="n">
        <v>1710</v>
      </c>
      <c r="D130" s="1115" t="s">
        <v>157</v>
      </c>
      <c r="E130" s="1115" t="s">
        <v>721</v>
      </c>
      <c r="F130" s="1115" t="n">
        <v>102</v>
      </c>
      <c r="G130" s="1115" t="n">
        <v>1710</v>
      </c>
      <c r="H130" s="1115" t="s">
        <v>157</v>
      </c>
      <c r="I130" s="1115" t="n">
        <v>1750</v>
      </c>
      <c r="J130" s="1115" t="s">
        <v>157</v>
      </c>
      <c r="L130" s="1115" t="n">
        <f aca="false">LOOKUP(M130,$E$6:$F$4002)</f>
        <v>42720</v>
      </c>
      <c r="M130" s="1115" t="s">
        <v>1055</v>
      </c>
      <c r="N130" s="1127" t="n">
        <v>1</v>
      </c>
      <c r="O130" s="1115" t="n">
        <v>100</v>
      </c>
      <c r="P130" s="1115" t="s">
        <v>1056</v>
      </c>
      <c r="AA130" s="1124"/>
      <c r="AU130" s="504"/>
      <c r="AV130" s="504"/>
      <c r="AW130" s="504"/>
      <c r="AX130" s="504"/>
      <c r="AY130" s="504"/>
      <c r="AZ130" s="504"/>
      <c r="BA130" s="504"/>
      <c r="BB130" s="504"/>
      <c r="BC130" s="504"/>
    </row>
    <row r="131" customFormat="false" ht="14.1" hidden="false" customHeight="true" outlineLevel="0" collapsed="false">
      <c r="A131" s="1115" t="n">
        <v>1730</v>
      </c>
      <c r="B131" s="1115" t="s">
        <v>157</v>
      </c>
      <c r="C131" s="1115" t="n">
        <v>1730</v>
      </c>
      <c r="D131" s="1115" t="s">
        <v>157</v>
      </c>
      <c r="E131" s="1115" t="s">
        <v>1057</v>
      </c>
      <c r="F131" s="1115" t="n">
        <v>72220</v>
      </c>
      <c r="G131" s="1115" t="n">
        <v>1730</v>
      </c>
      <c r="H131" s="1115" t="s">
        <v>157</v>
      </c>
      <c r="I131" s="1115" t="n">
        <v>1760</v>
      </c>
      <c r="J131" s="1115" t="s">
        <v>157</v>
      </c>
      <c r="L131" s="1115" t="n">
        <f aca="false">LOOKUP(M131,$E$6:$F$4002)</f>
        <v>39880</v>
      </c>
      <c r="M131" s="1115" t="s">
        <v>1058</v>
      </c>
      <c r="N131" s="1127" t="n">
        <v>0.92</v>
      </c>
      <c r="O131" s="1115" t="n">
        <v>150</v>
      </c>
      <c r="P131" s="1115" t="s">
        <v>1059</v>
      </c>
      <c r="AA131" s="1124"/>
      <c r="AU131" s="504"/>
      <c r="AV131" s="504"/>
      <c r="AW131" s="504"/>
      <c r="AX131" s="504"/>
      <c r="AY131" s="504"/>
      <c r="AZ131" s="504"/>
      <c r="BA131" s="504"/>
      <c r="BB131" s="504"/>
      <c r="BC131" s="504"/>
    </row>
    <row r="132" customFormat="false" ht="14.1" hidden="false" customHeight="true" outlineLevel="0" collapsed="false">
      <c r="A132" s="1115" t="n">
        <v>1750</v>
      </c>
      <c r="B132" s="1115" t="s">
        <v>157</v>
      </c>
      <c r="C132" s="1115" t="n">
        <v>1750</v>
      </c>
      <c r="D132" s="1115" t="s">
        <v>157</v>
      </c>
      <c r="E132" s="1115" t="s">
        <v>1060</v>
      </c>
      <c r="F132" s="1115" t="n">
        <v>23940</v>
      </c>
      <c r="G132" s="1115" t="n">
        <v>1750</v>
      </c>
      <c r="H132" s="1115" t="s">
        <v>157</v>
      </c>
      <c r="I132" s="1115" t="n">
        <v>1800</v>
      </c>
      <c r="J132" s="1115" t="s">
        <v>1061</v>
      </c>
      <c r="L132" s="1115" t="n">
        <f aca="false">LOOKUP(M132,$E$6:$F$4002)</f>
        <v>25390</v>
      </c>
      <c r="M132" s="1115" t="s">
        <v>1062</v>
      </c>
      <c r="N132" s="1127" t="n">
        <v>0.96</v>
      </c>
      <c r="O132" s="1115" t="n">
        <v>200</v>
      </c>
      <c r="P132" s="1115" t="s">
        <v>1063</v>
      </c>
      <c r="AA132" s="1124"/>
      <c r="AU132" s="504"/>
      <c r="AV132" s="504"/>
      <c r="AW132" s="504"/>
      <c r="AX132" s="504"/>
      <c r="AY132" s="504"/>
      <c r="AZ132" s="504"/>
      <c r="BA132" s="504"/>
      <c r="BB132" s="504"/>
      <c r="BC132" s="504"/>
    </row>
    <row r="133" customFormat="false" ht="14.1" hidden="false" customHeight="true" outlineLevel="0" collapsed="false">
      <c r="A133" s="1115" t="n">
        <v>1760</v>
      </c>
      <c r="B133" s="1115" t="s">
        <v>157</v>
      </c>
      <c r="C133" s="1115" t="n">
        <v>1760</v>
      </c>
      <c r="D133" s="1115" t="s">
        <v>157</v>
      </c>
      <c r="E133" s="1115" t="s">
        <v>1064</v>
      </c>
      <c r="F133" s="1115" t="n">
        <v>62350</v>
      </c>
      <c r="G133" s="1115" t="n">
        <v>1760</v>
      </c>
      <c r="H133" s="1115" t="s">
        <v>157</v>
      </c>
      <c r="I133" s="1115" t="n">
        <v>1810</v>
      </c>
      <c r="J133" s="1115" t="s">
        <v>1061</v>
      </c>
      <c r="L133" s="1115" t="n">
        <f aca="false">LOOKUP(M133,$E$6:$F$4002)</f>
        <v>38300</v>
      </c>
      <c r="M133" s="1115" t="s">
        <v>1065</v>
      </c>
      <c r="N133" s="1127" t="n">
        <v>1</v>
      </c>
      <c r="O133" s="1115" t="n">
        <v>300</v>
      </c>
      <c r="P133" s="1115" t="s">
        <v>1066</v>
      </c>
      <c r="AA133" s="1124"/>
      <c r="AU133" s="504"/>
      <c r="AV133" s="504"/>
      <c r="AW133" s="504"/>
      <c r="AX133" s="504"/>
      <c r="AY133" s="504"/>
      <c r="AZ133" s="504"/>
      <c r="BA133" s="504"/>
      <c r="BB133" s="504"/>
      <c r="BC133" s="504"/>
    </row>
    <row r="134" customFormat="false" ht="14.1" hidden="false" customHeight="true" outlineLevel="0" collapsed="false">
      <c r="A134" s="1115" t="n">
        <v>1800</v>
      </c>
      <c r="B134" s="1115" t="s">
        <v>157</v>
      </c>
      <c r="C134" s="1115" t="n">
        <v>1800</v>
      </c>
      <c r="D134" s="1115" t="s">
        <v>1067</v>
      </c>
      <c r="E134" s="1115" t="s">
        <v>756</v>
      </c>
      <c r="F134" s="1115" t="n">
        <v>47200</v>
      </c>
      <c r="G134" s="1115" t="n">
        <v>1800</v>
      </c>
      <c r="H134" s="1115" t="s">
        <v>1067</v>
      </c>
      <c r="I134" s="1115" t="n">
        <v>1830</v>
      </c>
      <c r="J134" s="1115" t="s">
        <v>1061</v>
      </c>
      <c r="L134" s="1115" t="n">
        <f aca="false">LOOKUP(M134,$E$6:$F$4002)</f>
        <v>90900</v>
      </c>
      <c r="M134" s="1115" t="s">
        <v>1068</v>
      </c>
      <c r="N134" s="1127" t="n">
        <v>0.96</v>
      </c>
      <c r="O134" s="1115" t="n">
        <v>500</v>
      </c>
      <c r="P134" s="1115" t="s">
        <v>1069</v>
      </c>
      <c r="AA134" s="1124"/>
      <c r="AU134" s="504"/>
      <c r="AV134" s="504"/>
      <c r="AW134" s="504"/>
      <c r="AX134" s="504"/>
      <c r="AY134" s="504"/>
      <c r="AZ134" s="504"/>
      <c r="BA134" s="504"/>
      <c r="BB134" s="504"/>
      <c r="BC134" s="504"/>
    </row>
    <row r="135" customFormat="false" ht="14.1" hidden="false" customHeight="true" outlineLevel="0" collapsed="false">
      <c r="A135" s="1115" t="n">
        <v>1810</v>
      </c>
      <c r="B135" s="1115" t="s">
        <v>157</v>
      </c>
      <c r="C135" s="1115" t="n">
        <v>1810</v>
      </c>
      <c r="D135" s="1115" t="s">
        <v>1070</v>
      </c>
      <c r="E135" s="1115" t="s">
        <v>1071</v>
      </c>
      <c r="F135" s="1115" t="n">
        <v>38130</v>
      </c>
      <c r="G135" s="1115" t="n">
        <v>1810</v>
      </c>
      <c r="H135" s="1115" t="s">
        <v>1070</v>
      </c>
      <c r="I135" s="1115" t="n">
        <v>1860</v>
      </c>
      <c r="J135" s="1115" t="s">
        <v>1061</v>
      </c>
      <c r="L135" s="1115" t="n">
        <f aca="false">LOOKUP(M135,$E$6:$F$4002)</f>
        <v>43900</v>
      </c>
      <c r="M135" s="1115" t="s">
        <v>1072</v>
      </c>
      <c r="N135" s="1127" t="n">
        <v>0.98</v>
      </c>
      <c r="O135" s="1115" t="n">
        <v>1000</v>
      </c>
      <c r="P135" s="1115" t="s">
        <v>1073</v>
      </c>
      <c r="AA135" s="1124"/>
      <c r="AU135" s="504"/>
      <c r="AV135" s="504"/>
      <c r="AW135" s="504"/>
      <c r="AX135" s="504"/>
      <c r="AY135" s="504"/>
      <c r="AZ135" s="504"/>
      <c r="BA135" s="504"/>
      <c r="BB135" s="504"/>
      <c r="BC135" s="504"/>
    </row>
    <row r="136" customFormat="false" ht="14.1" hidden="false" customHeight="true" outlineLevel="0" collapsed="false">
      <c r="A136" s="1115" t="n">
        <v>1830</v>
      </c>
      <c r="B136" s="1115" t="s">
        <v>157</v>
      </c>
      <c r="C136" s="1115" t="n">
        <v>1830</v>
      </c>
      <c r="D136" s="1115" t="s">
        <v>1074</v>
      </c>
      <c r="E136" s="1115" t="s">
        <v>1075</v>
      </c>
      <c r="F136" s="1115" t="n">
        <v>54610</v>
      </c>
      <c r="G136" s="1115" t="n">
        <v>1830</v>
      </c>
      <c r="H136" s="1115" t="s">
        <v>1074</v>
      </c>
      <c r="I136" s="1115" t="n">
        <v>1900</v>
      </c>
      <c r="J136" s="1115" t="s">
        <v>1061</v>
      </c>
      <c r="L136" s="1115" t="n">
        <f aca="false">LOOKUP(M136,$E$6:$F$4002)</f>
        <v>2480</v>
      </c>
      <c r="M136" s="1115" t="s">
        <v>1076</v>
      </c>
      <c r="N136" s="1127" t="n">
        <v>0.96</v>
      </c>
      <c r="AA136" s="1124"/>
      <c r="AU136" s="504"/>
      <c r="AV136" s="504"/>
      <c r="AW136" s="504"/>
      <c r="AX136" s="504"/>
      <c r="AY136" s="504"/>
      <c r="AZ136" s="504"/>
      <c r="BA136" s="504"/>
      <c r="BB136" s="504"/>
      <c r="BC136" s="504"/>
    </row>
    <row r="137" customFormat="false" ht="14.1" hidden="false" customHeight="true" outlineLevel="0" collapsed="false">
      <c r="A137" s="1115" t="n">
        <v>1860</v>
      </c>
      <c r="B137" s="1115" t="s">
        <v>157</v>
      </c>
      <c r="C137" s="1115" t="n">
        <v>1860</v>
      </c>
      <c r="D137" s="1115" t="s">
        <v>1077</v>
      </c>
      <c r="E137" s="1115" t="s">
        <v>1078</v>
      </c>
      <c r="F137" s="1115" t="n">
        <v>44910</v>
      </c>
      <c r="G137" s="1115" t="n">
        <v>1860</v>
      </c>
      <c r="H137" s="1115" t="s">
        <v>1077</v>
      </c>
      <c r="I137" s="1115" t="n">
        <v>1940</v>
      </c>
      <c r="J137" s="1115" t="s">
        <v>1061</v>
      </c>
      <c r="L137" s="1115" t="n">
        <f aca="false">LOOKUP(M137,$E$6:$F$4002)</f>
        <v>25470</v>
      </c>
      <c r="M137" s="1115" t="s">
        <v>1079</v>
      </c>
      <c r="N137" s="1127" t="n">
        <v>0.98</v>
      </c>
      <c r="AU137" s="504"/>
      <c r="AV137" s="504"/>
      <c r="AW137" s="504"/>
      <c r="AX137" s="504"/>
      <c r="AY137" s="504"/>
      <c r="AZ137" s="504"/>
      <c r="BA137" s="504"/>
      <c r="BB137" s="504"/>
      <c r="BC137" s="504"/>
    </row>
    <row r="138" customFormat="false" ht="14.1" hidden="false" customHeight="true" outlineLevel="0" collapsed="false">
      <c r="A138" s="1115" t="n">
        <v>1900</v>
      </c>
      <c r="B138" s="1115" t="s">
        <v>157</v>
      </c>
      <c r="C138" s="1115" t="n">
        <v>1900</v>
      </c>
      <c r="D138" s="1115" t="s">
        <v>1061</v>
      </c>
      <c r="E138" s="1115" t="s">
        <v>1080</v>
      </c>
      <c r="F138" s="1115" t="n">
        <v>22220</v>
      </c>
      <c r="G138" s="1115" t="n">
        <v>1900</v>
      </c>
      <c r="H138" s="1115" t="s">
        <v>1061</v>
      </c>
      <c r="I138" s="1115" t="n">
        <v>2100</v>
      </c>
      <c r="J138" s="1115" t="s">
        <v>772</v>
      </c>
      <c r="L138" s="1115" t="n">
        <f aca="false">LOOKUP(M138,$E$6:$F$4002)</f>
        <v>82500</v>
      </c>
      <c r="M138" s="1115" t="s">
        <v>1081</v>
      </c>
      <c r="N138" s="1127" t="n">
        <v>1.03</v>
      </c>
      <c r="AA138" s="1124"/>
      <c r="AU138" s="504"/>
      <c r="AV138" s="504"/>
      <c r="AW138" s="504"/>
      <c r="AX138" s="504"/>
      <c r="AY138" s="504"/>
      <c r="AZ138" s="504"/>
      <c r="BA138" s="504"/>
      <c r="BB138" s="504"/>
      <c r="BC138" s="504"/>
    </row>
    <row r="139" customFormat="false" ht="14.1" hidden="false" customHeight="true" outlineLevel="0" collapsed="false">
      <c r="A139" s="1115" t="n">
        <v>1940</v>
      </c>
      <c r="B139" s="1115" t="s">
        <v>157</v>
      </c>
      <c r="C139" s="1115" t="n">
        <v>1940</v>
      </c>
      <c r="D139" s="1115" t="s">
        <v>1082</v>
      </c>
      <c r="E139" s="1115" t="s">
        <v>1080</v>
      </c>
      <c r="F139" s="1115" t="n">
        <v>22220</v>
      </c>
      <c r="G139" s="1115" t="n">
        <v>1940</v>
      </c>
      <c r="H139" s="1115" t="s">
        <v>1082</v>
      </c>
      <c r="I139" s="1115" t="n">
        <v>2110</v>
      </c>
      <c r="J139" s="1115" t="s">
        <v>772</v>
      </c>
      <c r="L139" s="1115" t="n">
        <f aca="false">LOOKUP(M139,$E$6:$F$4002)</f>
        <v>99100</v>
      </c>
      <c r="M139" s="1115" t="s">
        <v>1083</v>
      </c>
      <c r="N139" s="1127" t="n">
        <v>0.97</v>
      </c>
      <c r="AA139" s="1124"/>
      <c r="AU139" s="504"/>
      <c r="AV139" s="504"/>
      <c r="AW139" s="504"/>
      <c r="AX139" s="504"/>
      <c r="AY139" s="504"/>
      <c r="AZ139" s="504"/>
      <c r="BA139" s="504"/>
      <c r="BB139" s="504"/>
      <c r="BC139" s="504"/>
    </row>
    <row r="140" customFormat="false" ht="14.1" hidden="false" customHeight="true" outlineLevel="0" collapsed="false">
      <c r="A140" s="1115" t="n">
        <v>2100</v>
      </c>
      <c r="B140" s="1115" t="s">
        <v>158</v>
      </c>
      <c r="C140" s="1115" t="n">
        <v>2100</v>
      </c>
      <c r="D140" s="1115" t="s">
        <v>772</v>
      </c>
      <c r="E140" s="1115" t="s">
        <v>1084</v>
      </c>
      <c r="F140" s="1115" t="n">
        <v>6950</v>
      </c>
      <c r="G140" s="1115" t="n">
        <v>2100</v>
      </c>
      <c r="H140" s="1115" t="s">
        <v>772</v>
      </c>
      <c r="I140" s="1115" t="n">
        <v>2120</v>
      </c>
      <c r="J140" s="1115" t="s">
        <v>772</v>
      </c>
      <c r="L140" s="1115" t="n">
        <f aca="false">LOOKUP(M140,$E$6:$F$4002)</f>
        <v>27400</v>
      </c>
      <c r="M140" s="1115" t="s">
        <v>1085</v>
      </c>
      <c r="N140" s="1127" t="n">
        <v>0.98</v>
      </c>
      <c r="AA140" s="1124"/>
      <c r="AU140" s="504"/>
      <c r="AV140" s="504"/>
      <c r="AW140" s="504"/>
      <c r="AX140" s="504"/>
      <c r="AY140" s="504"/>
      <c r="AZ140" s="504"/>
      <c r="BA140" s="504"/>
      <c r="BB140" s="504"/>
      <c r="BC140" s="504"/>
    </row>
    <row r="141" customFormat="false" ht="14.1" hidden="false" customHeight="true" outlineLevel="0" collapsed="false">
      <c r="A141" s="1115" t="n">
        <v>2110</v>
      </c>
      <c r="B141" s="1115" t="s">
        <v>158</v>
      </c>
      <c r="C141" s="1115" t="n">
        <v>2110</v>
      </c>
      <c r="D141" s="1115" t="s">
        <v>772</v>
      </c>
      <c r="E141" s="1115" t="s">
        <v>1086</v>
      </c>
      <c r="F141" s="1115" t="n">
        <v>58510</v>
      </c>
      <c r="G141" s="1115" t="n">
        <v>2110</v>
      </c>
      <c r="H141" s="1115" t="s">
        <v>772</v>
      </c>
      <c r="I141" s="1115" t="n">
        <v>2130</v>
      </c>
      <c r="J141" s="1115" t="s">
        <v>772</v>
      </c>
      <c r="L141" s="1115" t="n">
        <f aca="false">LOOKUP(M141,$E$6:$F$4002)</f>
        <v>74700</v>
      </c>
      <c r="M141" s="1115" t="s">
        <v>1087</v>
      </c>
      <c r="N141" s="1127" t="n">
        <v>1.05</v>
      </c>
      <c r="AA141" s="1124"/>
      <c r="AU141" s="504"/>
      <c r="AV141" s="504"/>
      <c r="AW141" s="504"/>
      <c r="AX141" s="504"/>
      <c r="AY141" s="504"/>
      <c r="AZ141" s="504"/>
      <c r="BA141" s="504"/>
      <c r="BB141" s="504"/>
      <c r="BC141" s="504"/>
    </row>
    <row r="142" customFormat="false" ht="14.1" hidden="false" customHeight="true" outlineLevel="0" collapsed="false">
      <c r="A142" s="1115" t="n">
        <v>2120</v>
      </c>
      <c r="B142" s="1115" t="s">
        <v>158</v>
      </c>
      <c r="C142" s="1115" t="n">
        <v>2120</v>
      </c>
      <c r="D142" s="1115" t="s">
        <v>772</v>
      </c>
      <c r="E142" s="1115" t="s">
        <v>1088</v>
      </c>
      <c r="F142" s="1115" t="n">
        <v>22830</v>
      </c>
      <c r="G142" s="1115" t="n">
        <v>2120</v>
      </c>
      <c r="H142" s="1115" t="s">
        <v>772</v>
      </c>
      <c r="I142" s="1115" t="n">
        <v>2140</v>
      </c>
      <c r="J142" s="1115" t="s">
        <v>772</v>
      </c>
      <c r="L142" s="1115" t="n">
        <f aca="false">LOOKUP(M142,$E$6:$F$4002)</f>
        <v>43800</v>
      </c>
      <c r="M142" s="1115" t="s">
        <v>1089</v>
      </c>
      <c r="N142" s="1127" t="n">
        <v>0.99</v>
      </c>
      <c r="AA142" s="1124"/>
      <c r="AU142" s="504"/>
      <c r="AV142" s="504"/>
      <c r="AW142" s="504"/>
      <c r="AX142" s="504"/>
      <c r="AY142" s="504"/>
      <c r="AZ142" s="504"/>
      <c r="BA142" s="504"/>
      <c r="BB142" s="504"/>
      <c r="BC142" s="504"/>
    </row>
    <row r="143" customFormat="false" ht="14.1" hidden="false" customHeight="true" outlineLevel="0" collapsed="false">
      <c r="A143" s="1115" t="n">
        <v>2130</v>
      </c>
      <c r="B143" s="1115" t="s">
        <v>158</v>
      </c>
      <c r="C143" s="1115" t="n">
        <v>2130</v>
      </c>
      <c r="D143" s="1115" t="s">
        <v>772</v>
      </c>
      <c r="E143" s="1115" t="s">
        <v>1088</v>
      </c>
      <c r="F143" s="1115" t="n">
        <v>22830</v>
      </c>
      <c r="G143" s="1115" t="n">
        <v>2130</v>
      </c>
      <c r="H143" s="1115" t="s">
        <v>772</v>
      </c>
      <c r="I143" s="1115" t="n">
        <v>2150</v>
      </c>
      <c r="J143" s="1115" t="s">
        <v>772</v>
      </c>
      <c r="L143" s="1115" t="n">
        <f aca="false">LOOKUP(M143,$E$6:$F$4002)</f>
        <v>27310</v>
      </c>
      <c r="M143" s="1115" t="s">
        <v>1090</v>
      </c>
      <c r="N143" s="1127" t="n">
        <v>1</v>
      </c>
      <c r="AA143" s="1124"/>
      <c r="AU143" s="504"/>
      <c r="AV143" s="504"/>
      <c r="AW143" s="504"/>
      <c r="AX143" s="504"/>
      <c r="AY143" s="504"/>
      <c r="AZ143" s="504"/>
      <c r="BA143" s="504"/>
      <c r="BB143" s="504"/>
      <c r="BC143" s="504"/>
    </row>
    <row r="144" customFormat="false" ht="14.1" hidden="false" customHeight="true" outlineLevel="0" collapsed="false">
      <c r="A144" s="1115" t="n">
        <v>2140</v>
      </c>
      <c r="B144" s="1115" t="s">
        <v>158</v>
      </c>
      <c r="C144" s="1115" t="n">
        <v>2140</v>
      </c>
      <c r="D144" s="1115" t="s">
        <v>772</v>
      </c>
      <c r="E144" s="1115" t="s">
        <v>1091</v>
      </c>
      <c r="F144" s="1115" t="n">
        <v>23240</v>
      </c>
      <c r="G144" s="1115" t="n">
        <v>2140</v>
      </c>
      <c r="H144" s="1115" t="s">
        <v>772</v>
      </c>
      <c r="I144" s="1115" t="n">
        <v>2160</v>
      </c>
      <c r="J144" s="1115" t="s">
        <v>772</v>
      </c>
      <c r="L144" s="1115" t="n">
        <f aca="false">LOOKUP(M144,$E$6:$F$4002)</f>
        <v>32800</v>
      </c>
      <c r="M144" s="1115" t="s">
        <v>1092</v>
      </c>
      <c r="N144" s="1127" t="n">
        <v>0.96</v>
      </c>
      <c r="AA144" s="1124"/>
      <c r="AU144" s="504"/>
      <c r="AV144" s="504"/>
      <c r="AW144" s="504"/>
      <c r="AX144" s="504"/>
      <c r="AY144" s="504"/>
      <c r="AZ144" s="504"/>
      <c r="BA144" s="504"/>
      <c r="BB144" s="504"/>
      <c r="BC144" s="504"/>
    </row>
    <row r="145" customFormat="false" ht="14.1" hidden="false" customHeight="true" outlineLevel="0" collapsed="false">
      <c r="A145" s="1115" t="n">
        <v>2150</v>
      </c>
      <c r="B145" s="1115" t="s">
        <v>158</v>
      </c>
      <c r="C145" s="1115" t="n">
        <v>2150</v>
      </c>
      <c r="D145" s="1115" t="s">
        <v>772</v>
      </c>
      <c r="E145" s="1115" t="s">
        <v>760</v>
      </c>
      <c r="F145" s="1115" t="n">
        <v>81200</v>
      </c>
      <c r="G145" s="1115" t="n">
        <v>2150</v>
      </c>
      <c r="H145" s="1115" t="s">
        <v>772</v>
      </c>
      <c r="I145" s="1115" t="n">
        <v>2170</v>
      </c>
      <c r="J145" s="1115" t="s">
        <v>772</v>
      </c>
      <c r="L145" s="1115" t="n">
        <f aca="false">LOOKUP(M145,$E$6:$F$4002)</f>
        <v>68999</v>
      </c>
      <c r="M145" s="1115" t="s">
        <v>761</v>
      </c>
      <c r="N145" s="1127" t="n">
        <v>0.93</v>
      </c>
      <c r="AA145" s="1124"/>
      <c r="AU145" s="504"/>
      <c r="AV145" s="504"/>
      <c r="AW145" s="504"/>
      <c r="AX145" s="504"/>
      <c r="AY145" s="504"/>
      <c r="AZ145" s="504"/>
      <c r="BA145" s="504"/>
      <c r="BB145" s="504"/>
      <c r="BC145" s="504"/>
    </row>
    <row r="146" customFormat="false" ht="14.1" hidden="false" customHeight="true" outlineLevel="0" collapsed="false">
      <c r="A146" s="1115" t="n">
        <v>2160</v>
      </c>
      <c r="B146" s="1115" t="s">
        <v>158</v>
      </c>
      <c r="C146" s="1115" t="n">
        <v>2160</v>
      </c>
      <c r="D146" s="1115" t="s">
        <v>772</v>
      </c>
      <c r="E146" s="1115" t="s">
        <v>764</v>
      </c>
      <c r="F146" s="1115" t="n">
        <v>58175</v>
      </c>
      <c r="G146" s="1115" t="n">
        <v>2160</v>
      </c>
      <c r="H146" s="1115" t="s">
        <v>772</v>
      </c>
      <c r="I146" s="1115" t="n">
        <v>2180</v>
      </c>
      <c r="J146" s="1115" t="s">
        <v>772</v>
      </c>
      <c r="L146" s="1115" t="n">
        <f aca="false">LOOKUP(M146,$E$6:$F$4002)</f>
        <v>95900</v>
      </c>
      <c r="M146" s="1115" t="s">
        <v>1093</v>
      </c>
      <c r="N146" s="1127" t="n">
        <v>1.01</v>
      </c>
      <c r="AA146" s="1124"/>
      <c r="AU146" s="504"/>
      <c r="AV146" s="504"/>
      <c r="AW146" s="504"/>
      <c r="AX146" s="504"/>
      <c r="AY146" s="504"/>
      <c r="AZ146" s="504"/>
      <c r="BA146" s="504"/>
      <c r="BB146" s="504"/>
      <c r="BC146" s="504"/>
    </row>
    <row r="147" customFormat="false" ht="14.1" hidden="false" customHeight="true" outlineLevel="0" collapsed="false">
      <c r="A147" s="1115" t="n">
        <v>2170</v>
      </c>
      <c r="B147" s="1115" t="s">
        <v>158</v>
      </c>
      <c r="C147" s="1115" t="n">
        <v>2170</v>
      </c>
      <c r="D147" s="1115" t="s">
        <v>772</v>
      </c>
      <c r="E147" s="1115" t="s">
        <v>1094</v>
      </c>
      <c r="F147" s="1115" t="n">
        <v>91765</v>
      </c>
      <c r="G147" s="1115" t="n">
        <v>2170</v>
      </c>
      <c r="H147" s="1115" t="s">
        <v>772</v>
      </c>
      <c r="I147" s="1115" t="n">
        <v>2200</v>
      </c>
      <c r="J147" s="1115" t="s">
        <v>772</v>
      </c>
      <c r="L147" s="1115" t="n">
        <f aca="false">LOOKUP(M147,$E$6:$F$4002)</f>
        <v>44300</v>
      </c>
      <c r="M147" s="1115" t="s">
        <v>1095</v>
      </c>
      <c r="N147" s="1127" t="n">
        <v>0.99</v>
      </c>
      <c r="AA147" s="1124"/>
      <c r="AU147" s="504"/>
      <c r="AV147" s="504"/>
      <c r="AW147" s="504"/>
      <c r="AX147" s="504"/>
      <c r="AY147" s="504"/>
      <c r="AZ147" s="504"/>
      <c r="BA147" s="504"/>
      <c r="BB147" s="504"/>
      <c r="BC147" s="504"/>
    </row>
    <row r="148" customFormat="false" ht="14.1" hidden="false" customHeight="true" outlineLevel="0" collapsed="false">
      <c r="A148" s="1115" t="n">
        <v>2180</v>
      </c>
      <c r="B148" s="1115" t="s">
        <v>158</v>
      </c>
      <c r="C148" s="1115" t="n">
        <v>2180</v>
      </c>
      <c r="D148" s="1115" t="s">
        <v>772</v>
      </c>
      <c r="E148" s="1115" t="s">
        <v>1096</v>
      </c>
      <c r="F148" s="1115" t="n">
        <v>71320</v>
      </c>
      <c r="G148" s="1115" t="n">
        <v>2180</v>
      </c>
      <c r="H148" s="1115" t="s">
        <v>772</v>
      </c>
      <c r="I148" s="1115" t="n">
        <v>2210</v>
      </c>
      <c r="J148" s="1115" t="s">
        <v>772</v>
      </c>
      <c r="L148" s="1115" t="n">
        <f aca="false">LOOKUP(M148,$E$6:$F$4002)</f>
        <v>81100</v>
      </c>
      <c r="M148" s="1115" t="s">
        <v>1097</v>
      </c>
      <c r="N148" s="1127" t="n">
        <v>0.99</v>
      </c>
      <c r="AA148" s="1124"/>
      <c r="AU148" s="504"/>
      <c r="AV148" s="504"/>
      <c r="AW148" s="504"/>
      <c r="AX148" s="504"/>
      <c r="AY148" s="504"/>
      <c r="AZ148" s="504"/>
      <c r="BA148" s="504"/>
      <c r="BB148" s="504"/>
      <c r="BC148" s="504"/>
    </row>
    <row r="149" customFormat="false" ht="14.1" hidden="false" customHeight="true" outlineLevel="0" collapsed="false">
      <c r="A149" s="1115" t="n">
        <v>2200</v>
      </c>
      <c r="B149" s="1115" t="s">
        <v>158</v>
      </c>
      <c r="C149" s="1115" t="n">
        <v>2200</v>
      </c>
      <c r="D149" s="1115" t="s">
        <v>772</v>
      </c>
      <c r="E149" s="1115" t="s">
        <v>767</v>
      </c>
      <c r="F149" s="1115" t="n">
        <v>99400</v>
      </c>
      <c r="G149" s="1115" t="n">
        <v>2200</v>
      </c>
      <c r="H149" s="1115" t="s">
        <v>772</v>
      </c>
      <c r="I149" s="1115" t="n">
        <v>2230</v>
      </c>
      <c r="J149" s="1115" t="s">
        <v>772</v>
      </c>
      <c r="L149" s="1115" t="n">
        <f aca="false">LOOKUP(M149,$E$6:$F$4002)</f>
        <v>41800</v>
      </c>
      <c r="M149" s="1115" t="s">
        <v>1098</v>
      </c>
      <c r="N149" s="1127" t="n">
        <v>1.03</v>
      </c>
      <c r="AA149" s="1124"/>
      <c r="AU149" s="504"/>
      <c r="AV149" s="504"/>
      <c r="AW149" s="504"/>
      <c r="AX149" s="504"/>
      <c r="AY149" s="504"/>
      <c r="AZ149" s="504"/>
      <c r="BA149" s="504"/>
      <c r="BB149" s="504"/>
      <c r="BC149" s="504"/>
    </row>
    <row r="150" customFormat="false" ht="14.1" hidden="false" customHeight="true" outlineLevel="0" collapsed="false">
      <c r="A150" s="1115" t="n">
        <v>2210</v>
      </c>
      <c r="B150" s="1115" t="s">
        <v>158</v>
      </c>
      <c r="C150" s="1115" t="n">
        <v>2210</v>
      </c>
      <c r="D150" s="1115" t="s">
        <v>772</v>
      </c>
      <c r="E150" s="1115" t="s">
        <v>1099</v>
      </c>
      <c r="F150" s="1115" t="n">
        <v>46450</v>
      </c>
      <c r="G150" s="1115" t="n">
        <v>2210</v>
      </c>
      <c r="H150" s="1115" t="s">
        <v>772</v>
      </c>
      <c r="I150" s="1115" t="n">
        <v>2240</v>
      </c>
      <c r="J150" s="1115" t="s">
        <v>772</v>
      </c>
      <c r="L150" s="1115" t="n">
        <f aca="false">LOOKUP(M150,$E$6:$F$4002)</f>
        <v>21710</v>
      </c>
      <c r="M150" s="1115" t="s">
        <v>1100</v>
      </c>
      <c r="N150" s="1127" t="n">
        <v>1</v>
      </c>
      <c r="AA150" s="1124"/>
      <c r="AU150" s="504"/>
      <c r="AV150" s="504"/>
      <c r="AW150" s="504"/>
      <c r="AX150" s="504"/>
      <c r="AY150" s="504"/>
      <c r="AZ150" s="504"/>
      <c r="BA150" s="504"/>
      <c r="BB150" s="504"/>
      <c r="BC150" s="504"/>
    </row>
    <row r="151" customFormat="false" ht="14.1" hidden="false" customHeight="true" outlineLevel="0" collapsed="false">
      <c r="A151" s="1115" t="n">
        <v>2230</v>
      </c>
      <c r="B151" s="1115" t="s">
        <v>158</v>
      </c>
      <c r="C151" s="1115" t="n">
        <v>2230</v>
      </c>
      <c r="D151" s="1115" t="s">
        <v>772</v>
      </c>
      <c r="E151" s="1115" t="s">
        <v>1101</v>
      </c>
      <c r="F151" s="1115" t="n">
        <v>7340</v>
      </c>
      <c r="G151" s="1115" t="n">
        <v>2230</v>
      </c>
      <c r="H151" s="1115" t="s">
        <v>772</v>
      </c>
      <c r="I151" s="1115" t="n">
        <v>2260</v>
      </c>
      <c r="J151" s="1115" t="s">
        <v>772</v>
      </c>
      <c r="L151" s="1115" t="n">
        <f aca="false">LOOKUP(M151,$E$6:$F$4002)</f>
        <v>66200</v>
      </c>
      <c r="M151" s="1115" t="s">
        <v>1102</v>
      </c>
      <c r="N151" s="1127" t="n">
        <v>1.02</v>
      </c>
      <c r="AU151" s="504"/>
      <c r="AV151" s="504"/>
      <c r="AW151" s="504"/>
      <c r="AX151" s="504"/>
      <c r="AY151" s="504"/>
      <c r="AZ151" s="504"/>
      <c r="BA151" s="504"/>
      <c r="BB151" s="504"/>
      <c r="BC151" s="504"/>
    </row>
    <row r="152" customFormat="false" ht="14.1" hidden="false" customHeight="true" outlineLevel="0" collapsed="false">
      <c r="A152" s="1115" t="n">
        <v>2240</v>
      </c>
      <c r="B152" s="1115" t="s">
        <v>158</v>
      </c>
      <c r="C152" s="1115" t="n">
        <v>2240</v>
      </c>
      <c r="D152" s="1115" t="s">
        <v>772</v>
      </c>
      <c r="E152" s="1115" t="s">
        <v>1103</v>
      </c>
      <c r="F152" s="1115" t="n">
        <v>74450</v>
      </c>
      <c r="G152" s="1115" t="n">
        <v>2240</v>
      </c>
      <c r="H152" s="1115" t="s">
        <v>772</v>
      </c>
      <c r="I152" s="1115" t="n">
        <v>2270</v>
      </c>
      <c r="J152" s="1115" t="s">
        <v>772</v>
      </c>
      <c r="L152" s="1115" t="n">
        <f aca="false">LOOKUP(M152,$E$6:$F$4002)</f>
        <v>62420</v>
      </c>
      <c r="M152" s="1115" t="s">
        <v>1104</v>
      </c>
      <c r="N152" s="1127" t="n">
        <v>1.01</v>
      </c>
      <c r="AA152" s="1124"/>
      <c r="AU152" s="504"/>
      <c r="AV152" s="504"/>
      <c r="AW152" s="504"/>
      <c r="AX152" s="504"/>
      <c r="AY152" s="504"/>
      <c r="AZ152" s="504"/>
      <c r="BA152" s="504"/>
      <c r="BB152" s="504"/>
      <c r="BC152" s="504"/>
    </row>
    <row r="153" customFormat="false" ht="14.1" hidden="false" customHeight="true" outlineLevel="0" collapsed="false">
      <c r="A153" s="1115" t="n">
        <v>2260</v>
      </c>
      <c r="B153" s="1115" t="s">
        <v>158</v>
      </c>
      <c r="C153" s="1115" t="n">
        <v>2260</v>
      </c>
      <c r="D153" s="1115" t="s">
        <v>772</v>
      </c>
      <c r="E153" s="1115" t="s">
        <v>1105</v>
      </c>
      <c r="F153" s="1115" t="n">
        <v>47450</v>
      </c>
      <c r="G153" s="1115" t="n">
        <v>2260</v>
      </c>
      <c r="H153" s="1115" t="s">
        <v>772</v>
      </c>
      <c r="I153" s="1115" t="n">
        <v>2280</v>
      </c>
      <c r="J153" s="1115" t="s">
        <v>772</v>
      </c>
      <c r="L153" s="1115" t="n">
        <f aca="false">LOOKUP(M153,$E$6:$F$4002)</f>
        <v>31500</v>
      </c>
      <c r="M153" s="1115" t="s">
        <v>1106</v>
      </c>
      <c r="N153" s="1127" t="n">
        <v>0.95</v>
      </c>
      <c r="AA153" s="1124"/>
      <c r="AU153" s="504"/>
      <c r="AV153" s="504"/>
      <c r="AW153" s="504"/>
      <c r="AX153" s="504"/>
      <c r="AY153" s="504"/>
      <c r="AZ153" s="504"/>
      <c r="BA153" s="504"/>
      <c r="BB153" s="504"/>
      <c r="BC153" s="504"/>
    </row>
    <row r="154" customFormat="false" ht="14.1" hidden="false" customHeight="true" outlineLevel="0" collapsed="false">
      <c r="A154" s="1115" t="n">
        <v>2270</v>
      </c>
      <c r="B154" s="1115" t="s">
        <v>158</v>
      </c>
      <c r="C154" s="1115" t="n">
        <v>2270</v>
      </c>
      <c r="D154" s="1115" t="s">
        <v>772</v>
      </c>
      <c r="E154" s="1115" t="s">
        <v>1107</v>
      </c>
      <c r="F154" s="1115" t="n">
        <v>93320</v>
      </c>
      <c r="G154" s="1115" t="n">
        <v>2270</v>
      </c>
      <c r="H154" s="1115" t="s">
        <v>772</v>
      </c>
      <c r="I154" s="1115" t="n">
        <v>2290</v>
      </c>
      <c r="J154" s="1115" t="s">
        <v>772</v>
      </c>
      <c r="L154" s="1115" t="n">
        <f aca="false">LOOKUP(M154,$E$6:$F$4002)</f>
        <v>48930</v>
      </c>
      <c r="M154" s="1115" t="s">
        <v>1108</v>
      </c>
      <c r="N154" s="1127" t="n">
        <v>0.97</v>
      </c>
      <c r="AA154" s="1124"/>
      <c r="AU154" s="504"/>
      <c r="AV154" s="504"/>
      <c r="AW154" s="504"/>
      <c r="AX154" s="504"/>
      <c r="AY154" s="504"/>
      <c r="AZ154" s="504"/>
      <c r="BA154" s="504"/>
      <c r="BB154" s="504"/>
      <c r="BC154" s="504"/>
    </row>
    <row r="155" customFormat="false" ht="14.1" hidden="false" customHeight="true" outlineLevel="0" collapsed="false">
      <c r="A155" s="1115" t="n">
        <v>2280</v>
      </c>
      <c r="B155" s="1115" t="s">
        <v>158</v>
      </c>
      <c r="C155" s="1115" t="n">
        <v>2280</v>
      </c>
      <c r="D155" s="1115" t="s">
        <v>772</v>
      </c>
      <c r="E155" s="1115" t="s">
        <v>1109</v>
      </c>
      <c r="F155" s="1115" t="n">
        <v>25530</v>
      </c>
      <c r="G155" s="1115" t="n">
        <v>2280</v>
      </c>
      <c r="H155" s="1115" t="s">
        <v>772</v>
      </c>
      <c r="I155" s="1115" t="n">
        <v>2300</v>
      </c>
      <c r="J155" s="1115" t="s">
        <v>772</v>
      </c>
      <c r="L155" s="1115" t="n">
        <f aca="false">LOOKUP(M155,$E$6:$F$4002)</f>
        <v>45200</v>
      </c>
      <c r="M155" s="1115" t="s">
        <v>1110</v>
      </c>
      <c r="N155" s="1127" t="n">
        <v>1</v>
      </c>
      <c r="AA155" s="1124"/>
      <c r="AU155" s="504"/>
      <c r="AV155" s="504"/>
      <c r="AW155" s="504"/>
      <c r="AX155" s="504"/>
      <c r="AY155" s="504"/>
      <c r="AZ155" s="504"/>
      <c r="BA155" s="504"/>
      <c r="BB155" s="504"/>
      <c r="BC155" s="504"/>
    </row>
    <row r="156" customFormat="false" ht="14.1" hidden="false" customHeight="true" outlineLevel="0" collapsed="false">
      <c r="A156" s="1115" t="n">
        <v>2290</v>
      </c>
      <c r="B156" s="1115" t="s">
        <v>158</v>
      </c>
      <c r="C156" s="1115" t="n">
        <v>2290</v>
      </c>
      <c r="D156" s="1115" t="s">
        <v>772</v>
      </c>
      <c r="E156" s="1115" t="s">
        <v>1111</v>
      </c>
      <c r="F156" s="1115" t="n">
        <v>56250</v>
      </c>
      <c r="G156" s="1115" t="n">
        <v>2290</v>
      </c>
      <c r="H156" s="1115" t="s">
        <v>772</v>
      </c>
      <c r="I156" s="1115" t="n">
        <v>2320</v>
      </c>
      <c r="J156" s="1115" t="s">
        <v>772</v>
      </c>
      <c r="L156" s="1115" t="n">
        <f aca="false">LOOKUP(M156,$E$6:$F$4002)</f>
        <v>64100</v>
      </c>
      <c r="M156" s="1115" t="s">
        <v>1112</v>
      </c>
      <c r="N156" s="1127" t="n">
        <v>1.02</v>
      </c>
      <c r="AA156" s="1124"/>
      <c r="AU156" s="504"/>
      <c r="AV156" s="504"/>
      <c r="AW156" s="504"/>
      <c r="AX156" s="504"/>
      <c r="AY156" s="504"/>
      <c r="AZ156" s="504"/>
      <c r="BA156" s="504"/>
      <c r="BB156" s="504"/>
      <c r="BC156" s="504"/>
    </row>
    <row r="157" customFormat="false" ht="14.1" hidden="false" customHeight="true" outlineLevel="0" collapsed="false">
      <c r="A157" s="1115" t="n">
        <v>2300</v>
      </c>
      <c r="B157" s="1115" t="s">
        <v>158</v>
      </c>
      <c r="C157" s="1115" t="n">
        <v>2300</v>
      </c>
      <c r="D157" s="1115" t="s">
        <v>772</v>
      </c>
      <c r="E157" s="1115" t="s">
        <v>1113</v>
      </c>
      <c r="F157" s="1115" t="n">
        <v>35220</v>
      </c>
      <c r="G157" s="1115" t="n">
        <v>2300</v>
      </c>
      <c r="H157" s="1115" t="s">
        <v>772</v>
      </c>
      <c r="I157" s="1115" t="n">
        <v>2330</v>
      </c>
      <c r="J157" s="1115" t="s">
        <v>772</v>
      </c>
      <c r="L157" s="1115" t="n">
        <f aca="false">LOOKUP(M157,$E$6:$F$4002)</f>
        <v>68500</v>
      </c>
      <c r="M157" s="1115" t="s">
        <v>1114</v>
      </c>
      <c r="N157" s="1127" t="n">
        <v>0.93</v>
      </c>
      <c r="AA157" s="1124"/>
      <c r="AU157" s="504"/>
      <c r="AV157" s="504"/>
      <c r="AW157" s="504"/>
      <c r="AX157" s="504"/>
      <c r="AY157" s="504"/>
      <c r="AZ157" s="504"/>
      <c r="BA157" s="504"/>
      <c r="BB157" s="504"/>
      <c r="BC157" s="504"/>
    </row>
    <row r="158" customFormat="false" ht="14.1" hidden="false" customHeight="true" outlineLevel="0" collapsed="false">
      <c r="A158" s="1115" t="n">
        <v>2320</v>
      </c>
      <c r="B158" s="1115" t="s">
        <v>158</v>
      </c>
      <c r="C158" s="1115" t="n">
        <v>2320</v>
      </c>
      <c r="D158" s="1115" t="s">
        <v>772</v>
      </c>
      <c r="E158" s="1115" t="s">
        <v>1115</v>
      </c>
      <c r="F158" s="1115" t="n">
        <v>69150</v>
      </c>
      <c r="G158" s="1115" t="n">
        <v>2320</v>
      </c>
      <c r="H158" s="1115" t="s">
        <v>772</v>
      </c>
      <c r="I158" s="1115" t="n">
        <v>2340</v>
      </c>
      <c r="J158" s="1115" t="s">
        <v>772</v>
      </c>
      <c r="L158" s="1115" t="n">
        <f aca="false">LOOKUP(M158,$E$6:$F$4002)</f>
        <v>36810</v>
      </c>
      <c r="M158" s="1115" t="s">
        <v>1116</v>
      </c>
      <c r="N158" s="1127" t="n">
        <v>0.97</v>
      </c>
      <c r="AA158" s="1124"/>
      <c r="AU158" s="504"/>
      <c r="AV158" s="504"/>
      <c r="AW158" s="504"/>
      <c r="AX158" s="504"/>
      <c r="AY158" s="504"/>
      <c r="AZ158" s="504"/>
      <c r="BA158" s="504"/>
      <c r="BB158" s="504"/>
      <c r="BC158" s="504"/>
    </row>
    <row r="159" customFormat="false" ht="14.1" hidden="false" customHeight="true" outlineLevel="0" collapsed="false">
      <c r="A159" s="1115" t="n">
        <v>2330</v>
      </c>
      <c r="B159" s="1115" t="s">
        <v>158</v>
      </c>
      <c r="C159" s="1115" t="n">
        <v>2330</v>
      </c>
      <c r="D159" s="1115" t="s">
        <v>772</v>
      </c>
      <c r="E159" s="1115" t="s">
        <v>772</v>
      </c>
      <c r="F159" s="1115" t="n">
        <v>2100</v>
      </c>
      <c r="G159" s="1115" t="n">
        <v>2330</v>
      </c>
      <c r="H159" s="1115" t="s">
        <v>772</v>
      </c>
      <c r="I159" s="1115" t="n">
        <v>2360</v>
      </c>
      <c r="J159" s="1115" t="s">
        <v>772</v>
      </c>
      <c r="L159" s="1115" t="n">
        <f aca="false">LOOKUP(M159,$E$6:$F$4002)</f>
        <v>88900</v>
      </c>
      <c r="M159" s="1115" t="s">
        <v>1117</v>
      </c>
      <c r="N159" s="1127" t="n">
        <v>0.98</v>
      </c>
      <c r="AA159" s="1124"/>
      <c r="AU159" s="504"/>
      <c r="AV159" s="504"/>
      <c r="AW159" s="504"/>
      <c r="AX159" s="504"/>
      <c r="AY159" s="504"/>
      <c r="AZ159" s="504"/>
      <c r="BA159" s="504"/>
      <c r="BB159" s="504"/>
      <c r="BC159" s="504"/>
    </row>
    <row r="160" customFormat="false" ht="14.1" hidden="false" customHeight="true" outlineLevel="0" collapsed="false">
      <c r="A160" s="1115" t="n">
        <v>2340</v>
      </c>
      <c r="B160" s="1115" t="s">
        <v>158</v>
      </c>
      <c r="C160" s="1115" t="n">
        <v>2340</v>
      </c>
      <c r="D160" s="1115" t="s">
        <v>772</v>
      </c>
      <c r="E160" s="1115" t="s">
        <v>772</v>
      </c>
      <c r="F160" s="1115" t="n">
        <v>2110</v>
      </c>
      <c r="G160" s="1115" t="n">
        <v>2340</v>
      </c>
      <c r="H160" s="1115" t="s">
        <v>772</v>
      </c>
      <c r="I160" s="1115" t="n">
        <v>2380</v>
      </c>
      <c r="J160" s="1115" t="s">
        <v>772</v>
      </c>
      <c r="L160" s="1115" t="n">
        <f aca="false">LOOKUP(M160,$E$6:$F$4002)</f>
        <v>17800</v>
      </c>
      <c r="M160" s="1115" t="s">
        <v>1118</v>
      </c>
      <c r="N160" s="1127" t="n">
        <v>0.96</v>
      </c>
      <c r="AA160" s="1124"/>
      <c r="AU160" s="504"/>
      <c r="AV160" s="504"/>
      <c r="AW160" s="504"/>
      <c r="AX160" s="504"/>
      <c r="AY160" s="504"/>
      <c r="AZ160" s="504"/>
      <c r="BA160" s="504"/>
      <c r="BB160" s="504"/>
      <c r="BC160" s="504"/>
    </row>
    <row r="161" customFormat="false" ht="14.1" hidden="false" customHeight="true" outlineLevel="0" collapsed="false">
      <c r="A161" s="1115" t="n">
        <v>2360</v>
      </c>
      <c r="B161" s="1115" t="s">
        <v>158</v>
      </c>
      <c r="C161" s="1115" t="n">
        <v>2360</v>
      </c>
      <c r="D161" s="1115" t="s">
        <v>772</v>
      </c>
      <c r="E161" s="1115" t="s">
        <v>772</v>
      </c>
      <c r="F161" s="1115" t="n">
        <v>2120</v>
      </c>
      <c r="G161" s="1115" t="n">
        <v>2360</v>
      </c>
      <c r="H161" s="1115" t="s">
        <v>772</v>
      </c>
      <c r="I161" s="1115" t="n">
        <v>2400</v>
      </c>
      <c r="J161" s="1115" t="s">
        <v>1076</v>
      </c>
      <c r="L161" s="1115" t="n">
        <f aca="false">LOOKUP(M161,$E$6:$F$4002)</f>
        <v>95110</v>
      </c>
      <c r="M161" s="1115" t="s">
        <v>1119</v>
      </c>
      <c r="N161" s="1127" t="n">
        <v>0.92</v>
      </c>
      <c r="AA161" s="1124"/>
      <c r="AU161" s="504"/>
      <c r="AV161" s="504"/>
      <c r="AW161" s="504"/>
      <c r="AX161" s="504"/>
      <c r="AY161" s="504"/>
      <c r="AZ161" s="504"/>
      <c r="BA161" s="504"/>
      <c r="BB161" s="504"/>
      <c r="BC161" s="504"/>
    </row>
    <row r="162" customFormat="false" ht="14.1" hidden="false" customHeight="true" outlineLevel="0" collapsed="false">
      <c r="A162" s="1115" t="n">
        <v>2380</v>
      </c>
      <c r="B162" s="1115" t="s">
        <v>158</v>
      </c>
      <c r="C162" s="1115" t="n">
        <v>2380</v>
      </c>
      <c r="D162" s="1115" t="s">
        <v>772</v>
      </c>
      <c r="E162" s="1115" t="s">
        <v>772</v>
      </c>
      <c r="F162" s="1115" t="n">
        <v>2130</v>
      </c>
      <c r="G162" s="1115" t="n">
        <v>2380</v>
      </c>
      <c r="H162" s="1115" t="s">
        <v>772</v>
      </c>
      <c r="I162" s="1115" t="n">
        <v>2410</v>
      </c>
      <c r="J162" s="1115" t="s">
        <v>1076</v>
      </c>
      <c r="L162" s="1115" t="n">
        <f aca="false">LOOKUP(M162,$E$6:$F$4002)</f>
        <v>22820</v>
      </c>
      <c r="M162" s="1115" t="s">
        <v>1120</v>
      </c>
      <c r="N162" s="1127" t="n">
        <v>1.01</v>
      </c>
      <c r="AA162" s="1124"/>
      <c r="AU162" s="504"/>
      <c r="AV162" s="504"/>
      <c r="AW162" s="504"/>
      <c r="AX162" s="504"/>
      <c r="AY162" s="504"/>
      <c r="AZ162" s="504"/>
      <c r="BA162" s="504"/>
      <c r="BB162" s="504"/>
      <c r="BC162" s="504"/>
    </row>
    <row r="163" customFormat="false" ht="14.1" hidden="false" customHeight="true" outlineLevel="0" collapsed="false">
      <c r="A163" s="1115" t="n">
        <v>2400</v>
      </c>
      <c r="B163" s="1115" t="s">
        <v>158</v>
      </c>
      <c r="C163" s="1115" t="n">
        <v>2400</v>
      </c>
      <c r="D163" s="1115" t="s">
        <v>1076</v>
      </c>
      <c r="E163" s="1115" t="s">
        <v>772</v>
      </c>
      <c r="F163" s="1115" t="n">
        <v>2140</v>
      </c>
      <c r="G163" s="1115" t="n">
        <v>2400</v>
      </c>
      <c r="H163" s="1115" t="s">
        <v>1076</v>
      </c>
      <c r="I163" s="1115" t="n">
        <v>2420</v>
      </c>
      <c r="J163" s="1115" t="s">
        <v>1076</v>
      </c>
      <c r="L163" s="1115" t="n">
        <f aca="false">LOOKUP(M163,$E$6:$F$4002)</f>
        <v>70840</v>
      </c>
      <c r="M163" s="1115" t="s">
        <v>166</v>
      </c>
      <c r="N163" s="1127" t="n">
        <v>1</v>
      </c>
      <c r="AA163" s="1124"/>
      <c r="AU163" s="504"/>
      <c r="AV163" s="504"/>
      <c r="AW163" s="504"/>
      <c r="AX163" s="504"/>
      <c r="AY163" s="504"/>
      <c r="AZ163" s="504"/>
      <c r="BA163" s="504"/>
      <c r="BB163" s="504"/>
      <c r="BC163" s="504"/>
    </row>
    <row r="164" customFormat="false" ht="14.1" hidden="false" customHeight="true" outlineLevel="0" collapsed="false">
      <c r="A164" s="1115" t="n">
        <v>2410</v>
      </c>
      <c r="B164" s="1115" t="s">
        <v>158</v>
      </c>
      <c r="C164" s="1115" t="n">
        <v>2410</v>
      </c>
      <c r="D164" s="1115" t="s">
        <v>1076</v>
      </c>
      <c r="E164" s="1115" t="s">
        <v>772</v>
      </c>
      <c r="F164" s="1115" t="n">
        <v>2150</v>
      </c>
      <c r="G164" s="1115" t="n">
        <v>2410</v>
      </c>
      <c r="H164" s="1115" t="s">
        <v>1076</v>
      </c>
      <c r="I164" s="1115" t="n">
        <v>2430</v>
      </c>
      <c r="J164" s="1115" t="s">
        <v>1076</v>
      </c>
      <c r="L164" s="1115" t="n">
        <f aca="false">LOOKUP(M164,$E$6:$F$4002)</f>
        <v>70840</v>
      </c>
      <c r="M164" s="1115" t="s">
        <v>166</v>
      </c>
      <c r="N164" s="1127" t="n">
        <v>1.01</v>
      </c>
      <c r="AA164" s="1124"/>
      <c r="AU164" s="504"/>
      <c r="AV164" s="504"/>
      <c r="AW164" s="504"/>
      <c r="AX164" s="504"/>
      <c r="AY164" s="504"/>
      <c r="AZ164" s="504"/>
      <c r="BA164" s="504"/>
      <c r="BB164" s="504"/>
      <c r="BC164" s="504"/>
    </row>
    <row r="165" customFormat="false" ht="14.1" hidden="false" customHeight="true" outlineLevel="0" collapsed="false">
      <c r="A165" s="1115" t="n">
        <v>2420</v>
      </c>
      <c r="B165" s="1115" t="s">
        <v>158</v>
      </c>
      <c r="C165" s="1115" t="n">
        <v>2420</v>
      </c>
      <c r="D165" s="1115" t="s">
        <v>1121</v>
      </c>
      <c r="E165" s="1115" t="s">
        <v>772</v>
      </c>
      <c r="F165" s="1115" t="n">
        <v>2160</v>
      </c>
      <c r="G165" s="1115" t="n">
        <v>2420</v>
      </c>
      <c r="H165" s="1115" t="s">
        <v>1121</v>
      </c>
      <c r="I165" s="1115" t="n">
        <v>2440</v>
      </c>
      <c r="J165" s="1115" t="s">
        <v>1076</v>
      </c>
      <c r="L165" s="1115" t="n">
        <f aca="false">LOOKUP(M165,$E$6:$F$4002)</f>
        <v>63100</v>
      </c>
      <c r="M165" s="1115" t="s">
        <v>1122</v>
      </c>
      <c r="N165" s="1127" t="n">
        <v>1</v>
      </c>
      <c r="AU165" s="504"/>
      <c r="AV165" s="504"/>
      <c r="AW165" s="504"/>
      <c r="AX165" s="504"/>
      <c r="AY165" s="504"/>
      <c r="AZ165" s="504"/>
      <c r="BA165" s="504"/>
      <c r="BB165" s="504"/>
      <c r="BC165" s="504"/>
    </row>
    <row r="166" customFormat="false" ht="14.1" hidden="false" customHeight="true" outlineLevel="0" collapsed="false">
      <c r="A166" s="1115" t="n">
        <v>2430</v>
      </c>
      <c r="B166" s="1115" t="s">
        <v>158</v>
      </c>
      <c r="C166" s="1115" t="n">
        <v>2430</v>
      </c>
      <c r="D166" s="1115" t="s">
        <v>1123</v>
      </c>
      <c r="E166" s="1115" t="s">
        <v>772</v>
      </c>
      <c r="F166" s="1115" t="n">
        <v>2170</v>
      </c>
      <c r="G166" s="1115" t="n">
        <v>2430</v>
      </c>
      <c r="H166" s="1115" t="s">
        <v>1123</v>
      </c>
      <c r="I166" s="1115" t="n">
        <v>2460</v>
      </c>
      <c r="J166" s="1115" t="s">
        <v>1076</v>
      </c>
      <c r="L166" s="1115" t="n">
        <f aca="false">LOOKUP(M166,$E$6:$F$4002)</f>
        <v>61300</v>
      </c>
      <c r="M166" s="1115" t="s">
        <v>1124</v>
      </c>
      <c r="N166" s="1127" t="n">
        <v>0.95</v>
      </c>
      <c r="AA166" s="1124"/>
      <c r="AU166" s="504"/>
      <c r="AV166" s="504"/>
      <c r="AW166" s="504"/>
      <c r="AX166" s="504"/>
      <c r="AY166" s="504"/>
      <c r="AZ166" s="504"/>
      <c r="BA166" s="504"/>
      <c r="BB166" s="504"/>
      <c r="BC166" s="504"/>
    </row>
    <row r="167" customFormat="false" ht="14.1" hidden="false" customHeight="true" outlineLevel="0" collapsed="false">
      <c r="A167" s="1115" t="n">
        <v>2440</v>
      </c>
      <c r="B167" s="1115" t="s">
        <v>158</v>
      </c>
      <c r="C167" s="1115" t="n">
        <v>2440</v>
      </c>
      <c r="D167" s="1115" t="s">
        <v>1125</v>
      </c>
      <c r="E167" s="1115" t="s">
        <v>772</v>
      </c>
      <c r="F167" s="1115" t="n">
        <v>2180</v>
      </c>
      <c r="G167" s="1115" t="n">
        <v>2440</v>
      </c>
      <c r="H167" s="1115" t="s">
        <v>1125</v>
      </c>
      <c r="I167" s="1115" t="n">
        <v>2470</v>
      </c>
      <c r="J167" s="1115" t="s">
        <v>1076</v>
      </c>
      <c r="L167" s="1115" t="n">
        <f aca="false">LOOKUP(M167,$E$6:$F$4002)</f>
        <v>34300</v>
      </c>
      <c r="M167" s="1115" t="s">
        <v>1126</v>
      </c>
      <c r="N167" s="1127" t="n">
        <v>0.94</v>
      </c>
      <c r="AA167" s="1124"/>
      <c r="AU167" s="504"/>
      <c r="AV167" s="504"/>
      <c r="AW167" s="504"/>
      <c r="AX167" s="504"/>
      <c r="AY167" s="504"/>
      <c r="AZ167" s="504"/>
      <c r="BA167" s="504"/>
      <c r="BB167" s="504"/>
      <c r="BC167" s="504"/>
    </row>
    <row r="168" customFormat="false" ht="14.1" hidden="false" customHeight="true" outlineLevel="0" collapsed="false">
      <c r="A168" s="1115" t="n">
        <v>2460</v>
      </c>
      <c r="B168" s="1115" t="s">
        <v>158</v>
      </c>
      <c r="C168" s="1115" t="n">
        <v>2460</v>
      </c>
      <c r="D168" s="1115" t="s">
        <v>1127</v>
      </c>
      <c r="E168" s="1115" t="s">
        <v>772</v>
      </c>
      <c r="F168" s="1115" t="n">
        <v>2200</v>
      </c>
      <c r="G168" s="1115" t="n">
        <v>2460</v>
      </c>
      <c r="H168" s="1115" t="s">
        <v>1127</v>
      </c>
      <c r="I168" s="1115" t="n">
        <v>2480</v>
      </c>
      <c r="J168" s="1115" t="s">
        <v>1076</v>
      </c>
      <c r="L168" s="1115" t="n">
        <f aca="false">LOOKUP(M168,$E$6:$F$4002)</f>
        <v>23360</v>
      </c>
      <c r="M168" s="1115" t="s">
        <v>1128</v>
      </c>
      <c r="N168" s="1127" t="n">
        <v>1.03</v>
      </c>
      <c r="AA168" s="1124"/>
      <c r="AU168" s="504"/>
      <c r="AV168" s="504"/>
      <c r="AW168" s="504"/>
      <c r="AX168" s="504"/>
      <c r="AY168" s="504"/>
      <c r="AZ168" s="504"/>
      <c r="BA168" s="504"/>
      <c r="BB168" s="504"/>
      <c r="BC168" s="504"/>
    </row>
    <row r="169" customFormat="false" ht="14.1" hidden="false" customHeight="true" outlineLevel="0" collapsed="false">
      <c r="A169" s="1115" t="n">
        <v>2470</v>
      </c>
      <c r="B169" s="1115" t="s">
        <v>158</v>
      </c>
      <c r="C169" s="1115" t="n">
        <v>2470</v>
      </c>
      <c r="D169" s="1115" t="s">
        <v>1129</v>
      </c>
      <c r="E169" s="1115" t="s">
        <v>772</v>
      </c>
      <c r="F169" s="1115" t="n">
        <v>2210</v>
      </c>
      <c r="G169" s="1115" t="n">
        <v>2470</v>
      </c>
      <c r="H169" s="1115" t="s">
        <v>1129</v>
      </c>
      <c r="I169" s="1115" t="n">
        <v>2490</v>
      </c>
      <c r="J169" s="1115" t="s">
        <v>1076</v>
      </c>
      <c r="L169" s="1115" t="n">
        <f aca="false">LOOKUP(M169,$E$6:$F$4002)</f>
        <v>93600</v>
      </c>
      <c r="M169" s="1115" t="s">
        <v>1130</v>
      </c>
      <c r="N169" s="1127" t="n">
        <v>1.02</v>
      </c>
      <c r="AA169" s="1124"/>
      <c r="AU169" s="504"/>
      <c r="AV169" s="504"/>
      <c r="AW169" s="504"/>
      <c r="AX169" s="504"/>
      <c r="AY169" s="504"/>
      <c r="AZ169" s="504"/>
      <c r="BA169" s="504"/>
      <c r="BB169" s="504"/>
      <c r="BC169" s="504"/>
    </row>
    <row r="170" customFormat="false" ht="14.1" hidden="false" customHeight="true" outlineLevel="0" collapsed="false">
      <c r="A170" s="1115" t="n">
        <v>2480</v>
      </c>
      <c r="B170" s="1115" t="s">
        <v>158</v>
      </c>
      <c r="C170" s="1115" t="n">
        <v>2480</v>
      </c>
      <c r="D170" s="1115" t="s">
        <v>1076</v>
      </c>
      <c r="E170" s="1115" t="s">
        <v>772</v>
      </c>
      <c r="F170" s="1115" t="n">
        <v>2230</v>
      </c>
      <c r="G170" s="1115" t="n">
        <v>2480</v>
      </c>
      <c r="H170" s="1115" t="s">
        <v>1076</v>
      </c>
      <c r="I170" s="1115" t="n">
        <v>2510</v>
      </c>
      <c r="J170" s="1115" t="s">
        <v>1076</v>
      </c>
      <c r="L170" s="1115" t="n">
        <f aca="false">LOOKUP(M170,$E$6:$F$4002)</f>
        <v>45740</v>
      </c>
      <c r="M170" s="1115" t="s">
        <v>1131</v>
      </c>
      <c r="N170" s="1127" t="n">
        <v>1</v>
      </c>
      <c r="AA170" s="1124"/>
      <c r="AU170" s="504"/>
      <c r="AV170" s="504"/>
      <c r="AW170" s="504"/>
      <c r="AX170" s="504"/>
      <c r="AY170" s="504"/>
      <c r="AZ170" s="504"/>
      <c r="BA170" s="504"/>
      <c r="BB170" s="504"/>
      <c r="BC170" s="504"/>
    </row>
    <row r="171" customFormat="false" ht="14.1" hidden="false" customHeight="true" outlineLevel="0" collapsed="false">
      <c r="A171" s="1115" t="n">
        <v>2490</v>
      </c>
      <c r="B171" s="1115" t="s">
        <v>158</v>
      </c>
      <c r="C171" s="1115" t="n">
        <v>2490</v>
      </c>
      <c r="D171" s="1115" t="s">
        <v>1132</v>
      </c>
      <c r="E171" s="1115" t="s">
        <v>772</v>
      </c>
      <c r="F171" s="1115" t="n">
        <v>2240</v>
      </c>
      <c r="G171" s="1115" t="n">
        <v>2490</v>
      </c>
      <c r="H171" s="1115" t="s">
        <v>1132</v>
      </c>
      <c r="I171" s="1115" t="n">
        <v>2520</v>
      </c>
      <c r="J171" s="1115" t="s">
        <v>1076</v>
      </c>
      <c r="L171" s="1115" t="n">
        <f aca="false">LOOKUP(M171,$E$6:$F$4002)</f>
        <v>25330</v>
      </c>
      <c r="M171" s="1115" t="s">
        <v>1133</v>
      </c>
      <c r="N171" s="1127" t="n">
        <v>0.95</v>
      </c>
      <c r="AA171" s="1124"/>
      <c r="AU171" s="504"/>
      <c r="AV171" s="504"/>
      <c r="AW171" s="504"/>
      <c r="AX171" s="504"/>
      <c r="AY171" s="504"/>
      <c r="AZ171" s="504"/>
      <c r="BA171" s="504"/>
      <c r="BB171" s="504"/>
      <c r="BC171" s="504"/>
    </row>
    <row r="172" customFormat="false" ht="14.1" hidden="false" customHeight="true" outlineLevel="0" collapsed="false">
      <c r="A172" s="1115" t="n">
        <v>2510</v>
      </c>
      <c r="B172" s="1115" t="s">
        <v>158</v>
      </c>
      <c r="C172" s="1115" t="n">
        <v>2510</v>
      </c>
      <c r="D172" s="1115" t="s">
        <v>1134</v>
      </c>
      <c r="E172" s="1115" t="s">
        <v>772</v>
      </c>
      <c r="F172" s="1115" t="n">
        <v>2260</v>
      </c>
      <c r="G172" s="1115" t="n">
        <v>2510</v>
      </c>
      <c r="H172" s="1115" t="s">
        <v>1134</v>
      </c>
      <c r="I172" s="1115" t="n">
        <v>2540</v>
      </c>
      <c r="J172" s="1115" t="s">
        <v>1076</v>
      </c>
      <c r="L172" s="1115" t="n">
        <f aca="false">LOOKUP(M172,$E$6:$F$4002)</f>
        <v>54760</v>
      </c>
      <c r="M172" s="1115" t="s">
        <v>1135</v>
      </c>
      <c r="N172" s="1127" t="n">
        <v>1.01</v>
      </c>
      <c r="AA172" s="1124"/>
      <c r="AU172" s="504"/>
      <c r="AV172" s="504"/>
      <c r="AW172" s="504"/>
      <c r="AX172" s="504"/>
      <c r="AY172" s="504"/>
      <c r="AZ172" s="504"/>
      <c r="BA172" s="504"/>
      <c r="BB172" s="504"/>
      <c r="BC172" s="504"/>
    </row>
    <row r="173" customFormat="false" ht="14.1" hidden="false" customHeight="true" outlineLevel="0" collapsed="false">
      <c r="A173" s="1115" t="n">
        <v>2520</v>
      </c>
      <c r="B173" s="1115" t="s">
        <v>158</v>
      </c>
      <c r="C173" s="1115" t="n">
        <v>2520</v>
      </c>
      <c r="D173" s="1115" t="s">
        <v>1136</v>
      </c>
      <c r="E173" s="1115" t="s">
        <v>772</v>
      </c>
      <c r="F173" s="1115" t="n">
        <v>2270</v>
      </c>
      <c r="G173" s="1115" t="n">
        <v>2520</v>
      </c>
      <c r="H173" s="1115" t="s">
        <v>1136</v>
      </c>
      <c r="I173" s="1115" t="n">
        <v>2550</v>
      </c>
      <c r="J173" s="1115" t="s">
        <v>1076</v>
      </c>
      <c r="L173" s="1115" t="n">
        <f aca="false">LOOKUP(M173,$E$6:$F$4002)</f>
        <v>43700</v>
      </c>
      <c r="M173" s="1115" t="s">
        <v>1137</v>
      </c>
      <c r="N173" s="1127" t="n">
        <v>0.98</v>
      </c>
      <c r="AA173" s="1124"/>
      <c r="AU173" s="504"/>
      <c r="AV173" s="504"/>
      <c r="AW173" s="504"/>
      <c r="AX173" s="504"/>
      <c r="AY173" s="504"/>
      <c r="AZ173" s="504"/>
      <c r="BA173" s="504"/>
      <c r="BB173" s="504"/>
      <c r="BC173" s="504"/>
    </row>
    <row r="174" customFormat="false" ht="14.1" hidden="false" customHeight="true" outlineLevel="0" collapsed="false">
      <c r="A174" s="1115" t="n">
        <v>2540</v>
      </c>
      <c r="B174" s="1115" t="s">
        <v>158</v>
      </c>
      <c r="C174" s="1115" t="n">
        <v>2540</v>
      </c>
      <c r="D174" s="1115" t="s">
        <v>1138</v>
      </c>
      <c r="E174" s="1115" t="s">
        <v>772</v>
      </c>
      <c r="F174" s="1115" t="n">
        <v>2280</v>
      </c>
      <c r="G174" s="1115" t="n">
        <v>2540</v>
      </c>
      <c r="H174" s="1115" t="s">
        <v>1138</v>
      </c>
      <c r="I174" s="1115" t="n">
        <v>2570</v>
      </c>
      <c r="J174" s="1115" t="s">
        <v>1139</v>
      </c>
      <c r="L174" s="1115" t="n">
        <f aca="false">LOOKUP(M174,$E$6:$F$4002)</f>
        <v>68300</v>
      </c>
      <c r="M174" s="1115" t="s">
        <v>1140</v>
      </c>
      <c r="N174" s="1127" t="n">
        <v>1.02</v>
      </c>
      <c r="AA174" s="1124"/>
      <c r="AU174" s="504"/>
      <c r="AV174" s="504"/>
      <c r="AW174" s="504"/>
      <c r="AX174" s="504"/>
      <c r="AY174" s="504"/>
      <c r="AZ174" s="504"/>
      <c r="BA174" s="504"/>
      <c r="BB174" s="504"/>
      <c r="BC174" s="504"/>
    </row>
    <row r="175" customFormat="false" ht="14.1" hidden="false" customHeight="true" outlineLevel="0" collapsed="false">
      <c r="A175" s="1115" t="n">
        <v>2550</v>
      </c>
      <c r="B175" s="1115" t="s">
        <v>158</v>
      </c>
      <c r="C175" s="1115" t="n">
        <v>2550</v>
      </c>
      <c r="D175" s="1115" t="s">
        <v>1141</v>
      </c>
      <c r="E175" s="1115" t="s">
        <v>772</v>
      </c>
      <c r="F175" s="1115" t="n">
        <v>2290</v>
      </c>
      <c r="G175" s="1115" t="n">
        <v>2550</v>
      </c>
      <c r="H175" s="1115" t="s">
        <v>1141</v>
      </c>
      <c r="I175" s="1115" t="n">
        <v>2580</v>
      </c>
      <c r="J175" s="1115" t="s">
        <v>1139</v>
      </c>
      <c r="L175" s="1115" t="n">
        <f aca="false">LOOKUP(M175,$E$6:$F$4002)</f>
        <v>16610</v>
      </c>
      <c r="M175" s="1115" t="s">
        <v>1142</v>
      </c>
      <c r="N175" s="1127" t="n">
        <v>0.99</v>
      </c>
      <c r="AA175" s="1124"/>
      <c r="AU175" s="504"/>
      <c r="AV175" s="504"/>
      <c r="AW175" s="504"/>
      <c r="AX175" s="504"/>
      <c r="AY175" s="504"/>
      <c r="AZ175" s="504"/>
      <c r="BA175" s="504"/>
      <c r="BB175" s="504"/>
      <c r="BC175" s="504"/>
    </row>
    <row r="176" customFormat="false" ht="14.1" hidden="false" customHeight="true" outlineLevel="0" collapsed="false">
      <c r="A176" s="1115" t="n">
        <v>2570</v>
      </c>
      <c r="B176" s="1115" t="s">
        <v>158</v>
      </c>
      <c r="C176" s="1115" t="n">
        <v>2570</v>
      </c>
      <c r="D176" s="1115" t="s">
        <v>1139</v>
      </c>
      <c r="E176" s="1115" t="s">
        <v>772</v>
      </c>
      <c r="F176" s="1115" t="n">
        <v>2300</v>
      </c>
      <c r="G176" s="1115" t="n">
        <v>2570</v>
      </c>
      <c r="H176" s="1115" t="s">
        <v>1139</v>
      </c>
      <c r="I176" s="1115" t="n">
        <v>2590</v>
      </c>
      <c r="J176" s="1115" t="s">
        <v>1139</v>
      </c>
      <c r="L176" s="1115" t="n">
        <f aca="false">LOOKUP(M176,$E$6:$F$4002)</f>
        <v>86710</v>
      </c>
      <c r="M176" s="1115" t="s">
        <v>1143</v>
      </c>
      <c r="N176" s="1127" t="n">
        <v>1.04</v>
      </c>
      <c r="AA176" s="1124"/>
      <c r="AU176" s="504"/>
      <c r="AV176" s="504"/>
      <c r="AW176" s="504"/>
      <c r="AX176" s="504"/>
      <c r="AY176" s="504"/>
      <c r="AZ176" s="504"/>
      <c r="BA176" s="504"/>
      <c r="BB176" s="504"/>
      <c r="BC176" s="504"/>
    </row>
    <row r="177" customFormat="false" ht="14.1" hidden="false" customHeight="true" outlineLevel="0" collapsed="false">
      <c r="A177" s="1115" t="n">
        <v>2580</v>
      </c>
      <c r="B177" s="1115" t="s">
        <v>158</v>
      </c>
      <c r="C177" s="1115" t="n">
        <v>2580</v>
      </c>
      <c r="D177" s="1115" t="s">
        <v>1139</v>
      </c>
      <c r="E177" s="1115" t="s">
        <v>772</v>
      </c>
      <c r="F177" s="1115" t="n">
        <v>2320</v>
      </c>
      <c r="G177" s="1115" t="n">
        <v>2580</v>
      </c>
      <c r="H177" s="1115" t="s">
        <v>1139</v>
      </c>
      <c r="I177" s="1115" t="n">
        <v>2600</v>
      </c>
      <c r="J177" s="1115" t="s">
        <v>772</v>
      </c>
      <c r="L177" s="1115" t="n">
        <f aca="false">LOOKUP(M177,$E$6:$F$4002)</f>
        <v>22730</v>
      </c>
      <c r="M177" s="1115" t="s">
        <v>1144</v>
      </c>
      <c r="N177" s="1127" t="n">
        <v>1.03</v>
      </c>
      <c r="AA177" s="1124"/>
      <c r="AU177" s="504"/>
      <c r="AV177" s="504"/>
      <c r="AW177" s="504"/>
      <c r="AX177" s="504"/>
      <c r="AY177" s="504"/>
      <c r="AZ177" s="504"/>
      <c r="BA177" s="504"/>
      <c r="BB177" s="504"/>
      <c r="BC177" s="504"/>
    </row>
    <row r="178" customFormat="false" ht="14.1" hidden="false" customHeight="true" outlineLevel="0" collapsed="false">
      <c r="A178" s="1115" t="n">
        <v>2590</v>
      </c>
      <c r="B178" s="1115" t="s">
        <v>158</v>
      </c>
      <c r="C178" s="1115" t="n">
        <v>2590</v>
      </c>
      <c r="D178" s="1115" t="s">
        <v>1145</v>
      </c>
      <c r="E178" s="1115" t="s">
        <v>772</v>
      </c>
      <c r="F178" s="1115" t="n">
        <v>2330</v>
      </c>
      <c r="G178" s="1115" t="n">
        <v>2590</v>
      </c>
      <c r="H178" s="1115" t="s">
        <v>1145</v>
      </c>
      <c r="I178" s="1115" t="n">
        <v>2610</v>
      </c>
      <c r="J178" s="1115" t="s">
        <v>772</v>
      </c>
      <c r="L178" s="1115" t="n">
        <f aca="false">LOOKUP(M178,$E$6:$F$4002)</f>
        <v>27710</v>
      </c>
      <c r="M178" s="1115" t="s">
        <v>1146</v>
      </c>
      <c r="N178" s="1127" t="n">
        <v>0.97</v>
      </c>
      <c r="AA178" s="1124"/>
      <c r="AU178" s="504"/>
      <c r="AV178" s="504"/>
      <c r="AW178" s="504"/>
      <c r="AX178" s="504"/>
      <c r="AY178" s="504"/>
      <c r="AZ178" s="504"/>
      <c r="BA178" s="504"/>
      <c r="BB178" s="504"/>
      <c r="BC178" s="504"/>
    </row>
    <row r="179" customFormat="false" ht="14.1" hidden="false" customHeight="true" outlineLevel="0" collapsed="false">
      <c r="A179" s="1115" t="n">
        <v>2600</v>
      </c>
      <c r="B179" s="1115" t="s">
        <v>158</v>
      </c>
      <c r="C179" s="1115" t="n">
        <v>2600</v>
      </c>
      <c r="D179" s="1115" t="s">
        <v>772</v>
      </c>
      <c r="E179" s="1115" t="s">
        <v>772</v>
      </c>
      <c r="F179" s="1115" t="n">
        <v>2340</v>
      </c>
      <c r="G179" s="1115" t="n">
        <v>2600</v>
      </c>
      <c r="H179" s="1115" t="s">
        <v>772</v>
      </c>
      <c r="I179" s="1115" t="n">
        <v>2620</v>
      </c>
      <c r="J179" s="1115" t="s">
        <v>772</v>
      </c>
      <c r="L179" s="1115" t="n">
        <f aca="false">LOOKUP(M179,$E$6:$F$4002)</f>
        <v>15950</v>
      </c>
      <c r="M179" s="1115" t="s">
        <v>162</v>
      </c>
      <c r="N179" s="1127" t="n">
        <v>1</v>
      </c>
      <c r="AU179" s="504"/>
      <c r="AV179" s="504"/>
      <c r="AW179" s="504"/>
      <c r="AX179" s="504"/>
      <c r="AY179" s="504"/>
      <c r="AZ179" s="504"/>
      <c r="BA179" s="504"/>
      <c r="BB179" s="504"/>
      <c r="BC179" s="504"/>
    </row>
    <row r="180" customFormat="false" ht="14.1" hidden="false" customHeight="true" outlineLevel="0" collapsed="false">
      <c r="A180" s="1115" t="n">
        <v>2610</v>
      </c>
      <c r="B180" s="1115" t="s">
        <v>158</v>
      </c>
      <c r="C180" s="1115" t="n">
        <v>2610</v>
      </c>
      <c r="D180" s="1115" t="s">
        <v>772</v>
      </c>
      <c r="E180" s="1115" t="s">
        <v>772</v>
      </c>
      <c r="F180" s="1115" t="n">
        <v>2360</v>
      </c>
      <c r="G180" s="1115" t="n">
        <v>2610</v>
      </c>
      <c r="H180" s="1115" t="s">
        <v>772</v>
      </c>
      <c r="I180" s="1115" t="n">
        <v>2630</v>
      </c>
      <c r="J180" s="1115" t="s">
        <v>772</v>
      </c>
      <c r="L180" s="1115" t="n">
        <f aca="false">LOOKUP(M180,$E$6:$F$4002)</f>
        <v>15950</v>
      </c>
      <c r="M180" s="1115" t="s">
        <v>162</v>
      </c>
      <c r="N180" s="1127" t="n">
        <v>0.99</v>
      </c>
      <c r="AA180" s="1124"/>
      <c r="AU180" s="504"/>
      <c r="AV180" s="504"/>
      <c r="AW180" s="504"/>
      <c r="AX180" s="504"/>
      <c r="AY180" s="504"/>
      <c r="AZ180" s="504"/>
      <c r="BA180" s="504"/>
      <c r="BB180" s="504"/>
      <c r="BC180" s="504"/>
    </row>
    <row r="181" customFormat="false" ht="14.1" hidden="false" customHeight="true" outlineLevel="0" collapsed="false">
      <c r="A181" s="1115" t="n">
        <v>2620</v>
      </c>
      <c r="B181" s="1115" t="s">
        <v>158</v>
      </c>
      <c r="C181" s="1115" t="n">
        <v>2620</v>
      </c>
      <c r="D181" s="1115" t="s">
        <v>772</v>
      </c>
      <c r="E181" s="1115" t="s">
        <v>772</v>
      </c>
      <c r="F181" s="1115" t="n">
        <v>2380</v>
      </c>
      <c r="G181" s="1115" t="n">
        <v>2620</v>
      </c>
      <c r="H181" s="1115" t="s">
        <v>772</v>
      </c>
      <c r="I181" s="1115" t="n">
        <v>2650</v>
      </c>
      <c r="J181" s="1115" t="s">
        <v>772</v>
      </c>
      <c r="L181" s="1115" t="n">
        <f aca="false">LOOKUP(M181,$E$6:$F$4002)</f>
        <v>66410</v>
      </c>
      <c r="M181" s="1115" t="s">
        <v>1147</v>
      </c>
      <c r="N181" s="1127" t="n">
        <v>0.98</v>
      </c>
      <c r="AA181" s="1124"/>
      <c r="AU181" s="504"/>
      <c r="AV181" s="504"/>
      <c r="AW181" s="504"/>
      <c r="AX181" s="504"/>
      <c r="AY181" s="504"/>
      <c r="AZ181" s="504"/>
      <c r="BA181" s="504"/>
      <c r="BB181" s="504"/>
      <c r="BC181" s="504"/>
    </row>
    <row r="182" customFormat="false" ht="14.1" hidden="false" customHeight="true" outlineLevel="0" collapsed="false">
      <c r="A182" s="1115" t="n">
        <v>2630</v>
      </c>
      <c r="B182" s="1115" t="s">
        <v>158</v>
      </c>
      <c r="C182" s="1115" t="n">
        <v>2630</v>
      </c>
      <c r="D182" s="1115" t="s">
        <v>772</v>
      </c>
      <c r="E182" s="1115" t="s">
        <v>772</v>
      </c>
      <c r="F182" s="1115" t="n">
        <v>2600</v>
      </c>
      <c r="G182" s="1115" t="n">
        <v>2630</v>
      </c>
      <c r="H182" s="1115" t="s">
        <v>772</v>
      </c>
      <c r="I182" s="1115" t="n">
        <v>2660</v>
      </c>
      <c r="J182" s="1115" t="s">
        <v>772</v>
      </c>
      <c r="L182" s="1115" t="n">
        <f aca="false">LOOKUP(M182,$E$6:$F$4002)</f>
        <v>23800</v>
      </c>
      <c r="M182" s="1115" t="s">
        <v>1148</v>
      </c>
      <c r="N182" s="1127" t="n">
        <v>0.98</v>
      </c>
      <c r="AA182" s="1124"/>
      <c r="AU182" s="504"/>
      <c r="AV182" s="504"/>
      <c r="AW182" s="504"/>
      <c r="AX182" s="504"/>
      <c r="AY182" s="504"/>
      <c r="AZ182" s="504"/>
      <c r="BA182" s="504"/>
      <c r="BB182" s="504"/>
      <c r="BC182" s="504"/>
    </row>
    <row r="183" customFormat="false" ht="14.1" hidden="false" customHeight="true" outlineLevel="0" collapsed="false">
      <c r="A183" s="1115" t="n">
        <v>2650</v>
      </c>
      <c r="B183" s="1115" t="s">
        <v>158</v>
      </c>
      <c r="C183" s="1115" t="n">
        <v>2650</v>
      </c>
      <c r="D183" s="1115" t="s">
        <v>772</v>
      </c>
      <c r="E183" s="1115" t="s">
        <v>772</v>
      </c>
      <c r="F183" s="1115" t="n">
        <v>2610</v>
      </c>
      <c r="G183" s="1115" t="n">
        <v>2650</v>
      </c>
      <c r="H183" s="1115" t="s">
        <v>772</v>
      </c>
      <c r="I183" s="1115" t="n">
        <v>2680</v>
      </c>
      <c r="J183" s="1115" t="s">
        <v>772</v>
      </c>
      <c r="L183" s="1115" t="n">
        <f aca="false">LOOKUP(M183,$E$6:$F$4002)</f>
        <v>16900</v>
      </c>
      <c r="M183" s="1115" t="s">
        <v>1149</v>
      </c>
      <c r="N183" s="1127" t="n">
        <v>0.97</v>
      </c>
      <c r="AA183" s="1124"/>
      <c r="AU183" s="504"/>
      <c r="AV183" s="504"/>
      <c r="AW183" s="504"/>
      <c r="AX183" s="504"/>
      <c r="AY183" s="504"/>
      <c r="AZ183" s="504"/>
      <c r="BA183" s="504"/>
      <c r="BB183" s="504"/>
      <c r="BC183" s="504"/>
    </row>
    <row r="184" customFormat="false" ht="14.1" hidden="false" customHeight="true" outlineLevel="0" collapsed="false">
      <c r="A184" s="1115" t="n">
        <v>2660</v>
      </c>
      <c r="B184" s="1115" t="s">
        <v>158</v>
      </c>
      <c r="C184" s="1115" t="n">
        <v>2660</v>
      </c>
      <c r="D184" s="1115" t="s">
        <v>772</v>
      </c>
      <c r="E184" s="1115" t="s">
        <v>772</v>
      </c>
      <c r="F184" s="1115" t="n">
        <v>2620</v>
      </c>
      <c r="G184" s="1115" t="n">
        <v>2660</v>
      </c>
      <c r="H184" s="1115" t="s">
        <v>772</v>
      </c>
      <c r="I184" s="1115" t="n">
        <v>2700</v>
      </c>
      <c r="J184" s="1115" t="s">
        <v>1025</v>
      </c>
      <c r="L184" s="1115" t="n">
        <f aca="false">LOOKUP(M184,$E$6:$F$4002)</f>
        <v>7800</v>
      </c>
      <c r="M184" s="1115" t="s">
        <v>1150</v>
      </c>
      <c r="N184" s="1127" t="n">
        <v>0.95</v>
      </c>
      <c r="AA184" s="1124"/>
      <c r="AU184" s="504"/>
      <c r="AV184" s="504"/>
      <c r="AW184" s="504"/>
      <c r="AX184" s="504"/>
      <c r="AY184" s="504"/>
      <c r="AZ184" s="504"/>
      <c r="BA184" s="504"/>
      <c r="BB184" s="504"/>
      <c r="BC184" s="504"/>
    </row>
    <row r="185" customFormat="false" ht="14.1" hidden="false" customHeight="true" outlineLevel="0" collapsed="false">
      <c r="A185" s="1115" t="n">
        <v>2680</v>
      </c>
      <c r="B185" s="1115" t="s">
        <v>158</v>
      </c>
      <c r="C185" s="1115" t="n">
        <v>2680</v>
      </c>
      <c r="D185" s="1115" t="s">
        <v>772</v>
      </c>
      <c r="E185" s="1115" t="s">
        <v>772</v>
      </c>
      <c r="F185" s="1115" t="n">
        <v>2630</v>
      </c>
      <c r="G185" s="1115" t="n">
        <v>2680</v>
      </c>
      <c r="H185" s="1115" t="s">
        <v>772</v>
      </c>
      <c r="I185" s="1115" t="n">
        <v>2710</v>
      </c>
      <c r="J185" s="1115" t="s">
        <v>772</v>
      </c>
      <c r="L185" s="1115" t="n">
        <f aca="false">LOOKUP(M185,$E$6:$F$4002)</f>
        <v>73100</v>
      </c>
      <c r="M185" s="1115" t="s">
        <v>1151</v>
      </c>
      <c r="N185" s="1127" t="n">
        <v>0.97</v>
      </c>
      <c r="AA185" s="1124"/>
      <c r="AU185" s="504"/>
      <c r="AV185" s="504"/>
      <c r="AW185" s="504"/>
      <c r="AX185" s="504"/>
      <c r="AY185" s="504"/>
      <c r="AZ185" s="504"/>
      <c r="BA185" s="504"/>
      <c r="BB185" s="504"/>
      <c r="BC185" s="504"/>
    </row>
    <row r="186" customFormat="false" ht="14.1" hidden="false" customHeight="true" outlineLevel="0" collapsed="false">
      <c r="A186" s="1115" t="n">
        <v>2700</v>
      </c>
      <c r="B186" s="1115" t="s">
        <v>158</v>
      </c>
      <c r="C186" s="1115" t="n">
        <v>2700</v>
      </c>
      <c r="D186" s="1115" t="s">
        <v>1025</v>
      </c>
      <c r="E186" s="1115" t="s">
        <v>772</v>
      </c>
      <c r="F186" s="1115" t="n">
        <v>2650</v>
      </c>
      <c r="G186" s="1115" t="n">
        <v>2700</v>
      </c>
      <c r="H186" s="1115" t="s">
        <v>1025</v>
      </c>
      <c r="I186" s="1115" t="n">
        <v>2720</v>
      </c>
      <c r="J186" s="1115" t="s">
        <v>772</v>
      </c>
      <c r="L186" s="1115" t="n">
        <f aca="false">LOOKUP(M186,$E$6:$F$4002)</f>
        <v>62600</v>
      </c>
      <c r="M186" s="1115" t="s">
        <v>1152</v>
      </c>
      <c r="N186" s="1127" t="n">
        <v>1</v>
      </c>
      <c r="AA186" s="1124"/>
      <c r="AU186" s="504"/>
      <c r="AV186" s="504"/>
      <c r="AW186" s="504"/>
      <c r="AX186" s="504"/>
      <c r="AY186" s="504"/>
      <c r="AZ186" s="504"/>
      <c r="BA186" s="504"/>
      <c r="BB186" s="504"/>
      <c r="BC186" s="504"/>
    </row>
    <row r="187" customFormat="false" ht="14.1" hidden="false" customHeight="true" outlineLevel="0" collapsed="false">
      <c r="A187" s="1115" t="n">
        <v>2710</v>
      </c>
      <c r="B187" s="1115" t="s">
        <v>158</v>
      </c>
      <c r="C187" s="1115" t="n">
        <v>2710</v>
      </c>
      <c r="D187" s="1115" t="s">
        <v>772</v>
      </c>
      <c r="E187" s="1115" t="s">
        <v>772</v>
      </c>
      <c r="F187" s="1115" t="n">
        <v>2660</v>
      </c>
      <c r="G187" s="1115" t="n">
        <v>2710</v>
      </c>
      <c r="H187" s="1115" t="s">
        <v>772</v>
      </c>
      <c r="I187" s="1115" t="n">
        <v>2730</v>
      </c>
      <c r="J187" s="1115" t="s">
        <v>772</v>
      </c>
      <c r="L187" s="1115" t="n">
        <f aca="false">LOOKUP(M187,$E$6:$F$4002)</f>
        <v>53920</v>
      </c>
      <c r="M187" s="1115" t="s">
        <v>163</v>
      </c>
      <c r="N187" s="1127" t="n">
        <v>1</v>
      </c>
      <c r="AA187" s="1124"/>
      <c r="AU187" s="504"/>
      <c r="AV187" s="504"/>
      <c r="AW187" s="504"/>
      <c r="AX187" s="504"/>
      <c r="AY187" s="504"/>
      <c r="AZ187" s="504"/>
      <c r="BA187" s="504"/>
      <c r="BB187" s="504"/>
      <c r="BC187" s="504"/>
    </row>
    <row r="188" customFormat="false" ht="14.1" hidden="false" customHeight="true" outlineLevel="0" collapsed="false">
      <c r="A188" s="1115" t="n">
        <v>2720</v>
      </c>
      <c r="B188" s="1115" t="s">
        <v>158</v>
      </c>
      <c r="C188" s="1115" t="n">
        <v>2720</v>
      </c>
      <c r="D188" s="1115" t="s">
        <v>772</v>
      </c>
      <c r="E188" s="1115" t="s">
        <v>772</v>
      </c>
      <c r="F188" s="1115" t="n">
        <v>2680</v>
      </c>
      <c r="G188" s="1115" t="n">
        <v>2720</v>
      </c>
      <c r="H188" s="1115" t="s">
        <v>772</v>
      </c>
      <c r="I188" s="1115" t="n">
        <v>2740</v>
      </c>
      <c r="J188" s="1115" t="s">
        <v>772</v>
      </c>
      <c r="L188" s="1115" t="n">
        <f aca="false">LOOKUP(M188,$E$6:$F$4002)</f>
        <v>53920</v>
      </c>
      <c r="M188" s="1115" t="s">
        <v>163</v>
      </c>
      <c r="N188" s="1127" t="n">
        <v>1.01</v>
      </c>
      <c r="AA188" s="1124"/>
      <c r="AU188" s="504"/>
      <c r="AV188" s="504"/>
      <c r="AW188" s="504"/>
      <c r="AX188" s="504"/>
      <c r="AY188" s="504"/>
      <c r="AZ188" s="504"/>
      <c r="BA188" s="504"/>
      <c r="BB188" s="504"/>
      <c r="BC188" s="504"/>
    </row>
    <row r="189" customFormat="false" ht="14.1" hidden="false" customHeight="true" outlineLevel="0" collapsed="false">
      <c r="A189" s="1115" t="n">
        <v>2730</v>
      </c>
      <c r="B189" s="1115" t="s">
        <v>158</v>
      </c>
      <c r="C189" s="1115" t="n">
        <v>2730</v>
      </c>
      <c r="D189" s="1115" t="s">
        <v>772</v>
      </c>
      <c r="E189" s="1115" t="s">
        <v>772</v>
      </c>
      <c r="F189" s="1115" t="n">
        <v>2710</v>
      </c>
      <c r="G189" s="1115" t="n">
        <v>2730</v>
      </c>
      <c r="H189" s="1115" t="s">
        <v>772</v>
      </c>
      <c r="I189" s="1115" t="n">
        <v>2750</v>
      </c>
      <c r="J189" s="1115" t="s">
        <v>772</v>
      </c>
      <c r="L189" s="1115" t="n">
        <f aca="false">LOOKUP(M189,$E$6:$F$4002)</f>
        <v>27230</v>
      </c>
      <c r="M189" s="1115" t="s">
        <v>1153</v>
      </c>
      <c r="N189" s="1127" t="n">
        <v>0.99</v>
      </c>
      <c r="AA189" s="1124"/>
      <c r="AU189" s="504"/>
      <c r="AV189" s="504"/>
      <c r="AW189" s="504"/>
      <c r="AX189" s="504"/>
      <c r="AY189" s="504"/>
      <c r="AZ189" s="504"/>
      <c r="BA189" s="504"/>
      <c r="BB189" s="504"/>
      <c r="BC189" s="504"/>
    </row>
    <row r="190" customFormat="false" ht="14.1" hidden="false" customHeight="true" outlineLevel="0" collapsed="false">
      <c r="A190" s="1115" t="n">
        <v>2740</v>
      </c>
      <c r="B190" s="1115" t="s">
        <v>158</v>
      </c>
      <c r="C190" s="1115" t="n">
        <v>2740</v>
      </c>
      <c r="D190" s="1115" t="s">
        <v>772</v>
      </c>
      <c r="E190" s="1115" t="s">
        <v>772</v>
      </c>
      <c r="F190" s="1115" t="n">
        <v>2720</v>
      </c>
      <c r="G190" s="1115" t="n">
        <v>2740</v>
      </c>
      <c r="H190" s="1115" t="s">
        <v>772</v>
      </c>
      <c r="I190" s="1115" t="n">
        <v>2760</v>
      </c>
      <c r="J190" s="1115" t="s">
        <v>772</v>
      </c>
      <c r="L190" s="1115" t="n">
        <f aca="false">LOOKUP(M190,$E$6:$F$4002)</f>
        <v>62100</v>
      </c>
      <c r="M190" s="1115" t="s">
        <v>1154</v>
      </c>
      <c r="N190" s="1127" t="n">
        <v>1.02</v>
      </c>
      <c r="AA190" s="1124"/>
      <c r="AU190" s="504"/>
      <c r="AV190" s="504"/>
      <c r="AW190" s="504"/>
      <c r="AX190" s="504"/>
      <c r="AY190" s="504"/>
      <c r="AZ190" s="504"/>
      <c r="BA190" s="504"/>
      <c r="BB190" s="504"/>
      <c r="BC190" s="504"/>
    </row>
    <row r="191" customFormat="false" ht="14.1" hidden="false" customHeight="true" outlineLevel="0" collapsed="false">
      <c r="A191" s="1115" t="n">
        <v>2750</v>
      </c>
      <c r="B191" s="1115" t="s">
        <v>158</v>
      </c>
      <c r="C191" s="1115" t="n">
        <v>2750</v>
      </c>
      <c r="D191" s="1115" t="s">
        <v>772</v>
      </c>
      <c r="E191" s="1115" t="s">
        <v>772</v>
      </c>
      <c r="F191" s="1115" t="n">
        <v>2730</v>
      </c>
      <c r="G191" s="1115" t="n">
        <v>2750</v>
      </c>
      <c r="H191" s="1115" t="s">
        <v>772</v>
      </c>
      <c r="I191" s="1115" t="n">
        <v>2770</v>
      </c>
      <c r="J191" s="1115" t="s">
        <v>772</v>
      </c>
      <c r="L191" s="1115" t="n">
        <f aca="false">LOOKUP(M191,$E$6:$F$4002)</f>
        <v>64300</v>
      </c>
      <c r="M191" s="1115" t="s">
        <v>1155</v>
      </c>
      <c r="N191" s="1127" t="n">
        <v>0.94</v>
      </c>
      <c r="AA191" s="1124"/>
      <c r="AU191" s="504"/>
      <c r="AV191" s="504"/>
      <c r="AW191" s="504"/>
      <c r="AX191" s="504"/>
      <c r="AY191" s="504"/>
      <c r="AZ191" s="504"/>
      <c r="BA191" s="504"/>
      <c r="BB191" s="504"/>
      <c r="BC191" s="504"/>
    </row>
    <row r="192" customFormat="false" ht="14.1" hidden="false" customHeight="true" outlineLevel="0" collapsed="false">
      <c r="A192" s="1115" t="n">
        <v>2760</v>
      </c>
      <c r="B192" s="1115" t="s">
        <v>158</v>
      </c>
      <c r="C192" s="1115" t="n">
        <v>2760</v>
      </c>
      <c r="D192" s="1115" t="s">
        <v>772</v>
      </c>
      <c r="E192" s="1115" t="s">
        <v>772</v>
      </c>
      <c r="F192" s="1115" t="n">
        <v>2740</v>
      </c>
      <c r="G192" s="1115" t="n">
        <v>2760</v>
      </c>
      <c r="H192" s="1115" t="s">
        <v>772</v>
      </c>
      <c r="I192" s="1115" t="n">
        <v>2780</v>
      </c>
      <c r="J192" s="1115" t="s">
        <v>772</v>
      </c>
      <c r="L192" s="1115" t="n">
        <f aca="false">LOOKUP(M192,$E$6:$F$4002)</f>
        <v>41350</v>
      </c>
      <c r="M192" s="1115" t="s">
        <v>1156</v>
      </c>
      <c r="N192" s="1127" t="n">
        <v>1</v>
      </c>
      <c r="AA192" s="1124"/>
      <c r="AU192" s="504"/>
      <c r="AV192" s="504"/>
      <c r="AW192" s="504"/>
      <c r="AX192" s="504"/>
      <c r="AY192" s="504"/>
      <c r="AZ192" s="504"/>
      <c r="BA192" s="504"/>
      <c r="BB192" s="504"/>
      <c r="BC192" s="504"/>
    </row>
    <row r="193" customFormat="false" ht="14.1" hidden="false" customHeight="true" outlineLevel="0" collapsed="false">
      <c r="A193" s="1115" t="n">
        <v>2770</v>
      </c>
      <c r="B193" s="1115" t="s">
        <v>158</v>
      </c>
      <c r="C193" s="1115" t="n">
        <v>2770</v>
      </c>
      <c r="D193" s="1115" t="s">
        <v>772</v>
      </c>
      <c r="E193" s="1115" t="s">
        <v>772</v>
      </c>
      <c r="F193" s="1115" t="n">
        <v>2750</v>
      </c>
      <c r="G193" s="1115" t="n">
        <v>2770</v>
      </c>
      <c r="H193" s="1115" t="s">
        <v>772</v>
      </c>
      <c r="I193" s="1115" t="n">
        <v>2810</v>
      </c>
      <c r="J193" s="1115" t="s">
        <v>772</v>
      </c>
      <c r="L193" s="1115" t="n">
        <f aca="false">LOOKUP(M193,$E$6:$F$4002)</f>
        <v>38600</v>
      </c>
      <c r="M193" s="1115" t="s">
        <v>1157</v>
      </c>
      <c r="N193" s="1127" t="n">
        <v>0.99</v>
      </c>
      <c r="AU193" s="504"/>
      <c r="AV193" s="504"/>
      <c r="AW193" s="504"/>
      <c r="AX193" s="504"/>
      <c r="AY193" s="504"/>
      <c r="AZ193" s="504"/>
      <c r="BA193" s="504"/>
      <c r="BB193" s="504"/>
      <c r="BC193" s="504"/>
    </row>
    <row r="194" customFormat="false" ht="14.1" hidden="false" customHeight="true" outlineLevel="0" collapsed="false">
      <c r="A194" s="1115" t="n">
        <v>2780</v>
      </c>
      <c r="B194" s="1115" t="s">
        <v>158</v>
      </c>
      <c r="C194" s="1115" t="n">
        <v>2780</v>
      </c>
      <c r="D194" s="1115" t="s">
        <v>772</v>
      </c>
      <c r="E194" s="1115" t="s">
        <v>772</v>
      </c>
      <c r="F194" s="1115" t="n">
        <v>2760</v>
      </c>
      <c r="G194" s="1115" t="n">
        <v>2780</v>
      </c>
      <c r="H194" s="1115" t="s">
        <v>772</v>
      </c>
      <c r="I194" s="1115" t="n">
        <v>2820</v>
      </c>
      <c r="J194" s="1115" t="s">
        <v>772</v>
      </c>
      <c r="L194" s="1115" t="n">
        <f aca="false">LOOKUP(M194,$E$6:$F$4002)</f>
        <v>63510</v>
      </c>
      <c r="M194" s="1115" t="s">
        <v>1158</v>
      </c>
      <c r="N194" s="1127" t="n">
        <v>0.98</v>
      </c>
      <c r="AA194" s="1124"/>
      <c r="AU194" s="504"/>
      <c r="AV194" s="504"/>
      <c r="AW194" s="504"/>
      <c r="AX194" s="504"/>
      <c r="AY194" s="504"/>
      <c r="AZ194" s="504"/>
      <c r="BA194" s="504"/>
      <c r="BB194" s="504"/>
      <c r="BC194" s="504"/>
    </row>
    <row r="195" customFormat="false" ht="14.1" hidden="false" customHeight="true" outlineLevel="0" collapsed="false">
      <c r="A195" s="1115" t="n">
        <v>2810</v>
      </c>
      <c r="B195" s="1115" t="s">
        <v>158</v>
      </c>
      <c r="C195" s="1115" t="n">
        <v>2810</v>
      </c>
      <c r="D195" s="1115" t="s">
        <v>772</v>
      </c>
      <c r="E195" s="1115" t="s">
        <v>772</v>
      </c>
      <c r="F195" s="1115" t="n">
        <v>2770</v>
      </c>
      <c r="G195" s="1115" t="n">
        <v>2810</v>
      </c>
      <c r="H195" s="1115" t="s">
        <v>772</v>
      </c>
      <c r="I195" s="1115" t="n">
        <v>2860</v>
      </c>
      <c r="J195" s="1115" t="s">
        <v>772</v>
      </c>
      <c r="L195" s="1115" t="n">
        <f aca="false">LOOKUP(M195,$E$6:$F$4002)</f>
        <v>41770</v>
      </c>
      <c r="M195" s="1115" t="s">
        <v>1159</v>
      </c>
      <c r="N195" s="1127" t="n">
        <v>1.01</v>
      </c>
      <c r="AA195" s="1124"/>
      <c r="AU195" s="504"/>
      <c r="AV195" s="504"/>
      <c r="AW195" s="504"/>
      <c r="AX195" s="504"/>
      <c r="AY195" s="504"/>
      <c r="AZ195" s="504"/>
      <c r="BA195" s="504"/>
      <c r="BB195" s="504"/>
      <c r="BC195" s="504"/>
    </row>
    <row r="196" customFormat="false" ht="14.1" hidden="false" customHeight="true" outlineLevel="0" collapsed="false">
      <c r="A196" s="1115" t="n">
        <v>2820</v>
      </c>
      <c r="B196" s="1115" t="s">
        <v>158</v>
      </c>
      <c r="C196" s="1115" t="n">
        <v>2820</v>
      </c>
      <c r="D196" s="1115" t="s">
        <v>772</v>
      </c>
      <c r="E196" s="1115" t="s">
        <v>772</v>
      </c>
      <c r="F196" s="1115" t="n">
        <v>2780</v>
      </c>
      <c r="G196" s="1115" t="n">
        <v>2820</v>
      </c>
      <c r="H196" s="1115" t="s">
        <v>772</v>
      </c>
      <c r="I196" s="1115" t="n">
        <v>2880</v>
      </c>
      <c r="J196" s="1115" t="s">
        <v>772</v>
      </c>
      <c r="L196" s="1115" t="n">
        <f aca="false">LOOKUP(M196,$E$6:$F$4002)</f>
        <v>54710</v>
      </c>
      <c r="M196" s="1115" t="s">
        <v>1160</v>
      </c>
      <c r="N196" s="1127" t="n">
        <v>1</v>
      </c>
      <c r="AA196" s="1124"/>
      <c r="AU196" s="504"/>
      <c r="AV196" s="504"/>
      <c r="AW196" s="504"/>
      <c r="AX196" s="504"/>
      <c r="AY196" s="504"/>
      <c r="AZ196" s="504"/>
      <c r="BA196" s="504"/>
      <c r="BB196" s="504"/>
      <c r="BC196" s="504"/>
    </row>
    <row r="197" customFormat="false" ht="14.1" hidden="false" customHeight="true" outlineLevel="0" collapsed="false">
      <c r="A197" s="1115" t="n">
        <v>2860</v>
      </c>
      <c r="B197" s="1115" t="s">
        <v>158</v>
      </c>
      <c r="C197" s="1115" t="n">
        <v>2860</v>
      </c>
      <c r="D197" s="1115" t="s">
        <v>772</v>
      </c>
      <c r="E197" s="1115" t="s">
        <v>772</v>
      </c>
      <c r="F197" s="1115" t="n">
        <v>2810</v>
      </c>
      <c r="G197" s="1115" t="n">
        <v>2860</v>
      </c>
      <c r="H197" s="1115" t="s">
        <v>772</v>
      </c>
      <c r="I197" s="1115" t="n">
        <v>2920</v>
      </c>
      <c r="J197" s="1115" t="s">
        <v>772</v>
      </c>
      <c r="L197" s="1115" t="n">
        <f aca="false">LOOKUP(M197,$E$6:$F$4002)</f>
        <v>22610</v>
      </c>
      <c r="M197" s="1115" t="s">
        <v>1161</v>
      </c>
      <c r="N197" s="1127" t="n">
        <v>1.03</v>
      </c>
      <c r="AA197" s="1124"/>
      <c r="AU197" s="504"/>
      <c r="AV197" s="504"/>
      <c r="AW197" s="504"/>
      <c r="AX197" s="504"/>
      <c r="AY197" s="504"/>
      <c r="AZ197" s="504"/>
      <c r="BA197" s="504"/>
      <c r="BB197" s="504"/>
      <c r="BC197" s="504"/>
    </row>
    <row r="198" customFormat="false" ht="14.1" hidden="false" customHeight="true" outlineLevel="0" collapsed="false">
      <c r="A198" s="1115" t="n">
        <v>2880</v>
      </c>
      <c r="B198" s="1115" t="s">
        <v>158</v>
      </c>
      <c r="C198" s="1115" t="n">
        <v>2880</v>
      </c>
      <c r="D198" s="1115" t="s">
        <v>1162</v>
      </c>
      <c r="E198" s="1115" t="s">
        <v>772</v>
      </c>
      <c r="F198" s="1115" t="n">
        <v>2820</v>
      </c>
      <c r="G198" s="1115" t="n">
        <v>2880</v>
      </c>
      <c r="H198" s="1115" t="s">
        <v>1162</v>
      </c>
      <c r="I198" s="1115" t="n">
        <v>2940</v>
      </c>
      <c r="J198" s="1115" t="s">
        <v>772</v>
      </c>
      <c r="L198" s="1115" t="n">
        <f aca="false">LOOKUP(M198,$E$6:$F$4002)</f>
        <v>37570</v>
      </c>
      <c r="M198" s="1115" t="s">
        <v>1163</v>
      </c>
      <c r="N198" s="1127" t="n">
        <v>1.01</v>
      </c>
      <c r="AA198" s="1124"/>
      <c r="AU198" s="504"/>
      <c r="AV198" s="504"/>
      <c r="AW198" s="504"/>
      <c r="AX198" s="504"/>
      <c r="AY198" s="504"/>
      <c r="AZ198" s="504"/>
      <c r="BA198" s="504"/>
      <c r="BB198" s="504"/>
      <c r="BC198" s="504"/>
    </row>
    <row r="199" customFormat="false" ht="14.1" hidden="false" customHeight="true" outlineLevel="0" collapsed="false">
      <c r="A199" s="1115" t="n">
        <v>2920</v>
      </c>
      <c r="B199" s="1115" t="s">
        <v>158</v>
      </c>
      <c r="C199" s="1115" t="n">
        <v>2920</v>
      </c>
      <c r="D199" s="1115" t="s">
        <v>772</v>
      </c>
      <c r="E199" s="1115" t="s">
        <v>772</v>
      </c>
      <c r="F199" s="1115" t="n">
        <v>2860</v>
      </c>
      <c r="G199" s="1115" t="n">
        <v>2920</v>
      </c>
      <c r="H199" s="1115" t="s">
        <v>772</v>
      </c>
      <c r="I199" s="1115" t="n">
        <v>2970</v>
      </c>
      <c r="J199" s="1115" t="s">
        <v>772</v>
      </c>
      <c r="L199" s="1115" t="n">
        <f aca="false">LOOKUP(M199,$E$6:$F$4002)</f>
        <v>21230</v>
      </c>
      <c r="M199" s="1115" t="s">
        <v>1164</v>
      </c>
      <c r="N199" s="1127" t="n">
        <v>1.01</v>
      </c>
      <c r="AA199" s="1124"/>
      <c r="AU199" s="504"/>
      <c r="AV199" s="504"/>
      <c r="AW199" s="504"/>
      <c r="AX199" s="504"/>
      <c r="AY199" s="504"/>
      <c r="AZ199" s="504"/>
      <c r="BA199" s="504"/>
      <c r="BB199" s="504"/>
      <c r="BC199" s="504"/>
    </row>
    <row r="200" customFormat="false" ht="14.1" hidden="false" customHeight="true" outlineLevel="0" collapsed="false">
      <c r="A200" s="1115" t="n">
        <v>2940</v>
      </c>
      <c r="B200" s="1115" t="s">
        <v>158</v>
      </c>
      <c r="C200" s="1115" t="n">
        <v>2940</v>
      </c>
      <c r="D200" s="1115" t="s">
        <v>772</v>
      </c>
      <c r="E200" s="1115" t="s">
        <v>772</v>
      </c>
      <c r="F200" s="1115" t="n">
        <v>2920</v>
      </c>
      <c r="G200" s="1115" t="n">
        <v>2940</v>
      </c>
      <c r="H200" s="1115" t="s">
        <v>772</v>
      </c>
      <c r="I200" s="1115" t="n">
        <v>2980</v>
      </c>
      <c r="J200" s="1115" t="s">
        <v>772</v>
      </c>
      <c r="L200" s="1115" t="n">
        <f aca="false">LOOKUP(M200,$E$6:$F$4002)</f>
        <v>79100</v>
      </c>
      <c r="M200" s="1115" t="s">
        <v>1165</v>
      </c>
      <c r="N200" s="1127" t="n">
        <v>1</v>
      </c>
      <c r="Y200" s="1115"/>
      <c r="Z200" s="1115"/>
      <c r="AA200" s="1124"/>
      <c r="AU200" s="504"/>
      <c r="AV200" s="504"/>
      <c r="AW200" s="504"/>
      <c r="AX200" s="504"/>
      <c r="AY200" s="504"/>
      <c r="AZ200" s="504"/>
      <c r="BA200" s="504"/>
      <c r="BB200" s="504"/>
      <c r="BC200" s="504"/>
    </row>
    <row r="201" customFormat="false" ht="14.1" hidden="false" customHeight="true" outlineLevel="0" collapsed="false">
      <c r="A201" s="1115" t="n">
        <v>2970</v>
      </c>
      <c r="B201" s="1115" t="s">
        <v>158</v>
      </c>
      <c r="C201" s="1115" t="n">
        <v>2970</v>
      </c>
      <c r="D201" s="1115" t="s">
        <v>772</v>
      </c>
      <c r="E201" s="1115" t="s">
        <v>772</v>
      </c>
      <c r="F201" s="1115" t="n">
        <v>2940</v>
      </c>
      <c r="G201" s="1115" t="n">
        <v>2970</v>
      </c>
      <c r="H201" s="1115" t="s">
        <v>772</v>
      </c>
      <c r="I201" s="1115" t="n">
        <v>3100</v>
      </c>
      <c r="J201" s="1115" t="s">
        <v>1166</v>
      </c>
      <c r="L201" s="1115" t="n">
        <f aca="false">LOOKUP(M201,$E$6:$F$4002)</f>
        <v>69440</v>
      </c>
      <c r="M201" s="1115" t="s">
        <v>1167</v>
      </c>
      <c r="N201" s="1127" t="n">
        <v>0.97</v>
      </c>
      <c r="Y201" s="1115"/>
      <c r="Z201" s="1115"/>
      <c r="AA201" s="1124"/>
      <c r="AU201" s="504"/>
      <c r="AV201" s="504"/>
      <c r="AW201" s="504"/>
      <c r="AX201" s="504"/>
      <c r="AY201" s="504"/>
      <c r="AZ201" s="504"/>
      <c r="BA201" s="504"/>
      <c r="BB201" s="504"/>
      <c r="BC201" s="504"/>
    </row>
    <row r="202" customFormat="false" ht="14.1" hidden="false" customHeight="true" outlineLevel="0" collapsed="false">
      <c r="A202" s="1115" t="n">
        <v>2980</v>
      </c>
      <c r="B202" s="1115" t="s">
        <v>158</v>
      </c>
      <c r="C202" s="1115" t="n">
        <v>2980</v>
      </c>
      <c r="D202" s="1115" t="s">
        <v>772</v>
      </c>
      <c r="E202" s="1115" t="s">
        <v>772</v>
      </c>
      <c r="F202" s="1115" t="n">
        <v>2970</v>
      </c>
      <c r="G202" s="1115" t="n">
        <v>2980</v>
      </c>
      <c r="H202" s="1115" t="s">
        <v>772</v>
      </c>
      <c r="I202" s="1115" t="n">
        <v>3150</v>
      </c>
      <c r="J202" s="1115" t="s">
        <v>1166</v>
      </c>
      <c r="L202" s="1115" t="n">
        <f aca="false">LOOKUP(M202,$E$6:$F$4002)</f>
        <v>81730</v>
      </c>
      <c r="M202" s="1115" t="s">
        <v>1168</v>
      </c>
      <c r="N202" s="1127" t="n">
        <v>1.03</v>
      </c>
      <c r="Y202" s="1115"/>
      <c r="Z202" s="1115"/>
      <c r="AA202" s="1124"/>
      <c r="AU202" s="504"/>
      <c r="AV202" s="504"/>
      <c r="AW202" s="504"/>
      <c r="AX202" s="504"/>
      <c r="AY202" s="504"/>
      <c r="AZ202" s="504"/>
      <c r="BA202" s="504"/>
      <c r="BB202" s="504"/>
      <c r="BC202" s="504"/>
    </row>
    <row r="203" customFormat="false" ht="14.1" hidden="false" customHeight="true" outlineLevel="0" collapsed="false">
      <c r="A203" s="1115" t="n">
        <v>3100</v>
      </c>
      <c r="B203" s="1115" t="s">
        <v>157</v>
      </c>
      <c r="C203" s="1115" t="n">
        <v>3100</v>
      </c>
      <c r="D203" s="1115" t="s">
        <v>1169</v>
      </c>
      <c r="E203" s="1115" t="s">
        <v>772</v>
      </c>
      <c r="F203" s="1115" t="n">
        <v>2980</v>
      </c>
      <c r="G203" s="1115" t="n">
        <v>3100</v>
      </c>
      <c r="H203" s="1115" t="s">
        <v>1169</v>
      </c>
      <c r="I203" s="1115" t="n">
        <v>3220</v>
      </c>
      <c r="J203" s="1115" t="s">
        <v>1166</v>
      </c>
      <c r="L203" s="1115" t="n">
        <f aca="false">LOOKUP(M203,$E$6:$F$4002)</f>
        <v>21420</v>
      </c>
      <c r="M203" s="1115" t="s">
        <v>1170</v>
      </c>
      <c r="N203" s="1127" t="n">
        <v>0.98</v>
      </c>
      <c r="Y203" s="1115"/>
      <c r="Z203" s="1115"/>
      <c r="AA203" s="1124"/>
      <c r="AU203" s="504"/>
      <c r="AV203" s="504"/>
      <c r="AW203" s="504"/>
      <c r="AX203" s="504"/>
      <c r="AY203" s="504"/>
      <c r="AZ203" s="504"/>
      <c r="BA203" s="504"/>
      <c r="BB203" s="504"/>
      <c r="BC203" s="504"/>
    </row>
    <row r="204" customFormat="false" ht="14.1" hidden="false" customHeight="true" outlineLevel="0" collapsed="false">
      <c r="A204" s="1115" t="n">
        <v>3150</v>
      </c>
      <c r="B204" s="1115" t="s">
        <v>157</v>
      </c>
      <c r="C204" s="1115" t="n">
        <v>3150</v>
      </c>
      <c r="D204" s="1115" t="s">
        <v>1171</v>
      </c>
      <c r="E204" s="1115" t="s">
        <v>1172</v>
      </c>
      <c r="F204" s="1115" t="n">
        <v>68820</v>
      </c>
      <c r="G204" s="1115" t="n">
        <v>3150</v>
      </c>
      <c r="H204" s="1115" t="s">
        <v>1171</v>
      </c>
      <c r="I204" s="1115" t="n">
        <v>3250</v>
      </c>
      <c r="J204" s="1115" t="s">
        <v>1166</v>
      </c>
      <c r="L204" s="1115" t="n">
        <f aca="false">LOOKUP(M204,$E$6:$F$4002)</f>
        <v>7880</v>
      </c>
      <c r="M204" s="1115" t="s">
        <v>1173</v>
      </c>
      <c r="N204" s="1127" t="n">
        <v>0.96</v>
      </c>
      <c r="Y204" s="1115"/>
      <c r="Z204" s="1115"/>
      <c r="AA204" s="1124"/>
      <c r="AU204" s="504"/>
      <c r="AV204" s="504"/>
      <c r="AW204" s="504"/>
      <c r="AX204" s="504"/>
      <c r="AY204" s="504"/>
      <c r="AZ204" s="504"/>
      <c r="BA204" s="504"/>
      <c r="BB204" s="504"/>
      <c r="BC204" s="504"/>
    </row>
    <row r="205" customFormat="false" ht="14.1" hidden="false" customHeight="true" outlineLevel="0" collapsed="false">
      <c r="A205" s="1115" t="n">
        <v>3220</v>
      </c>
      <c r="B205" s="1115" t="s">
        <v>157</v>
      </c>
      <c r="C205" s="1115" t="n">
        <v>3220</v>
      </c>
      <c r="D205" s="1115" t="s">
        <v>1174</v>
      </c>
      <c r="E205" s="1115" t="s">
        <v>1175</v>
      </c>
      <c r="F205" s="1115" t="n">
        <v>79885</v>
      </c>
      <c r="G205" s="1115" t="n">
        <v>3220</v>
      </c>
      <c r="H205" s="1115" t="s">
        <v>1174</v>
      </c>
      <c r="I205" s="1115" t="n">
        <v>3300</v>
      </c>
      <c r="J205" s="1115" t="s">
        <v>1166</v>
      </c>
      <c r="L205" s="1115" t="n">
        <f aca="false">LOOKUP(M205,$E$6:$F$4002)</f>
        <v>91900</v>
      </c>
      <c r="M205" s="1115" t="s">
        <v>1176</v>
      </c>
      <c r="N205" s="1127" t="n">
        <v>0.98</v>
      </c>
      <c r="Y205" s="1115"/>
      <c r="Z205" s="1115"/>
      <c r="AA205" s="1124"/>
      <c r="AU205" s="504"/>
      <c r="AV205" s="504"/>
      <c r="AW205" s="504"/>
      <c r="AX205" s="504"/>
      <c r="AY205" s="504"/>
      <c r="AZ205" s="504"/>
      <c r="BA205" s="504"/>
      <c r="BB205" s="504"/>
      <c r="BC205" s="504"/>
    </row>
    <row r="206" customFormat="false" ht="14.1" hidden="false" customHeight="true" outlineLevel="0" collapsed="false">
      <c r="A206" s="1115" t="n">
        <v>3250</v>
      </c>
      <c r="B206" s="1115" t="s">
        <v>157</v>
      </c>
      <c r="C206" s="1115" t="n">
        <v>3250</v>
      </c>
      <c r="D206" s="1115" t="s">
        <v>1177</v>
      </c>
      <c r="E206" s="1115" t="s">
        <v>1178</v>
      </c>
      <c r="F206" s="1115" t="n">
        <v>95655</v>
      </c>
      <c r="G206" s="1115" t="n">
        <v>3250</v>
      </c>
      <c r="H206" s="1115" t="s">
        <v>1177</v>
      </c>
      <c r="I206" s="1115" t="n">
        <v>3320</v>
      </c>
      <c r="J206" s="1115" t="s">
        <v>1166</v>
      </c>
      <c r="L206" s="1115" t="n">
        <f aca="false">LOOKUP(M206,$E$6:$F$4002)</f>
        <v>83100</v>
      </c>
      <c r="M206" s="1115" t="s">
        <v>1179</v>
      </c>
      <c r="N206" s="1127" t="n">
        <v>1.02</v>
      </c>
      <c r="AA206" s="1124"/>
      <c r="AU206" s="504"/>
      <c r="AV206" s="504"/>
      <c r="AW206" s="504"/>
      <c r="AX206" s="504"/>
      <c r="AY206" s="504"/>
      <c r="AZ206" s="504"/>
      <c r="BA206" s="504"/>
      <c r="BB206" s="504"/>
      <c r="BC206" s="504"/>
    </row>
    <row r="207" customFormat="false" ht="14.1" hidden="false" customHeight="true" outlineLevel="0" collapsed="false">
      <c r="A207" s="1115" t="n">
        <v>3300</v>
      </c>
      <c r="B207" s="1115" t="s">
        <v>157</v>
      </c>
      <c r="C207" s="1115" t="n">
        <v>3300</v>
      </c>
      <c r="D207" s="1115" t="s">
        <v>1180</v>
      </c>
      <c r="E207" s="1115" t="s">
        <v>1181</v>
      </c>
      <c r="F207" s="1115" t="n">
        <v>83920</v>
      </c>
      <c r="G207" s="1115" t="n">
        <v>3300</v>
      </c>
      <c r="H207" s="1115" t="s">
        <v>1180</v>
      </c>
      <c r="I207" s="1115" t="n">
        <v>3400</v>
      </c>
      <c r="J207" s="1115" t="s">
        <v>1166</v>
      </c>
      <c r="L207" s="1115" t="n">
        <f aca="false">LOOKUP(M207,$E$6:$F$4002)</f>
        <v>8800</v>
      </c>
      <c r="M207" s="1115" t="s">
        <v>1182</v>
      </c>
      <c r="N207" s="1127" t="n">
        <v>1.02</v>
      </c>
      <c r="AU207" s="504"/>
      <c r="AV207" s="504"/>
      <c r="AW207" s="504"/>
      <c r="AX207" s="504"/>
      <c r="AY207" s="504"/>
      <c r="AZ207" s="504"/>
      <c r="BA207" s="504"/>
      <c r="BB207" s="504"/>
      <c r="BC207" s="504"/>
    </row>
    <row r="208" customFormat="false" ht="14.1" hidden="false" customHeight="true" outlineLevel="0" collapsed="false">
      <c r="A208" s="1115" t="n">
        <v>3320</v>
      </c>
      <c r="B208" s="1115" t="s">
        <v>157</v>
      </c>
      <c r="C208" s="1115" t="n">
        <v>3320</v>
      </c>
      <c r="D208" s="1115" t="s">
        <v>1183</v>
      </c>
      <c r="E208" s="1115" t="s">
        <v>1184</v>
      </c>
      <c r="F208" s="1115" t="n">
        <v>14770</v>
      </c>
      <c r="G208" s="1115" t="n">
        <v>3320</v>
      </c>
      <c r="H208" s="1115" t="s">
        <v>1183</v>
      </c>
      <c r="I208" s="1115" t="n">
        <v>3430</v>
      </c>
      <c r="J208" s="1115" t="s">
        <v>1166</v>
      </c>
      <c r="L208" s="1115" t="n">
        <f aca="false">LOOKUP(M208,$E$6:$F$4002)</f>
        <v>68230</v>
      </c>
      <c r="M208" s="1115" t="s">
        <v>1185</v>
      </c>
      <c r="N208" s="1127" t="n">
        <v>1.04</v>
      </c>
      <c r="AA208" s="1124"/>
      <c r="AU208" s="504"/>
      <c r="AV208" s="504"/>
      <c r="AW208" s="504"/>
      <c r="AX208" s="504"/>
      <c r="AY208" s="504"/>
      <c r="AZ208" s="504"/>
      <c r="BA208" s="504"/>
      <c r="BB208" s="504"/>
      <c r="BC208" s="504"/>
    </row>
    <row r="209" customFormat="false" ht="14.1" hidden="false" customHeight="true" outlineLevel="0" collapsed="false">
      <c r="A209" s="1115" t="n">
        <v>3400</v>
      </c>
      <c r="B209" s="1115" t="s">
        <v>157</v>
      </c>
      <c r="C209" s="1115" t="n">
        <v>3400</v>
      </c>
      <c r="D209" s="1115" t="s">
        <v>1166</v>
      </c>
      <c r="E209" s="1115" t="s">
        <v>1186</v>
      </c>
      <c r="F209" s="1115" t="n">
        <v>29740</v>
      </c>
      <c r="G209" s="1115" t="n">
        <v>3400</v>
      </c>
      <c r="H209" s="1115" t="s">
        <v>1166</v>
      </c>
      <c r="I209" s="1115" t="n">
        <v>3450</v>
      </c>
      <c r="J209" s="1115" t="s">
        <v>1166</v>
      </c>
      <c r="L209" s="1115" t="n">
        <f aca="false">LOOKUP(M209,$E$6:$F$4002)</f>
        <v>32210</v>
      </c>
      <c r="M209" s="1115" t="s">
        <v>1187</v>
      </c>
      <c r="N209" s="1127" t="n">
        <v>1.03</v>
      </c>
      <c r="AA209" s="1124"/>
      <c r="AU209" s="504"/>
      <c r="AV209" s="504"/>
      <c r="AW209" s="504"/>
      <c r="AX209" s="504"/>
      <c r="AY209" s="504"/>
      <c r="AZ209" s="504"/>
      <c r="BA209" s="504"/>
      <c r="BB209" s="504"/>
      <c r="BC209" s="504"/>
    </row>
    <row r="210" customFormat="false" ht="14.1" hidden="false" customHeight="true" outlineLevel="0" collapsed="false">
      <c r="A210" s="1115" t="n">
        <v>3430</v>
      </c>
      <c r="B210" s="1115" t="s">
        <v>157</v>
      </c>
      <c r="C210" s="1115" t="n">
        <v>3430</v>
      </c>
      <c r="D210" s="1115" t="s">
        <v>1188</v>
      </c>
      <c r="E210" s="1115" t="s">
        <v>1189</v>
      </c>
      <c r="F210" s="1115" t="n">
        <v>68560</v>
      </c>
      <c r="G210" s="1115" t="n">
        <v>3430</v>
      </c>
      <c r="H210" s="1115" t="s">
        <v>1188</v>
      </c>
      <c r="I210" s="1115" t="n">
        <v>3510</v>
      </c>
      <c r="J210" s="1115" t="s">
        <v>1166</v>
      </c>
      <c r="L210" s="1115" t="n">
        <f aca="false">LOOKUP(M210,$E$6:$F$4002)</f>
        <v>12700</v>
      </c>
      <c r="M210" s="1115" t="s">
        <v>1190</v>
      </c>
      <c r="N210" s="1127" t="n">
        <v>1</v>
      </c>
      <c r="AA210" s="1124"/>
      <c r="AU210" s="504"/>
      <c r="AV210" s="504"/>
      <c r="AW210" s="504"/>
      <c r="AX210" s="504"/>
      <c r="AY210" s="504"/>
      <c r="AZ210" s="504"/>
      <c r="BA210" s="504"/>
      <c r="BB210" s="504"/>
      <c r="BC210" s="504"/>
    </row>
    <row r="211" customFormat="false" ht="14.1" hidden="false" customHeight="true" outlineLevel="0" collapsed="false">
      <c r="A211" s="1115" t="n">
        <v>3450</v>
      </c>
      <c r="B211" s="1115" t="s">
        <v>157</v>
      </c>
      <c r="C211" s="1115" t="n">
        <v>3450</v>
      </c>
      <c r="D211" s="1115" t="s">
        <v>1191</v>
      </c>
      <c r="E211" s="1115" t="s">
        <v>776</v>
      </c>
      <c r="F211" s="1115" t="n">
        <v>27510</v>
      </c>
      <c r="G211" s="1115" t="n">
        <v>3450</v>
      </c>
      <c r="H211" s="1115" t="s">
        <v>1191</v>
      </c>
      <c r="I211" s="1115" t="n">
        <v>3600</v>
      </c>
      <c r="J211" s="1115" t="s">
        <v>998</v>
      </c>
      <c r="L211" s="1115" t="n">
        <f aca="false">LOOKUP(M211,$E$6:$F$4002)</f>
        <v>7920</v>
      </c>
      <c r="M211" s="1115" t="s">
        <v>1192</v>
      </c>
      <c r="N211" s="1127" t="n">
        <v>0.97</v>
      </c>
      <c r="AA211" s="1124"/>
      <c r="AU211" s="504"/>
      <c r="AV211" s="504"/>
      <c r="AW211" s="504"/>
      <c r="AX211" s="504"/>
      <c r="AY211" s="504"/>
      <c r="AZ211" s="504"/>
      <c r="BA211" s="504"/>
      <c r="BB211" s="504"/>
      <c r="BC211" s="504"/>
    </row>
    <row r="212" customFormat="false" ht="14.1" hidden="false" customHeight="true" outlineLevel="0" collapsed="false">
      <c r="A212" s="1115" t="n">
        <v>3510</v>
      </c>
      <c r="B212" s="1115" t="s">
        <v>157</v>
      </c>
      <c r="C212" s="1115" t="n">
        <v>3510</v>
      </c>
      <c r="D212" s="1115" t="s">
        <v>1193</v>
      </c>
      <c r="E212" s="1115" t="s">
        <v>780</v>
      </c>
      <c r="F212" s="1115" t="n">
        <v>27100</v>
      </c>
      <c r="G212" s="1115" t="n">
        <v>3510</v>
      </c>
      <c r="H212" s="1115" t="s">
        <v>1193</v>
      </c>
      <c r="I212" s="1115" t="n">
        <v>3630</v>
      </c>
      <c r="J212" s="1115" t="s">
        <v>998</v>
      </c>
      <c r="L212" s="1115" t="n">
        <f aca="false">LOOKUP(M212,$E$6:$F$4002)</f>
        <v>19950</v>
      </c>
      <c r="M212" s="1115" t="s">
        <v>1194</v>
      </c>
      <c r="N212" s="1127" t="n">
        <v>1.04</v>
      </c>
      <c r="AA212" s="1124"/>
      <c r="AU212" s="504"/>
      <c r="AV212" s="504"/>
      <c r="AW212" s="504"/>
      <c r="AX212" s="504"/>
      <c r="AY212" s="504"/>
      <c r="AZ212" s="504"/>
      <c r="BA212" s="504"/>
      <c r="BB212" s="504"/>
      <c r="BC212" s="504"/>
    </row>
    <row r="213" customFormat="false" ht="14.1" hidden="false" customHeight="true" outlineLevel="0" collapsed="false">
      <c r="A213" s="1115" t="n">
        <v>3600</v>
      </c>
      <c r="B213" s="1115" t="s">
        <v>157</v>
      </c>
      <c r="C213" s="1115" t="n">
        <v>3600</v>
      </c>
      <c r="D213" s="1115" t="s">
        <v>998</v>
      </c>
      <c r="E213" s="1115" t="s">
        <v>780</v>
      </c>
      <c r="F213" s="1115" t="n">
        <v>27130</v>
      </c>
      <c r="G213" s="1115" t="n">
        <v>3600</v>
      </c>
      <c r="H213" s="1115" t="s">
        <v>998</v>
      </c>
      <c r="I213" s="1115" t="n">
        <v>3710</v>
      </c>
      <c r="J213" s="1115" t="s">
        <v>998</v>
      </c>
      <c r="L213" s="1115" t="n">
        <f aca="false">LOOKUP(M213,$E$6:$F$4002)</f>
        <v>91980</v>
      </c>
      <c r="M213" s="1115" t="s">
        <v>1195</v>
      </c>
      <c r="N213" s="1127" t="n">
        <v>1</v>
      </c>
      <c r="AA213" s="1124"/>
      <c r="AU213" s="504"/>
      <c r="AV213" s="504"/>
      <c r="AW213" s="504"/>
      <c r="AX213" s="504"/>
      <c r="AY213" s="504"/>
      <c r="AZ213" s="504"/>
      <c r="BA213" s="504"/>
      <c r="BB213" s="504"/>
      <c r="BC213" s="504"/>
    </row>
    <row r="214" customFormat="false" ht="14.1" hidden="false" customHeight="true" outlineLevel="0" collapsed="false">
      <c r="A214" s="1115" t="n">
        <v>3630</v>
      </c>
      <c r="B214" s="1115" t="s">
        <v>157</v>
      </c>
      <c r="C214" s="1115" t="n">
        <v>3630</v>
      </c>
      <c r="D214" s="1115" t="s">
        <v>736</v>
      </c>
      <c r="E214" s="1115" t="s">
        <v>786</v>
      </c>
      <c r="F214" s="1115" t="n">
        <v>62500</v>
      </c>
      <c r="G214" s="1115" t="n">
        <v>3630</v>
      </c>
      <c r="H214" s="1115" t="s">
        <v>736</v>
      </c>
      <c r="I214" s="1115" t="n">
        <v>3790</v>
      </c>
      <c r="J214" s="1115" t="s">
        <v>998</v>
      </c>
      <c r="L214" s="1115" t="n">
        <f aca="false">LOOKUP(M214,$E$6:$F$4002)</f>
        <v>22630</v>
      </c>
      <c r="M214" s="1115" t="s">
        <v>1196</v>
      </c>
      <c r="N214" s="1127" t="n">
        <v>1.03</v>
      </c>
      <c r="AA214" s="1124"/>
      <c r="AU214" s="504"/>
      <c r="AV214" s="504"/>
      <c r="AW214" s="504"/>
      <c r="AX214" s="504"/>
      <c r="AY214" s="504"/>
      <c r="AZ214" s="504"/>
      <c r="BA214" s="504"/>
      <c r="BB214" s="504"/>
      <c r="BC214" s="504"/>
    </row>
    <row r="215" customFormat="false" ht="14.1" hidden="false" customHeight="true" outlineLevel="0" collapsed="false">
      <c r="A215" s="1115" t="n">
        <v>3710</v>
      </c>
      <c r="B215" s="1115" t="s">
        <v>157</v>
      </c>
      <c r="C215" s="1115" t="n">
        <v>3710</v>
      </c>
      <c r="D215" s="1115" t="s">
        <v>1197</v>
      </c>
      <c r="E215" s="1115" t="s">
        <v>786</v>
      </c>
      <c r="F215" s="1115" t="n">
        <v>62500</v>
      </c>
      <c r="G215" s="1115" t="n">
        <v>3710</v>
      </c>
      <c r="H215" s="1115" t="s">
        <v>1197</v>
      </c>
      <c r="I215" s="1115" t="n">
        <v>3810</v>
      </c>
      <c r="J215" s="1115" t="s">
        <v>1198</v>
      </c>
      <c r="L215" s="1115" t="n">
        <f aca="false">LOOKUP(M215,$E$6:$F$4002)</f>
        <v>36760</v>
      </c>
      <c r="M215" s="1115" t="s">
        <v>1199</v>
      </c>
      <c r="N215" s="1127" t="n">
        <v>0.99</v>
      </c>
      <c r="AA215" s="1124"/>
      <c r="AU215" s="504"/>
      <c r="AV215" s="504"/>
      <c r="AW215" s="504"/>
      <c r="AX215" s="504"/>
      <c r="AY215" s="504"/>
      <c r="AZ215" s="504"/>
      <c r="BA215" s="504"/>
      <c r="BB215" s="504"/>
      <c r="BC215" s="504"/>
    </row>
    <row r="216" customFormat="false" ht="14.1" hidden="false" customHeight="true" outlineLevel="0" collapsed="false">
      <c r="A216" s="1115" t="n">
        <v>3790</v>
      </c>
      <c r="B216" s="1115" t="s">
        <v>157</v>
      </c>
      <c r="C216" s="1115" t="n">
        <v>3790</v>
      </c>
      <c r="D216" s="1115" t="s">
        <v>1200</v>
      </c>
      <c r="E216" s="1115" t="s">
        <v>1141</v>
      </c>
      <c r="F216" s="1115" t="n">
        <v>2550</v>
      </c>
      <c r="G216" s="1115" t="n">
        <v>3790</v>
      </c>
      <c r="H216" s="1115" t="s">
        <v>1200</v>
      </c>
      <c r="I216" s="1115" t="n">
        <v>3850</v>
      </c>
      <c r="J216" s="1115" t="s">
        <v>1198</v>
      </c>
      <c r="L216" s="1115" t="n">
        <f aca="false">LOOKUP(M216,$E$6:$F$4002)</f>
        <v>54530</v>
      </c>
      <c r="M216" s="1115" t="s">
        <v>1201</v>
      </c>
      <c r="N216" s="1127" t="n">
        <v>1.01</v>
      </c>
      <c r="AA216" s="1124"/>
      <c r="AU216" s="504"/>
      <c r="AV216" s="504"/>
      <c r="AW216" s="504"/>
      <c r="AX216" s="504"/>
      <c r="AY216" s="504"/>
      <c r="AZ216" s="504"/>
      <c r="BA216" s="504"/>
      <c r="BB216" s="504"/>
      <c r="BC216" s="504"/>
    </row>
    <row r="217" customFormat="false" ht="14.1" hidden="false" customHeight="true" outlineLevel="0" collapsed="false">
      <c r="A217" s="1115" t="n">
        <v>3810</v>
      </c>
      <c r="B217" s="1115" t="s">
        <v>157</v>
      </c>
      <c r="C217" s="1115" t="n">
        <v>3810</v>
      </c>
      <c r="D217" s="1115" t="s">
        <v>1202</v>
      </c>
      <c r="E217" s="1115" t="s">
        <v>1203</v>
      </c>
      <c r="F217" s="1115" t="n">
        <v>16970</v>
      </c>
      <c r="G217" s="1115" t="n">
        <v>3810</v>
      </c>
      <c r="H217" s="1115" t="s">
        <v>1202</v>
      </c>
      <c r="I217" s="1115" t="n">
        <v>3870</v>
      </c>
      <c r="J217" s="1115" t="s">
        <v>1198</v>
      </c>
      <c r="L217" s="1115" t="n">
        <f aca="false">LOOKUP(M217,$E$6:$F$4002)</f>
        <v>29100</v>
      </c>
      <c r="M217" s="1115" t="s">
        <v>1204</v>
      </c>
      <c r="N217" s="1127" t="n">
        <v>1</v>
      </c>
      <c r="AA217" s="1124"/>
      <c r="AU217" s="504"/>
      <c r="AV217" s="504"/>
      <c r="AW217" s="504"/>
      <c r="AX217" s="504"/>
      <c r="AY217" s="504"/>
      <c r="AZ217" s="504"/>
      <c r="BA217" s="504"/>
      <c r="BB217" s="504"/>
      <c r="BC217" s="504"/>
    </row>
    <row r="218" customFormat="false" ht="14.1" hidden="false" customHeight="true" outlineLevel="0" collapsed="false">
      <c r="A218" s="1115" t="n">
        <v>3850</v>
      </c>
      <c r="B218" s="1115" t="s">
        <v>157</v>
      </c>
      <c r="C218" s="1115" t="n">
        <v>3850</v>
      </c>
      <c r="D218" s="1115" t="s">
        <v>1205</v>
      </c>
      <c r="E218" s="1115" t="s">
        <v>1206</v>
      </c>
      <c r="F218" s="1115" t="n">
        <v>10250</v>
      </c>
      <c r="G218" s="1115" t="n">
        <v>3850</v>
      </c>
      <c r="H218" s="1115" t="s">
        <v>1205</v>
      </c>
      <c r="I218" s="1115" t="n">
        <v>3890</v>
      </c>
      <c r="J218" s="1115" t="s">
        <v>1198</v>
      </c>
      <c r="L218" s="1115" t="n">
        <f aca="false">LOOKUP(M218,$E$6:$F$4002)</f>
        <v>35480</v>
      </c>
      <c r="M218" s="1115" t="s">
        <v>1207</v>
      </c>
      <c r="N218" s="1127" t="n">
        <v>0.96</v>
      </c>
      <c r="AA218" s="1124"/>
      <c r="AU218" s="504"/>
      <c r="AV218" s="504"/>
      <c r="AW218" s="504"/>
      <c r="AX218" s="504"/>
      <c r="AY218" s="504"/>
      <c r="AZ218" s="504"/>
      <c r="BA218" s="504"/>
      <c r="BB218" s="504"/>
      <c r="BC218" s="504"/>
    </row>
    <row r="219" customFormat="false" ht="14.1" hidden="false" customHeight="true" outlineLevel="0" collapsed="false">
      <c r="A219" s="1115" t="n">
        <v>3870</v>
      </c>
      <c r="B219" s="1115" t="s">
        <v>157</v>
      </c>
      <c r="C219" s="1115" t="n">
        <v>3870</v>
      </c>
      <c r="D219" s="1115" t="s">
        <v>1208</v>
      </c>
      <c r="E219" s="1115" t="s">
        <v>1209</v>
      </c>
      <c r="F219" s="1115" t="n">
        <v>95210</v>
      </c>
      <c r="G219" s="1115" t="n">
        <v>3870</v>
      </c>
      <c r="H219" s="1115" t="s">
        <v>1208</v>
      </c>
      <c r="I219" s="1115" t="n">
        <v>3970</v>
      </c>
      <c r="J219" s="1115" t="s">
        <v>1198</v>
      </c>
      <c r="L219" s="1115" t="n">
        <f aca="false">LOOKUP(M219,$E$6:$F$4002)</f>
        <v>71750</v>
      </c>
      <c r="M219" s="1115" t="s">
        <v>1210</v>
      </c>
      <c r="N219" s="1127" t="n">
        <v>0.98</v>
      </c>
      <c r="AA219" s="1124"/>
      <c r="AU219" s="504"/>
      <c r="AV219" s="504"/>
      <c r="AW219" s="504"/>
      <c r="AX219" s="504"/>
      <c r="AY219" s="504"/>
      <c r="AZ219" s="504"/>
      <c r="BA219" s="504"/>
      <c r="BB219" s="504"/>
      <c r="BC219" s="504"/>
    </row>
    <row r="220" customFormat="false" ht="14.1" hidden="false" customHeight="true" outlineLevel="0" collapsed="false">
      <c r="A220" s="1115" t="n">
        <v>3890</v>
      </c>
      <c r="B220" s="1115" t="s">
        <v>157</v>
      </c>
      <c r="C220" s="1115" t="n">
        <v>3890</v>
      </c>
      <c r="D220" s="1115" t="s">
        <v>1211</v>
      </c>
      <c r="E220" s="1115" t="s">
        <v>1212</v>
      </c>
      <c r="F220" s="1115" t="n">
        <v>10470</v>
      </c>
      <c r="G220" s="1115" t="n">
        <v>3890</v>
      </c>
      <c r="H220" s="1115" t="s">
        <v>1211</v>
      </c>
      <c r="I220" s="1115" t="n">
        <v>4110</v>
      </c>
      <c r="J220" s="1115" t="s">
        <v>1198</v>
      </c>
      <c r="L220" s="1115" t="n">
        <f aca="false">LOOKUP(M220,$E$6:$F$4002)</f>
        <v>1560</v>
      </c>
      <c r="M220" s="1115" t="s">
        <v>156</v>
      </c>
      <c r="N220" s="1127" t="n">
        <v>1</v>
      </c>
      <c r="AA220" s="1124"/>
      <c r="AU220" s="504"/>
      <c r="AV220" s="504"/>
      <c r="AW220" s="504"/>
      <c r="AX220" s="504"/>
      <c r="AY220" s="504"/>
      <c r="AZ220" s="504"/>
      <c r="BA220" s="504"/>
      <c r="BB220" s="504"/>
      <c r="BC220" s="504"/>
    </row>
    <row r="221" customFormat="false" ht="14.1" hidden="false" customHeight="true" outlineLevel="0" collapsed="false">
      <c r="A221" s="1115" t="n">
        <v>3970</v>
      </c>
      <c r="B221" s="1115" t="s">
        <v>157</v>
      </c>
      <c r="C221" s="1115" t="n">
        <v>3970</v>
      </c>
      <c r="D221" s="1115" t="s">
        <v>1213</v>
      </c>
      <c r="E221" s="1115" t="s">
        <v>1214</v>
      </c>
      <c r="F221" s="1115" t="n">
        <v>22930</v>
      </c>
      <c r="G221" s="1115" t="n">
        <v>3970</v>
      </c>
      <c r="H221" s="1115" t="s">
        <v>1213</v>
      </c>
      <c r="I221" s="1115" t="n">
        <v>4130</v>
      </c>
      <c r="J221" s="1115" t="s">
        <v>1198</v>
      </c>
      <c r="L221" s="1115" t="n">
        <f aca="false">LOOKUP(M221,$E$6:$F$4002)</f>
        <v>1560</v>
      </c>
      <c r="M221" s="1115" t="s">
        <v>156</v>
      </c>
      <c r="N221" s="1127" t="n">
        <v>1</v>
      </c>
      <c r="AU221" s="504"/>
      <c r="AV221" s="504"/>
      <c r="AW221" s="504"/>
      <c r="AX221" s="504"/>
      <c r="AY221" s="504"/>
      <c r="AZ221" s="504"/>
      <c r="BA221" s="504"/>
      <c r="BB221" s="504"/>
      <c r="BC221" s="504"/>
    </row>
    <row r="222" customFormat="false" ht="14.1" hidden="false" customHeight="true" outlineLevel="0" collapsed="false">
      <c r="A222" s="1115" t="n">
        <v>4110</v>
      </c>
      <c r="B222" s="1115" t="s">
        <v>157</v>
      </c>
      <c r="C222" s="1115" t="n">
        <v>4110</v>
      </c>
      <c r="D222" s="1115" t="s">
        <v>1215</v>
      </c>
      <c r="E222" s="1115" t="s">
        <v>1214</v>
      </c>
      <c r="F222" s="1115" t="n">
        <v>22930</v>
      </c>
      <c r="G222" s="1115" t="n">
        <v>4110</v>
      </c>
      <c r="H222" s="1115" t="s">
        <v>1215</v>
      </c>
      <c r="I222" s="1115" t="n">
        <v>4150</v>
      </c>
      <c r="J222" s="1115" t="s">
        <v>1198</v>
      </c>
      <c r="L222" s="1115" t="n">
        <f aca="false">LOOKUP(M222,$E$6:$F$4002)</f>
        <v>95230</v>
      </c>
      <c r="M222" s="1115" t="s">
        <v>1216</v>
      </c>
      <c r="N222" s="1127" t="n">
        <v>1</v>
      </c>
      <c r="AA222" s="1124"/>
      <c r="AU222" s="504"/>
      <c r="AV222" s="504"/>
      <c r="AW222" s="504"/>
      <c r="AX222" s="504"/>
      <c r="AY222" s="504"/>
      <c r="AZ222" s="504"/>
      <c r="BA222" s="504"/>
      <c r="BB222" s="504"/>
      <c r="BC222" s="504"/>
    </row>
    <row r="223" customFormat="false" ht="14.1" hidden="false" customHeight="true" outlineLevel="0" collapsed="false">
      <c r="A223" s="1115" t="n">
        <v>4130</v>
      </c>
      <c r="B223" s="1115" t="s">
        <v>157</v>
      </c>
      <c r="C223" s="1115" t="n">
        <v>4130</v>
      </c>
      <c r="D223" s="1115" t="s">
        <v>1217</v>
      </c>
      <c r="E223" s="1115" t="s">
        <v>1218</v>
      </c>
      <c r="F223" s="1115" t="n">
        <v>68920</v>
      </c>
      <c r="G223" s="1115" t="n">
        <v>4130</v>
      </c>
      <c r="H223" s="1115" t="s">
        <v>1217</v>
      </c>
      <c r="I223" s="1115" t="n">
        <v>4170</v>
      </c>
      <c r="J223" s="1115" t="s">
        <v>1198</v>
      </c>
      <c r="L223" s="1115" t="n">
        <f aca="false">LOOKUP(M223,$E$6:$F$4002)</f>
        <v>21490</v>
      </c>
      <c r="M223" s="1115" t="s">
        <v>1219</v>
      </c>
      <c r="N223" s="1127" t="n">
        <v>0.96</v>
      </c>
      <c r="AA223" s="1124"/>
      <c r="AU223" s="504"/>
      <c r="AV223" s="504"/>
      <c r="AW223" s="504"/>
      <c r="AX223" s="504"/>
      <c r="AY223" s="504"/>
      <c r="AZ223" s="504"/>
      <c r="BA223" s="504"/>
      <c r="BB223" s="504"/>
      <c r="BC223" s="504"/>
    </row>
    <row r="224" customFormat="false" ht="14.1" hidden="false" customHeight="true" outlineLevel="0" collapsed="false">
      <c r="A224" s="1115" t="n">
        <v>4150</v>
      </c>
      <c r="B224" s="1115" t="s">
        <v>157</v>
      </c>
      <c r="C224" s="1115" t="n">
        <v>4150</v>
      </c>
      <c r="D224" s="1115" t="s">
        <v>1220</v>
      </c>
      <c r="E224" s="1115" t="s">
        <v>794</v>
      </c>
      <c r="F224" s="1115" t="n">
        <v>30100</v>
      </c>
      <c r="G224" s="1115" t="n">
        <v>4150</v>
      </c>
      <c r="H224" s="1115" t="s">
        <v>1220</v>
      </c>
      <c r="I224" s="1115" t="n">
        <v>4200</v>
      </c>
      <c r="J224" s="1115" t="s">
        <v>1046</v>
      </c>
      <c r="L224" s="1115" t="n">
        <f aca="false">LOOKUP(M224,$E$6:$F$4002)</f>
        <v>21250</v>
      </c>
      <c r="M224" s="1115" t="s">
        <v>1221</v>
      </c>
      <c r="N224" s="1127" t="n">
        <v>1</v>
      </c>
      <c r="AA224" s="1124"/>
      <c r="AU224" s="504"/>
      <c r="AV224" s="504"/>
      <c r="AW224" s="504"/>
      <c r="AX224" s="504"/>
      <c r="AY224" s="504"/>
      <c r="AZ224" s="504"/>
      <c r="BA224" s="504"/>
      <c r="BB224" s="504"/>
      <c r="BC224" s="504"/>
    </row>
    <row r="225" customFormat="false" ht="14.1" hidden="false" customHeight="true" outlineLevel="0" collapsed="false">
      <c r="A225" s="1115" t="n">
        <v>4170</v>
      </c>
      <c r="B225" s="1115" t="s">
        <v>157</v>
      </c>
      <c r="C225" s="1115" t="n">
        <v>4170</v>
      </c>
      <c r="D225" s="1115" t="s">
        <v>1222</v>
      </c>
      <c r="E225" s="1115" t="s">
        <v>794</v>
      </c>
      <c r="F225" s="1115" t="n">
        <v>30300</v>
      </c>
      <c r="G225" s="1115" t="n">
        <v>4170</v>
      </c>
      <c r="H225" s="1115" t="s">
        <v>1222</v>
      </c>
      <c r="I225" s="1115" t="n">
        <v>4220</v>
      </c>
      <c r="J225" s="1115" t="s">
        <v>1046</v>
      </c>
      <c r="L225" s="1115" t="n">
        <f aca="false">LOOKUP(M225,$E$6:$F$4002)</f>
        <v>95365</v>
      </c>
      <c r="M225" s="1115" t="s">
        <v>1223</v>
      </c>
      <c r="N225" s="1127" t="n">
        <v>0.98</v>
      </c>
      <c r="AA225" s="1124"/>
      <c r="AU225" s="504"/>
      <c r="AV225" s="504"/>
      <c r="AW225" s="504"/>
      <c r="AX225" s="504"/>
      <c r="AY225" s="504"/>
      <c r="AZ225" s="504"/>
      <c r="BA225" s="504"/>
      <c r="BB225" s="504"/>
      <c r="BC225" s="504"/>
    </row>
    <row r="226" customFormat="false" ht="14.1" hidden="false" customHeight="true" outlineLevel="0" collapsed="false">
      <c r="A226" s="1115" t="n">
        <v>4200</v>
      </c>
      <c r="B226" s="1115" t="s">
        <v>157</v>
      </c>
      <c r="C226" s="1115" t="n">
        <v>4200</v>
      </c>
      <c r="D226" s="1115" t="s">
        <v>1046</v>
      </c>
      <c r="E226" s="1115" t="s">
        <v>794</v>
      </c>
      <c r="F226" s="1115" t="n">
        <v>30420</v>
      </c>
      <c r="G226" s="1115" t="n">
        <v>4200</v>
      </c>
      <c r="H226" s="1115" t="s">
        <v>1046</v>
      </c>
      <c r="I226" s="1115" t="n">
        <v>4230</v>
      </c>
      <c r="J226" s="1115" t="s">
        <v>1046</v>
      </c>
      <c r="L226" s="1115" t="n">
        <f aca="false">LOOKUP(M226,$E$6:$F$4002)</f>
        <v>32300</v>
      </c>
      <c r="M226" s="1115" t="s">
        <v>1224</v>
      </c>
      <c r="N226" s="1127" t="n">
        <v>0.94</v>
      </c>
      <c r="AA226" s="1124"/>
      <c r="AU226" s="504"/>
      <c r="AV226" s="504"/>
      <c r="AW226" s="504"/>
      <c r="AX226" s="504"/>
      <c r="AY226" s="504"/>
      <c r="AZ226" s="504"/>
      <c r="BA226" s="504"/>
      <c r="BB226" s="504"/>
      <c r="BC226" s="504"/>
    </row>
    <row r="227" customFormat="false" ht="14.1" hidden="false" customHeight="true" outlineLevel="0" collapsed="false">
      <c r="A227" s="1115" t="n">
        <v>4220</v>
      </c>
      <c r="B227" s="1115" t="s">
        <v>157</v>
      </c>
      <c r="C227" s="1115" t="n">
        <v>4220</v>
      </c>
      <c r="D227" s="1115" t="s">
        <v>1046</v>
      </c>
      <c r="E227" s="1115" t="s">
        <v>794</v>
      </c>
      <c r="F227" s="1115" t="n">
        <v>30650</v>
      </c>
      <c r="G227" s="1115" t="n">
        <v>4220</v>
      </c>
      <c r="H227" s="1115" t="s">
        <v>1046</v>
      </c>
      <c r="I227" s="1115" t="n">
        <v>4240</v>
      </c>
      <c r="J227" s="1115" t="s">
        <v>1046</v>
      </c>
      <c r="L227" s="1115" t="n">
        <f aca="false">LOOKUP(M227,$E$6:$F$4002)</f>
        <v>86220</v>
      </c>
      <c r="M227" s="1115" t="s">
        <v>1225</v>
      </c>
      <c r="N227" s="1127" t="n">
        <v>1</v>
      </c>
      <c r="AA227" s="1124"/>
      <c r="AU227" s="504"/>
      <c r="AV227" s="504"/>
      <c r="AW227" s="504"/>
      <c r="AX227" s="504"/>
      <c r="AY227" s="504"/>
      <c r="AZ227" s="504"/>
      <c r="BA227" s="504"/>
      <c r="BB227" s="504"/>
      <c r="BC227" s="504"/>
    </row>
    <row r="228" customFormat="false" ht="14.1" hidden="false" customHeight="true" outlineLevel="0" collapsed="false">
      <c r="A228" s="1115" t="n">
        <v>4230</v>
      </c>
      <c r="B228" s="1115" t="s">
        <v>157</v>
      </c>
      <c r="C228" s="1115" t="n">
        <v>4230</v>
      </c>
      <c r="D228" s="1115" t="s">
        <v>1046</v>
      </c>
      <c r="E228" s="1115" t="s">
        <v>794</v>
      </c>
      <c r="F228" s="1115" t="n">
        <v>30720</v>
      </c>
      <c r="G228" s="1115" t="n">
        <v>4230</v>
      </c>
      <c r="H228" s="1115" t="s">
        <v>1046</v>
      </c>
      <c r="I228" s="1115" t="n">
        <v>4260</v>
      </c>
      <c r="J228" s="1115" t="s">
        <v>1046</v>
      </c>
      <c r="L228" s="1115" t="n">
        <f aca="false">LOOKUP(M228,$E$6:$F$4002)</f>
        <v>29900</v>
      </c>
      <c r="M228" s="1115" t="s">
        <v>1226</v>
      </c>
      <c r="N228" s="1127" t="n">
        <v>0.97</v>
      </c>
      <c r="AA228" s="1124"/>
      <c r="AU228" s="504"/>
      <c r="AV228" s="504"/>
      <c r="AW228" s="504"/>
      <c r="AX228" s="504"/>
      <c r="AY228" s="504"/>
      <c r="AZ228" s="504"/>
      <c r="BA228" s="504"/>
      <c r="BB228" s="504"/>
      <c r="BC228" s="504"/>
    </row>
    <row r="229" customFormat="false" ht="14.1" hidden="false" customHeight="true" outlineLevel="0" collapsed="false">
      <c r="A229" s="1115" t="n">
        <v>4240</v>
      </c>
      <c r="B229" s="1115" t="s">
        <v>157</v>
      </c>
      <c r="C229" s="1115" t="n">
        <v>4240</v>
      </c>
      <c r="D229" s="1115" t="s">
        <v>1227</v>
      </c>
      <c r="E229" s="1115" t="s">
        <v>794</v>
      </c>
      <c r="F229" s="1115" t="n">
        <v>30740</v>
      </c>
      <c r="G229" s="1115" t="n">
        <v>4240</v>
      </c>
      <c r="H229" s="1115" t="s">
        <v>1227</v>
      </c>
      <c r="I229" s="1115" t="n">
        <v>4300</v>
      </c>
      <c r="J229" s="1115" t="s">
        <v>1046</v>
      </c>
      <c r="L229" s="1115" t="n">
        <f aca="false">LOOKUP(M229,$E$6:$F$4002)</f>
        <v>21160</v>
      </c>
      <c r="M229" s="1115" t="s">
        <v>1228</v>
      </c>
      <c r="N229" s="1127" t="n">
        <v>1.03</v>
      </c>
      <c r="AA229" s="1124"/>
      <c r="AU229" s="504"/>
      <c r="AV229" s="504"/>
      <c r="AW229" s="504"/>
      <c r="AX229" s="504"/>
      <c r="AY229" s="504"/>
      <c r="AZ229" s="504"/>
      <c r="BA229" s="504"/>
      <c r="BB229" s="504"/>
      <c r="BC229" s="504"/>
    </row>
    <row r="230" customFormat="false" ht="14.1" hidden="false" customHeight="true" outlineLevel="0" collapsed="false">
      <c r="A230" s="1115" t="n">
        <v>4260</v>
      </c>
      <c r="B230" s="1115" t="s">
        <v>157</v>
      </c>
      <c r="C230" s="1115" t="n">
        <v>4260</v>
      </c>
      <c r="D230" s="1115" t="s">
        <v>1046</v>
      </c>
      <c r="E230" s="1115" t="s">
        <v>1229</v>
      </c>
      <c r="F230" s="1115" t="n">
        <v>68580</v>
      </c>
      <c r="G230" s="1115" t="n">
        <v>4260</v>
      </c>
      <c r="H230" s="1115" t="s">
        <v>1046</v>
      </c>
      <c r="I230" s="1115" t="n">
        <v>4310</v>
      </c>
      <c r="J230" s="1115" t="s">
        <v>1046</v>
      </c>
      <c r="L230" s="1115" t="n">
        <f aca="false">LOOKUP(M230,$E$6:$F$4002)</f>
        <v>49700</v>
      </c>
      <c r="M230" s="1115" t="s">
        <v>1230</v>
      </c>
      <c r="N230" s="1127" t="n">
        <v>1.03</v>
      </c>
      <c r="AA230" s="1124"/>
      <c r="AU230" s="504"/>
      <c r="AV230" s="504"/>
      <c r="AW230" s="504"/>
      <c r="AX230" s="504"/>
      <c r="AY230" s="504"/>
      <c r="AZ230" s="504"/>
      <c r="BA230" s="504"/>
      <c r="BB230" s="504"/>
      <c r="BC230" s="504"/>
    </row>
    <row r="231" customFormat="false" ht="14.1" hidden="false" customHeight="true" outlineLevel="0" collapsed="false">
      <c r="A231" s="1115" t="n">
        <v>4300</v>
      </c>
      <c r="B231" s="1115" t="s">
        <v>157</v>
      </c>
      <c r="C231" s="1115" t="n">
        <v>4300</v>
      </c>
      <c r="D231" s="1115" t="s">
        <v>1013</v>
      </c>
      <c r="E231" s="1115" t="s">
        <v>796</v>
      </c>
      <c r="F231" s="1115" t="n">
        <v>22710</v>
      </c>
      <c r="G231" s="1115" t="n">
        <v>4300</v>
      </c>
      <c r="H231" s="1115" t="s">
        <v>1013</v>
      </c>
      <c r="I231" s="1115" t="n">
        <v>4320</v>
      </c>
      <c r="J231" s="1115" t="s">
        <v>1046</v>
      </c>
      <c r="L231" s="1115" t="n">
        <f aca="false">LOOKUP(M231,$E$6:$F$4002)</f>
        <v>23120</v>
      </c>
      <c r="M231" s="1115" t="s">
        <v>1231</v>
      </c>
      <c r="N231" s="1127" t="n">
        <v>1</v>
      </c>
      <c r="AA231" s="1124"/>
      <c r="AU231" s="504"/>
      <c r="AV231" s="504"/>
      <c r="AW231" s="504"/>
      <c r="AX231" s="504"/>
      <c r="AY231" s="504"/>
      <c r="AZ231" s="504"/>
      <c r="BA231" s="504"/>
      <c r="BB231" s="504"/>
      <c r="BC231" s="504"/>
    </row>
    <row r="232" customFormat="false" ht="14.1" hidden="false" customHeight="true" outlineLevel="0" collapsed="false">
      <c r="A232" s="1115" t="n">
        <v>4310</v>
      </c>
      <c r="B232" s="1115" t="s">
        <v>157</v>
      </c>
      <c r="C232" s="1115" t="n">
        <v>4310</v>
      </c>
      <c r="D232" s="1115" t="s">
        <v>1013</v>
      </c>
      <c r="E232" s="1115" t="s">
        <v>796</v>
      </c>
      <c r="F232" s="1115" t="n">
        <v>22710</v>
      </c>
      <c r="G232" s="1115" t="n">
        <v>4310</v>
      </c>
      <c r="H232" s="1115" t="s">
        <v>1013</v>
      </c>
      <c r="I232" s="1115" t="n">
        <v>4330</v>
      </c>
      <c r="J232" s="1115" t="s">
        <v>1046</v>
      </c>
      <c r="L232" s="1115" t="n">
        <f aca="false">LOOKUP(M232,$E$6:$F$4002)</f>
        <v>50600</v>
      </c>
      <c r="M232" s="1115" t="s">
        <v>1232</v>
      </c>
      <c r="N232" s="1127" t="n">
        <v>0.96</v>
      </c>
      <c r="AA232" s="1124"/>
      <c r="AU232" s="504"/>
      <c r="AV232" s="504"/>
      <c r="AW232" s="504"/>
      <c r="AX232" s="504"/>
      <c r="AY232" s="504"/>
      <c r="AZ232" s="504"/>
      <c r="BA232" s="504"/>
      <c r="BB232" s="504"/>
      <c r="BC232" s="504"/>
    </row>
    <row r="233" customFormat="false" ht="14.1" hidden="false" customHeight="true" outlineLevel="0" collapsed="false">
      <c r="A233" s="1115" t="n">
        <v>4320</v>
      </c>
      <c r="B233" s="1115" t="s">
        <v>157</v>
      </c>
      <c r="C233" s="1115" t="n">
        <v>4320</v>
      </c>
      <c r="D233" s="1115" t="s">
        <v>1013</v>
      </c>
      <c r="E233" s="1115" t="s">
        <v>1233</v>
      </c>
      <c r="F233" s="1115" t="n">
        <v>25640</v>
      </c>
      <c r="G233" s="1115" t="n">
        <v>4320</v>
      </c>
      <c r="H233" s="1115" t="s">
        <v>1013</v>
      </c>
      <c r="I233" s="1115" t="n">
        <v>4350</v>
      </c>
      <c r="J233" s="1115" t="s">
        <v>1046</v>
      </c>
      <c r="L233" s="1115" t="n">
        <f aca="false">LOOKUP(M233,$E$6:$F$4002)</f>
        <v>38460</v>
      </c>
      <c r="M233" s="1115" t="s">
        <v>1234</v>
      </c>
      <c r="N233" s="1127" t="n">
        <v>0.99</v>
      </c>
      <c r="AA233" s="1124"/>
      <c r="AU233" s="504"/>
      <c r="AV233" s="504"/>
      <c r="AW233" s="504"/>
      <c r="AX233" s="504"/>
      <c r="AY233" s="504"/>
      <c r="AZ233" s="504"/>
      <c r="BA233" s="504"/>
      <c r="BB233" s="504"/>
      <c r="BC233" s="504"/>
    </row>
    <row r="234" customFormat="false" ht="14.1" hidden="false" customHeight="true" outlineLevel="0" collapsed="false">
      <c r="A234" s="1115" t="n">
        <v>4330</v>
      </c>
      <c r="B234" s="1115" t="s">
        <v>157</v>
      </c>
      <c r="C234" s="1115" t="n">
        <v>4330</v>
      </c>
      <c r="D234" s="1115" t="s">
        <v>1235</v>
      </c>
      <c r="E234" s="1115" t="s">
        <v>1236</v>
      </c>
      <c r="F234" s="1115" t="n">
        <v>7740</v>
      </c>
      <c r="G234" s="1115" t="n">
        <v>4330</v>
      </c>
      <c r="H234" s="1115" t="s">
        <v>1235</v>
      </c>
      <c r="I234" s="1115" t="n">
        <v>4370</v>
      </c>
      <c r="J234" s="1115" t="s">
        <v>1046</v>
      </c>
      <c r="L234" s="1115" t="n">
        <f aca="false">LOOKUP(M234,$E$6:$F$4002)</f>
        <v>91500</v>
      </c>
      <c r="M234" s="1115" t="s">
        <v>1237</v>
      </c>
      <c r="N234" s="1127" t="n">
        <v>0.97</v>
      </c>
      <c r="AA234" s="1124"/>
      <c r="AU234" s="504"/>
      <c r="AV234" s="504"/>
      <c r="AW234" s="504"/>
      <c r="AX234" s="504"/>
      <c r="AY234" s="504"/>
      <c r="AZ234" s="504"/>
      <c r="BA234" s="504"/>
      <c r="BB234" s="504"/>
      <c r="BC234" s="504"/>
    </row>
    <row r="235" customFormat="false" ht="14.1" hidden="false" customHeight="true" outlineLevel="0" collapsed="false">
      <c r="A235" s="1115" t="n">
        <v>4350</v>
      </c>
      <c r="B235" s="1115" t="s">
        <v>157</v>
      </c>
      <c r="C235" s="1115" t="n">
        <v>4350</v>
      </c>
      <c r="D235" s="1115" t="s">
        <v>1238</v>
      </c>
      <c r="E235" s="1115" t="s">
        <v>799</v>
      </c>
      <c r="F235" s="1115" t="n">
        <v>22340</v>
      </c>
      <c r="G235" s="1115" t="n">
        <v>4350</v>
      </c>
      <c r="H235" s="1115" t="s">
        <v>1238</v>
      </c>
      <c r="I235" s="1115" t="n">
        <v>4390</v>
      </c>
      <c r="J235" s="1115" t="s">
        <v>1046</v>
      </c>
      <c r="L235" s="1115" t="n">
        <f aca="false">LOOKUP(M235,$E$6:$F$4002)</f>
        <v>42600</v>
      </c>
      <c r="M235" s="1115" t="s">
        <v>1239</v>
      </c>
      <c r="N235" s="1127" t="n">
        <v>0.98</v>
      </c>
      <c r="AU235" s="504"/>
      <c r="AV235" s="504"/>
      <c r="AW235" s="504"/>
      <c r="AX235" s="504"/>
      <c r="AY235" s="504"/>
      <c r="AZ235" s="504"/>
      <c r="BA235" s="504"/>
      <c r="BB235" s="504"/>
      <c r="BC235" s="504"/>
    </row>
    <row r="236" customFormat="false" ht="14.1" hidden="false" customHeight="true" outlineLevel="0" collapsed="false">
      <c r="A236" s="1115" t="n">
        <v>4370</v>
      </c>
      <c r="B236" s="1115" t="s">
        <v>157</v>
      </c>
      <c r="C236" s="1115" t="n">
        <v>4370</v>
      </c>
      <c r="D236" s="1115" t="s">
        <v>1240</v>
      </c>
      <c r="E236" s="1115" t="s">
        <v>799</v>
      </c>
      <c r="F236" s="1115" t="n">
        <v>22340</v>
      </c>
      <c r="G236" s="1115" t="n">
        <v>4370</v>
      </c>
      <c r="H236" s="1115" t="s">
        <v>1240</v>
      </c>
      <c r="I236" s="1115" t="n">
        <v>4400</v>
      </c>
      <c r="J236" s="1115" t="s">
        <v>945</v>
      </c>
      <c r="L236" s="1115" t="n">
        <f aca="false">LOOKUP(M236,$E$6:$F$4002)</f>
        <v>99300</v>
      </c>
      <c r="M236" s="1115" t="s">
        <v>1241</v>
      </c>
      <c r="N236" s="1127" t="n">
        <v>0.96</v>
      </c>
      <c r="AA236" s="1124"/>
      <c r="AU236" s="504"/>
      <c r="AV236" s="504"/>
      <c r="AW236" s="504"/>
      <c r="AX236" s="504"/>
      <c r="AY236" s="504"/>
      <c r="AZ236" s="504"/>
      <c r="BA236" s="504"/>
      <c r="BB236" s="504"/>
      <c r="BC236" s="504"/>
    </row>
    <row r="237" customFormat="false" ht="14.1" hidden="false" customHeight="true" outlineLevel="0" collapsed="false">
      <c r="A237" s="1115" t="n">
        <v>4390</v>
      </c>
      <c r="B237" s="1115" t="s">
        <v>157</v>
      </c>
      <c r="C237" s="1115" t="n">
        <v>4390</v>
      </c>
      <c r="D237" s="1115" t="s">
        <v>1242</v>
      </c>
      <c r="E237" s="1115" t="s">
        <v>799</v>
      </c>
      <c r="F237" s="1115" t="n">
        <v>22340</v>
      </c>
      <c r="G237" s="1115" t="n">
        <v>4390</v>
      </c>
      <c r="H237" s="1115" t="s">
        <v>1242</v>
      </c>
      <c r="I237" s="1115" t="n">
        <v>4410</v>
      </c>
      <c r="J237" s="1115" t="s">
        <v>945</v>
      </c>
      <c r="L237" s="1115" t="n">
        <f aca="false">LOOKUP(M237,$E$6:$F$4002)</f>
        <v>62280</v>
      </c>
      <c r="M237" s="1115" t="s">
        <v>1243</v>
      </c>
      <c r="N237" s="1127" t="n">
        <v>1</v>
      </c>
      <c r="AA237" s="1124"/>
      <c r="AU237" s="504"/>
      <c r="AV237" s="504"/>
      <c r="AW237" s="504"/>
      <c r="AX237" s="504"/>
      <c r="AY237" s="504"/>
      <c r="AZ237" s="504"/>
      <c r="BA237" s="504"/>
      <c r="BB237" s="504"/>
      <c r="BC237" s="504"/>
    </row>
    <row r="238" customFormat="false" ht="14.1" hidden="false" customHeight="true" outlineLevel="0" collapsed="false">
      <c r="A238" s="1115" t="n">
        <v>4400</v>
      </c>
      <c r="B238" s="1115" t="s">
        <v>157</v>
      </c>
      <c r="C238" s="1115" t="n">
        <v>4400</v>
      </c>
      <c r="D238" s="1115" t="s">
        <v>945</v>
      </c>
      <c r="E238" s="1115" t="s">
        <v>799</v>
      </c>
      <c r="F238" s="1115" t="n">
        <v>22340</v>
      </c>
      <c r="G238" s="1115" t="n">
        <v>4400</v>
      </c>
      <c r="H238" s="1115" t="s">
        <v>945</v>
      </c>
      <c r="I238" s="1115" t="n">
        <v>4420</v>
      </c>
      <c r="J238" s="1115" t="s">
        <v>945</v>
      </c>
      <c r="L238" s="1115" t="n">
        <f aca="false">LOOKUP(M238,$E$6:$F$4002)</f>
        <v>40950</v>
      </c>
      <c r="M238" s="1115" t="s">
        <v>40</v>
      </c>
      <c r="N238" s="1127" t="n">
        <v>1.02</v>
      </c>
      <c r="AA238" s="1124"/>
      <c r="AU238" s="504"/>
      <c r="AV238" s="504"/>
      <c r="AW238" s="504"/>
      <c r="AX238" s="504"/>
      <c r="AY238" s="504"/>
      <c r="AZ238" s="504"/>
      <c r="BA238" s="504"/>
      <c r="BB238" s="504"/>
      <c r="BC238" s="504"/>
    </row>
    <row r="239" customFormat="false" ht="14.1" hidden="false" customHeight="true" outlineLevel="0" collapsed="false">
      <c r="A239" s="1115" t="n">
        <v>4410</v>
      </c>
      <c r="B239" s="1115" t="s">
        <v>157</v>
      </c>
      <c r="C239" s="1115" t="n">
        <v>4410</v>
      </c>
      <c r="D239" s="1115" t="s">
        <v>945</v>
      </c>
      <c r="E239" s="1115" t="s">
        <v>1244</v>
      </c>
      <c r="F239" s="1115" t="n">
        <v>22410</v>
      </c>
      <c r="G239" s="1115" t="n">
        <v>4410</v>
      </c>
      <c r="H239" s="1115" t="s">
        <v>945</v>
      </c>
      <c r="I239" s="1115" t="n">
        <v>4430</v>
      </c>
      <c r="J239" s="1115" t="s">
        <v>945</v>
      </c>
      <c r="L239" s="1115" t="n">
        <f aca="false">LOOKUP(M239,$E$6:$F$4002)</f>
        <v>25130</v>
      </c>
      <c r="M239" s="1115" t="s">
        <v>1245</v>
      </c>
      <c r="N239" s="1127" t="n">
        <v>0.98</v>
      </c>
      <c r="AA239" s="1124"/>
      <c r="AU239" s="504"/>
      <c r="AV239" s="504"/>
      <c r="AW239" s="504"/>
      <c r="AX239" s="504"/>
      <c r="AY239" s="504"/>
      <c r="AZ239" s="504"/>
      <c r="BA239" s="504"/>
      <c r="BB239" s="504"/>
      <c r="BC239" s="504"/>
    </row>
    <row r="240" customFormat="false" ht="14.1" hidden="false" customHeight="true" outlineLevel="0" collapsed="false">
      <c r="A240" s="1115" t="n">
        <v>4420</v>
      </c>
      <c r="B240" s="1115" t="s">
        <v>157</v>
      </c>
      <c r="C240" s="1115" t="n">
        <v>4420</v>
      </c>
      <c r="D240" s="1115" t="s">
        <v>945</v>
      </c>
      <c r="E240" s="1115" t="s">
        <v>1244</v>
      </c>
      <c r="F240" s="1115" t="n">
        <v>22410</v>
      </c>
      <c r="G240" s="1115" t="n">
        <v>4420</v>
      </c>
      <c r="H240" s="1115" t="s">
        <v>945</v>
      </c>
      <c r="I240" s="1115" t="n">
        <v>4440</v>
      </c>
      <c r="J240" s="1115" t="s">
        <v>945</v>
      </c>
      <c r="L240" s="1115" t="n">
        <f aca="false">LOOKUP(M240,$E$6:$F$4002)</f>
        <v>23110</v>
      </c>
      <c r="M240" s="1115" t="s">
        <v>1246</v>
      </c>
      <c r="N240" s="1127" t="n">
        <v>0.97</v>
      </c>
      <c r="AA240" s="1124"/>
      <c r="AU240" s="504"/>
      <c r="AV240" s="504"/>
      <c r="AW240" s="504"/>
      <c r="AX240" s="504"/>
      <c r="AY240" s="504"/>
      <c r="AZ240" s="504"/>
      <c r="BA240" s="504"/>
      <c r="BB240" s="504"/>
      <c r="BC240" s="504"/>
    </row>
    <row r="241" customFormat="false" ht="14.1" hidden="false" customHeight="true" outlineLevel="0" collapsed="false">
      <c r="A241" s="1115" t="n">
        <v>4430</v>
      </c>
      <c r="B241" s="1115" t="s">
        <v>157</v>
      </c>
      <c r="C241" s="1115" t="n">
        <v>4430</v>
      </c>
      <c r="D241" s="1115" t="s">
        <v>945</v>
      </c>
      <c r="E241" s="1115" t="s">
        <v>1244</v>
      </c>
      <c r="F241" s="1115" t="n">
        <v>22410</v>
      </c>
      <c r="G241" s="1115" t="n">
        <v>4430</v>
      </c>
      <c r="H241" s="1115" t="s">
        <v>945</v>
      </c>
      <c r="I241" s="1115" t="n">
        <v>4460</v>
      </c>
      <c r="J241" s="1115" t="s">
        <v>945</v>
      </c>
      <c r="L241" s="1115" t="n">
        <f aca="false">LOOKUP(M241,$E$6:$F$4002)</f>
        <v>7600</v>
      </c>
      <c r="M241" s="1115" t="s">
        <v>1247</v>
      </c>
      <c r="N241" s="1127" t="n">
        <v>1.02</v>
      </c>
      <c r="AA241" s="1124"/>
      <c r="AU241" s="504"/>
      <c r="AV241" s="504"/>
      <c r="AW241" s="504"/>
      <c r="AX241" s="504"/>
      <c r="AY241" s="504"/>
      <c r="AZ241" s="504"/>
      <c r="BA241" s="504"/>
      <c r="BB241" s="504"/>
      <c r="BC241" s="504"/>
    </row>
    <row r="242" customFormat="false" ht="14.1" hidden="false" customHeight="true" outlineLevel="0" collapsed="false">
      <c r="A242" s="1115" t="n">
        <v>4440</v>
      </c>
      <c r="B242" s="1115" t="s">
        <v>157</v>
      </c>
      <c r="C242" s="1115" t="n">
        <v>4440</v>
      </c>
      <c r="D242" s="1115" t="s">
        <v>945</v>
      </c>
      <c r="E242" s="1115" t="s">
        <v>1244</v>
      </c>
      <c r="F242" s="1115" t="n">
        <v>22410</v>
      </c>
      <c r="G242" s="1115" t="n">
        <v>4440</v>
      </c>
      <c r="H242" s="1115" t="s">
        <v>945</v>
      </c>
      <c r="I242" s="1115" t="n">
        <v>4480</v>
      </c>
      <c r="J242" s="1115" t="s">
        <v>945</v>
      </c>
      <c r="L242" s="1115" t="n">
        <f aca="false">LOOKUP(M242,$E$6:$F$4002)</f>
        <v>4600</v>
      </c>
      <c r="M242" s="1115" t="s">
        <v>1248</v>
      </c>
      <c r="N242" s="1127" t="n">
        <v>1.01</v>
      </c>
      <c r="AA242" s="1124"/>
      <c r="AU242" s="504"/>
      <c r="AV242" s="504"/>
      <c r="AW242" s="504"/>
      <c r="AX242" s="504"/>
      <c r="AY242" s="504"/>
      <c r="AZ242" s="504"/>
      <c r="BA242" s="504"/>
      <c r="BB242" s="504"/>
      <c r="BC242" s="504"/>
    </row>
    <row r="243" customFormat="false" ht="14.1" hidden="false" customHeight="true" outlineLevel="0" collapsed="false">
      <c r="A243" s="1115" t="n">
        <v>4460</v>
      </c>
      <c r="B243" s="1115" t="s">
        <v>157</v>
      </c>
      <c r="C243" s="1115" t="n">
        <v>4460</v>
      </c>
      <c r="D243" s="1115" t="s">
        <v>1249</v>
      </c>
      <c r="E243" s="1115" t="s">
        <v>1250</v>
      </c>
      <c r="F243" s="1115" t="n">
        <v>22130</v>
      </c>
      <c r="G243" s="1115" t="n">
        <v>4460</v>
      </c>
      <c r="H243" s="1115" t="s">
        <v>1249</v>
      </c>
      <c r="I243" s="1115" t="n">
        <v>4500</v>
      </c>
      <c r="J243" s="1115" t="s">
        <v>945</v>
      </c>
      <c r="L243" s="1115" t="n">
        <f aca="false">LOOKUP(M243,$E$6:$F$4002)</f>
        <v>35830</v>
      </c>
      <c r="M243" s="1115" t="s">
        <v>1251</v>
      </c>
      <c r="N243" s="1127" t="n">
        <v>1.03</v>
      </c>
      <c r="AA243" s="1124"/>
      <c r="AU243" s="504"/>
      <c r="AV243" s="504"/>
      <c r="AW243" s="504"/>
      <c r="AX243" s="504"/>
      <c r="AY243" s="504"/>
      <c r="AZ243" s="504"/>
      <c r="BA243" s="504"/>
      <c r="BB243" s="504"/>
      <c r="BC243" s="504"/>
    </row>
    <row r="244" customFormat="false" ht="14.1" hidden="false" customHeight="true" outlineLevel="0" collapsed="false">
      <c r="A244" s="1115" t="n">
        <v>4480</v>
      </c>
      <c r="B244" s="1115" t="s">
        <v>157</v>
      </c>
      <c r="C244" s="1115" t="n">
        <v>4480</v>
      </c>
      <c r="D244" s="1115" t="s">
        <v>1252</v>
      </c>
      <c r="E244" s="1115" t="s">
        <v>1250</v>
      </c>
      <c r="F244" s="1115" t="n">
        <v>22130</v>
      </c>
      <c r="G244" s="1115" t="n">
        <v>4480</v>
      </c>
      <c r="H244" s="1115" t="s">
        <v>1252</v>
      </c>
      <c r="I244" s="1115" t="n">
        <v>4530</v>
      </c>
      <c r="J244" s="1115" t="s">
        <v>1248</v>
      </c>
      <c r="L244" s="1115" t="n">
        <f aca="false">LOOKUP(M244,$E$6:$F$4002)</f>
        <v>52710</v>
      </c>
      <c r="M244" s="1115" t="s">
        <v>1253</v>
      </c>
      <c r="N244" s="1127" t="n">
        <v>0.99</v>
      </c>
      <c r="AA244" s="1124"/>
      <c r="AU244" s="504"/>
      <c r="AV244" s="504"/>
      <c r="AW244" s="504"/>
      <c r="AX244" s="504"/>
      <c r="AY244" s="504"/>
      <c r="AZ244" s="504"/>
      <c r="BA244" s="504"/>
      <c r="BB244" s="504"/>
      <c r="BC244" s="504"/>
    </row>
    <row r="245" customFormat="false" ht="14.1" hidden="false" customHeight="true" outlineLevel="0" collapsed="false">
      <c r="A245" s="1115" t="n">
        <v>4500</v>
      </c>
      <c r="B245" s="1115" t="s">
        <v>157</v>
      </c>
      <c r="C245" s="1115" t="n">
        <v>4500</v>
      </c>
      <c r="D245" s="1115" t="s">
        <v>1254</v>
      </c>
      <c r="E245" s="1115" t="s">
        <v>940</v>
      </c>
      <c r="F245" s="1115" t="n">
        <v>1130</v>
      </c>
      <c r="G245" s="1115" t="n">
        <v>4500</v>
      </c>
      <c r="H245" s="1115" t="s">
        <v>1254</v>
      </c>
      <c r="I245" s="1115" t="n">
        <v>4600</v>
      </c>
      <c r="J245" s="1115" t="s">
        <v>1248</v>
      </c>
      <c r="L245" s="1115" t="n">
        <f aca="false">LOOKUP(M245,$E$6:$F$4002)</f>
        <v>21110</v>
      </c>
      <c r="M245" s="1115" t="s">
        <v>1255</v>
      </c>
      <c r="N245" s="1127" t="n">
        <v>1.02</v>
      </c>
      <c r="AA245" s="1124"/>
      <c r="AU245" s="504"/>
      <c r="AV245" s="504"/>
      <c r="AW245" s="504"/>
      <c r="AX245" s="504"/>
      <c r="AY245" s="504"/>
      <c r="AZ245" s="504"/>
      <c r="BA245" s="504"/>
      <c r="BB245" s="504"/>
      <c r="BC245" s="504"/>
    </row>
    <row r="246" customFormat="false" ht="14.1" hidden="false" customHeight="true" outlineLevel="0" collapsed="false">
      <c r="A246" s="1115" t="n">
        <v>4530</v>
      </c>
      <c r="B246" s="1115" t="s">
        <v>157</v>
      </c>
      <c r="C246" s="1115" t="n">
        <v>4530</v>
      </c>
      <c r="D246" s="1115" t="s">
        <v>1256</v>
      </c>
      <c r="E246" s="1115" t="s">
        <v>1257</v>
      </c>
      <c r="F246" s="1115" t="n">
        <v>7350</v>
      </c>
      <c r="G246" s="1115" t="n">
        <v>4530</v>
      </c>
      <c r="H246" s="1115" t="s">
        <v>1256</v>
      </c>
      <c r="I246" s="1115" t="n">
        <v>4630</v>
      </c>
      <c r="J246" s="1115" t="s">
        <v>1248</v>
      </c>
      <c r="L246" s="1115" t="n">
        <f aca="false">LOOKUP(M246,$E$6:$F$4002)</f>
        <v>29250</v>
      </c>
      <c r="M246" s="1115" t="s">
        <v>1258</v>
      </c>
      <c r="N246" s="1127" t="n">
        <v>0.98</v>
      </c>
      <c r="AA246" s="1124"/>
      <c r="AU246" s="504"/>
      <c r="AV246" s="504"/>
      <c r="AW246" s="504"/>
      <c r="AX246" s="504"/>
      <c r="AY246" s="504"/>
      <c r="AZ246" s="504"/>
      <c r="BA246" s="504"/>
      <c r="BB246" s="504"/>
      <c r="BC246" s="504"/>
    </row>
    <row r="247" customFormat="false" ht="14.1" hidden="false" customHeight="true" outlineLevel="0" collapsed="false">
      <c r="A247" s="1115" t="n">
        <v>4600</v>
      </c>
      <c r="B247" s="1115" t="s">
        <v>157</v>
      </c>
      <c r="C247" s="1115" t="n">
        <v>4600</v>
      </c>
      <c r="D247" s="1115" t="s">
        <v>1248</v>
      </c>
      <c r="E247" s="1115" t="s">
        <v>1259</v>
      </c>
      <c r="F247" s="1115" t="n">
        <v>47310</v>
      </c>
      <c r="G247" s="1115" t="n">
        <v>4600</v>
      </c>
      <c r="H247" s="1115" t="s">
        <v>1248</v>
      </c>
      <c r="I247" s="1115" t="n">
        <v>4660</v>
      </c>
      <c r="J247" s="1115" t="s">
        <v>1248</v>
      </c>
      <c r="L247" s="1115" t="n">
        <f aca="false">LOOKUP(M247,$E$6:$F$4002)</f>
        <v>15560</v>
      </c>
      <c r="M247" s="1115" t="s">
        <v>1260</v>
      </c>
      <c r="N247" s="1127" t="n">
        <v>1</v>
      </c>
      <c r="AA247" s="1124"/>
      <c r="AU247" s="504"/>
      <c r="AV247" s="504"/>
      <c r="AW247" s="504"/>
      <c r="AX247" s="504"/>
      <c r="AY247" s="504"/>
      <c r="AZ247" s="504"/>
      <c r="BA247" s="504"/>
      <c r="BB247" s="504"/>
      <c r="BC247" s="504"/>
    </row>
    <row r="248" customFormat="false" ht="14.1" hidden="false" customHeight="true" outlineLevel="0" collapsed="false">
      <c r="A248" s="1115" t="n">
        <v>4630</v>
      </c>
      <c r="B248" s="1115" t="s">
        <v>157</v>
      </c>
      <c r="C248" s="1115" t="n">
        <v>4630</v>
      </c>
      <c r="D248" s="1115" t="s">
        <v>1261</v>
      </c>
      <c r="E248" s="1115" t="s">
        <v>802</v>
      </c>
      <c r="F248" s="1115" t="n">
        <v>85800</v>
      </c>
      <c r="G248" s="1115" t="n">
        <v>4630</v>
      </c>
      <c r="H248" s="1115" t="s">
        <v>1261</v>
      </c>
      <c r="I248" s="1115" t="n">
        <v>4680</v>
      </c>
      <c r="J248" s="1115" t="s">
        <v>1248</v>
      </c>
      <c r="L248" s="1115" t="n">
        <f aca="false">LOOKUP(M248,$E$6:$F$4002)</f>
        <v>21660</v>
      </c>
      <c r="M248" s="1115" t="s">
        <v>1262</v>
      </c>
      <c r="N248" s="1127" t="n">
        <v>0.98</v>
      </c>
      <c r="AA248" s="1124"/>
      <c r="AU248" s="504"/>
      <c r="AV248" s="504"/>
      <c r="AW248" s="504"/>
      <c r="AX248" s="504"/>
      <c r="AY248" s="504"/>
      <c r="AZ248" s="504"/>
      <c r="BA248" s="504"/>
      <c r="BB248" s="504"/>
      <c r="BC248" s="504"/>
    </row>
    <row r="249" customFormat="false" ht="14.1" hidden="false" customHeight="true" outlineLevel="0" collapsed="false">
      <c r="A249" s="1115" t="n">
        <v>4660</v>
      </c>
      <c r="B249" s="1115" t="s">
        <v>157</v>
      </c>
      <c r="C249" s="1115" t="n">
        <v>4660</v>
      </c>
      <c r="D249" s="1115" t="s">
        <v>1263</v>
      </c>
      <c r="E249" s="1115" t="s">
        <v>1264</v>
      </c>
      <c r="F249" s="1115" t="n">
        <v>58410</v>
      </c>
      <c r="G249" s="1115" t="n">
        <v>4660</v>
      </c>
      <c r="H249" s="1115" t="s">
        <v>1263</v>
      </c>
      <c r="I249" s="1115" t="n">
        <v>4740</v>
      </c>
      <c r="J249" s="1115" t="s">
        <v>1248</v>
      </c>
      <c r="L249" s="1115" t="n">
        <f aca="false">LOOKUP(M249,$E$6:$F$4002)</f>
        <v>73300</v>
      </c>
      <c r="M249" s="1115" t="s">
        <v>1265</v>
      </c>
      <c r="N249" s="1127" t="n">
        <v>0.96</v>
      </c>
      <c r="AU249" s="504"/>
      <c r="AV249" s="504"/>
      <c r="AW249" s="504"/>
      <c r="AX249" s="504"/>
      <c r="AY249" s="504"/>
      <c r="AZ249" s="504"/>
      <c r="BA249" s="504"/>
      <c r="BB249" s="504"/>
      <c r="BC249" s="504"/>
    </row>
    <row r="250" customFormat="false" ht="14.1" hidden="false" customHeight="true" outlineLevel="0" collapsed="false">
      <c r="A250" s="1115" t="n">
        <v>4680</v>
      </c>
      <c r="B250" s="1115" t="s">
        <v>157</v>
      </c>
      <c r="C250" s="1115" t="n">
        <v>4680</v>
      </c>
      <c r="D250" s="1115" t="s">
        <v>1266</v>
      </c>
      <c r="E250" s="1115" t="s">
        <v>1267</v>
      </c>
      <c r="F250" s="1115" t="n">
        <v>77520</v>
      </c>
      <c r="G250" s="1115" t="n">
        <v>4680</v>
      </c>
      <c r="H250" s="1115" t="s">
        <v>1266</v>
      </c>
      <c r="I250" s="1115" t="n">
        <v>4770</v>
      </c>
      <c r="J250" s="1115" t="s">
        <v>1248</v>
      </c>
      <c r="L250" s="1115" t="n">
        <f aca="false">LOOKUP(M250,$E$6:$F$4002)</f>
        <v>85540</v>
      </c>
      <c r="M250" s="1115" t="s">
        <v>1268</v>
      </c>
      <c r="N250" s="1127" t="n">
        <v>0.96</v>
      </c>
      <c r="AU250" s="504"/>
      <c r="AV250" s="504"/>
      <c r="AW250" s="504"/>
      <c r="AX250" s="504"/>
      <c r="AY250" s="504"/>
      <c r="AZ250" s="504"/>
      <c r="BA250" s="504"/>
      <c r="BB250" s="504"/>
      <c r="BC250" s="504"/>
    </row>
    <row r="251" customFormat="false" ht="14.1" hidden="false" customHeight="true" outlineLevel="0" collapsed="false">
      <c r="A251" s="1115" t="n">
        <v>4740</v>
      </c>
      <c r="B251" s="1115" t="s">
        <v>157</v>
      </c>
      <c r="C251" s="1115" t="n">
        <v>4740</v>
      </c>
      <c r="D251" s="1115" t="s">
        <v>1269</v>
      </c>
      <c r="E251" s="1115" t="s">
        <v>1270</v>
      </c>
      <c r="F251" s="1115" t="n">
        <v>66460</v>
      </c>
      <c r="G251" s="1115" t="n">
        <v>4740</v>
      </c>
      <c r="H251" s="1115" t="s">
        <v>1269</v>
      </c>
      <c r="I251" s="1115" t="n">
        <v>4820</v>
      </c>
      <c r="J251" s="1115" t="s">
        <v>1248</v>
      </c>
      <c r="L251" s="1115" t="n">
        <f aca="false">LOOKUP(M251,$E$6:$F$4002)</f>
        <v>37150</v>
      </c>
      <c r="M251" s="1115" t="s">
        <v>1271</v>
      </c>
      <c r="N251" s="1127" t="n">
        <v>0.99</v>
      </c>
      <c r="AU251" s="504"/>
      <c r="AV251" s="504"/>
      <c r="AW251" s="504"/>
      <c r="AX251" s="504"/>
      <c r="AY251" s="504"/>
      <c r="AZ251" s="504"/>
      <c r="BA251" s="504"/>
      <c r="BB251" s="504"/>
      <c r="BC251" s="504"/>
    </row>
    <row r="252" customFormat="false" ht="14.1" hidden="false" customHeight="true" outlineLevel="0" collapsed="false">
      <c r="A252" s="1115" t="n">
        <v>4770</v>
      </c>
      <c r="B252" s="1115" t="s">
        <v>157</v>
      </c>
      <c r="C252" s="1115" t="n">
        <v>4770</v>
      </c>
      <c r="D252" s="1115" t="s">
        <v>1272</v>
      </c>
      <c r="E252" s="1115" t="s">
        <v>1273</v>
      </c>
      <c r="F252" s="1115" t="n">
        <v>81295</v>
      </c>
      <c r="G252" s="1115" t="n">
        <v>4770</v>
      </c>
      <c r="H252" s="1115" t="s">
        <v>1272</v>
      </c>
      <c r="I252" s="1115" t="n">
        <v>4840</v>
      </c>
      <c r="J252" s="1115" t="s">
        <v>1248</v>
      </c>
      <c r="L252" s="1115" t="n">
        <f aca="false">LOOKUP(M252,$E$6:$F$4002)</f>
        <v>29600</v>
      </c>
      <c r="M252" s="1115" t="s">
        <v>1274</v>
      </c>
      <c r="N252" s="1127" t="n">
        <v>0.96</v>
      </c>
      <c r="AU252" s="504"/>
      <c r="AV252" s="504"/>
      <c r="AW252" s="504"/>
      <c r="AX252" s="504"/>
      <c r="AY252" s="504"/>
      <c r="AZ252" s="504"/>
      <c r="BA252" s="504"/>
      <c r="BB252" s="504"/>
      <c r="BC252" s="504"/>
    </row>
    <row r="253" customFormat="false" ht="14.1" hidden="false" customHeight="true" outlineLevel="0" collapsed="false">
      <c r="A253" s="1115" t="n">
        <v>4820</v>
      </c>
      <c r="B253" s="1115" t="s">
        <v>157</v>
      </c>
      <c r="C253" s="1115" t="n">
        <v>4820</v>
      </c>
      <c r="D253" s="1115" t="s">
        <v>1275</v>
      </c>
      <c r="E253" s="1115" t="s">
        <v>1276</v>
      </c>
      <c r="F253" s="1115" t="n">
        <v>61180</v>
      </c>
      <c r="G253" s="1115" t="n">
        <v>4820</v>
      </c>
      <c r="H253" s="1115" t="s">
        <v>1275</v>
      </c>
      <c r="I253" s="1115" t="n">
        <v>4920</v>
      </c>
      <c r="J253" s="1115" t="s">
        <v>1248</v>
      </c>
      <c r="L253" s="1115" t="n">
        <f aca="false">LOOKUP(M253,$E$6:$F$4002)</f>
        <v>21270</v>
      </c>
      <c r="M253" s="1115" t="s">
        <v>1277</v>
      </c>
      <c r="N253" s="1127" t="n">
        <v>0.99</v>
      </c>
      <c r="AU253" s="504"/>
      <c r="AV253" s="504"/>
      <c r="AW253" s="504"/>
      <c r="AX253" s="504"/>
      <c r="AY253" s="504"/>
      <c r="AZ253" s="504"/>
      <c r="BA253" s="504"/>
      <c r="BB253" s="504"/>
      <c r="BC253" s="504"/>
    </row>
    <row r="254" customFormat="false" ht="14.1" hidden="false" customHeight="true" outlineLevel="0" collapsed="false">
      <c r="A254" s="1115" t="n">
        <v>4840</v>
      </c>
      <c r="B254" s="1115" t="s">
        <v>157</v>
      </c>
      <c r="C254" s="1115" t="n">
        <v>4840</v>
      </c>
      <c r="D254" s="1115" t="s">
        <v>1278</v>
      </c>
      <c r="E254" s="1115" t="s">
        <v>1279</v>
      </c>
      <c r="F254" s="1115" t="n">
        <v>42800</v>
      </c>
      <c r="G254" s="1115" t="n">
        <v>4840</v>
      </c>
      <c r="H254" s="1115" t="s">
        <v>1278</v>
      </c>
      <c r="I254" s="1115" t="n">
        <v>4940</v>
      </c>
      <c r="J254" s="1115" t="s">
        <v>1248</v>
      </c>
      <c r="L254" s="1115" t="n">
        <f aca="false">LOOKUP(M254,$E$6:$F$4002)</f>
        <v>9810</v>
      </c>
      <c r="M254" s="1115" t="s">
        <v>1198</v>
      </c>
      <c r="N254" s="1127" t="n">
        <v>1.03</v>
      </c>
      <c r="AU254" s="504"/>
      <c r="AV254" s="504"/>
      <c r="AW254" s="504"/>
      <c r="AX254" s="504"/>
      <c r="AY254" s="504"/>
      <c r="AZ254" s="504"/>
      <c r="BA254" s="504"/>
      <c r="BB254" s="504"/>
      <c r="BC254" s="504"/>
    </row>
    <row r="255" customFormat="false" ht="14.1" hidden="false" customHeight="true" outlineLevel="0" collapsed="false">
      <c r="A255" s="1115" t="n">
        <v>4920</v>
      </c>
      <c r="B255" s="1115" t="s">
        <v>157</v>
      </c>
      <c r="C255" s="1115" t="n">
        <v>4920</v>
      </c>
      <c r="D255" s="1115" t="s">
        <v>1280</v>
      </c>
      <c r="E255" s="1115" t="s">
        <v>1281</v>
      </c>
      <c r="F255" s="1115" t="n">
        <v>40820</v>
      </c>
      <c r="G255" s="1115" t="n">
        <v>4920</v>
      </c>
      <c r="H255" s="1115" t="s">
        <v>1280</v>
      </c>
      <c r="I255" s="1115" t="n">
        <v>5100</v>
      </c>
      <c r="J255" s="1115" t="s">
        <v>1248</v>
      </c>
      <c r="L255" s="1115" t="n">
        <f aca="false">LOOKUP(M255,$E$6:$F$4002)</f>
        <v>75520</v>
      </c>
      <c r="M255" s="1115" t="s">
        <v>1282</v>
      </c>
      <c r="N255" s="1127" t="n">
        <v>1</v>
      </c>
      <c r="AU255" s="504"/>
      <c r="AV255" s="504"/>
      <c r="AW255" s="504"/>
      <c r="AX255" s="504"/>
      <c r="AY255" s="504"/>
      <c r="AZ255" s="504"/>
      <c r="BA255" s="504"/>
      <c r="BB255" s="504"/>
      <c r="BC255" s="504"/>
    </row>
    <row r="256" customFormat="false" ht="14.1" hidden="false" customHeight="true" outlineLevel="0" collapsed="false">
      <c r="A256" s="1115" t="n">
        <v>4940</v>
      </c>
      <c r="B256" s="1115" t="s">
        <v>157</v>
      </c>
      <c r="C256" s="1115" t="n">
        <v>4940</v>
      </c>
      <c r="D256" s="1115" t="s">
        <v>1283</v>
      </c>
      <c r="E256" s="1115" t="s">
        <v>1284</v>
      </c>
      <c r="F256" s="1115" t="n">
        <v>59320</v>
      </c>
      <c r="G256" s="1115" t="n">
        <v>4940</v>
      </c>
      <c r="H256" s="1115" t="s">
        <v>1283</v>
      </c>
      <c r="I256" s="1115" t="n">
        <v>5120</v>
      </c>
      <c r="J256" s="1115" t="s">
        <v>1248</v>
      </c>
      <c r="L256" s="1115" t="n">
        <f aca="false">LOOKUP(M256,$E$6:$F$4002)</f>
        <v>1900</v>
      </c>
      <c r="M256" s="1115" t="s">
        <v>1061</v>
      </c>
      <c r="N256" s="1127" t="n">
        <v>0.96</v>
      </c>
      <c r="AU256" s="504"/>
      <c r="AV256" s="504"/>
      <c r="AW256" s="504"/>
      <c r="AX256" s="504"/>
      <c r="AY256" s="504"/>
      <c r="AZ256" s="504"/>
      <c r="BA256" s="504"/>
      <c r="BB256" s="504"/>
      <c r="BC256" s="504"/>
    </row>
    <row r="257" customFormat="false" ht="14.1" hidden="false" customHeight="true" outlineLevel="0" collapsed="false">
      <c r="A257" s="1115" t="n">
        <v>5100</v>
      </c>
      <c r="B257" s="1115" t="s">
        <v>157</v>
      </c>
      <c r="C257" s="1115" t="n">
        <v>5100</v>
      </c>
      <c r="D257" s="1115" t="s">
        <v>1285</v>
      </c>
      <c r="E257" s="1115" t="s">
        <v>804</v>
      </c>
      <c r="F257" s="1115" t="n">
        <v>86600</v>
      </c>
      <c r="G257" s="1115" t="n">
        <v>5100</v>
      </c>
      <c r="H257" s="1115" t="s">
        <v>1285</v>
      </c>
      <c r="I257" s="1115" t="n">
        <v>5130</v>
      </c>
      <c r="J257" s="1115" t="s">
        <v>1248</v>
      </c>
      <c r="L257" s="1115" t="n">
        <f aca="false">LOOKUP(M257,$E$6:$F$4002)</f>
        <v>60550</v>
      </c>
      <c r="M257" s="1115" t="s">
        <v>1286</v>
      </c>
      <c r="N257" s="1127" t="n">
        <v>1.02</v>
      </c>
      <c r="AU257" s="504"/>
      <c r="AV257" s="504"/>
      <c r="AW257" s="504"/>
      <c r="AX257" s="504"/>
      <c r="AY257" s="504"/>
      <c r="AZ257" s="504"/>
      <c r="BA257" s="504"/>
    </row>
    <row r="258" customFormat="false" ht="14.1" hidden="false" customHeight="true" outlineLevel="0" collapsed="false">
      <c r="A258" s="1115" t="n">
        <v>5120</v>
      </c>
      <c r="B258" s="1115" t="s">
        <v>157</v>
      </c>
      <c r="C258" s="1115" t="n">
        <v>5120</v>
      </c>
      <c r="D258" s="1115" t="s">
        <v>1287</v>
      </c>
      <c r="E258" s="1115" t="s">
        <v>1288</v>
      </c>
      <c r="F258" s="1115" t="n">
        <v>89750</v>
      </c>
      <c r="G258" s="1115" t="n">
        <v>5120</v>
      </c>
      <c r="H258" s="1115" t="s">
        <v>1287</v>
      </c>
      <c r="I258" s="1115" t="n">
        <v>5200</v>
      </c>
      <c r="J258" s="1115" t="s">
        <v>1248</v>
      </c>
      <c r="L258" s="1115" t="n">
        <f aca="false">LOOKUP(M258,$E$6:$F$4002)</f>
        <v>64230</v>
      </c>
      <c r="M258" s="1115" t="s">
        <v>1289</v>
      </c>
      <c r="N258" s="1127" t="n">
        <v>1</v>
      </c>
      <c r="AU258" s="504"/>
      <c r="AV258" s="504"/>
      <c r="AW258" s="504"/>
      <c r="AX258" s="504"/>
      <c r="AY258" s="504"/>
      <c r="AZ258" s="504"/>
      <c r="BA258" s="504"/>
    </row>
    <row r="259" customFormat="false" ht="14.1" hidden="false" customHeight="true" outlineLevel="0" collapsed="false">
      <c r="A259" s="1115" t="n">
        <v>5130</v>
      </c>
      <c r="B259" s="1115" t="s">
        <v>157</v>
      </c>
      <c r="C259" s="1115" t="n">
        <v>5130</v>
      </c>
      <c r="D259" s="1115" t="s">
        <v>1290</v>
      </c>
      <c r="E259" s="1115" t="s">
        <v>1252</v>
      </c>
      <c r="F259" s="1115" t="n">
        <v>4480</v>
      </c>
      <c r="G259" s="1115" t="n">
        <v>5130</v>
      </c>
      <c r="H259" s="1115" t="s">
        <v>1290</v>
      </c>
      <c r="I259" s="1115" t="n">
        <v>5250</v>
      </c>
      <c r="J259" s="1115" t="s">
        <v>1248</v>
      </c>
      <c r="L259" s="1115" t="n">
        <f aca="false">LOOKUP(M259,$E$6:$F$4002)</f>
        <v>66800</v>
      </c>
      <c r="M259" s="1115" t="s">
        <v>1291</v>
      </c>
      <c r="N259" s="1127" t="n">
        <v>0.96</v>
      </c>
      <c r="AU259" s="504"/>
      <c r="AV259" s="504"/>
      <c r="AW259" s="504"/>
      <c r="AX259" s="504"/>
      <c r="AY259" s="504"/>
      <c r="AZ259" s="504"/>
      <c r="BA259" s="504"/>
    </row>
    <row r="260" customFormat="false" ht="14.1" hidden="false" customHeight="true" outlineLevel="0" collapsed="false">
      <c r="A260" s="1115" t="n">
        <v>5200</v>
      </c>
      <c r="B260" s="1115" t="s">
        <v>157</v>
      </c>
      <c r="C260" s="1115" t="n">
        <v>5200</v>
      </c>
      <c r="D260" s="1115" t="s">
        <v>1292</v>
      </c>
      <c r="E260" s="1115" t="s">
        <v>1293</v>
      </c>
      <c r="F260" s="1115" t="n">
        <v>82395</v>
      </c>
      <c r="G260" s="1115" t="n">
        <v>5200</v>
      </c>
      <c r="H260" s="1115" t="s">
        <v>1292</v>
      </c>
      <c r="I260" s="1115" t="n">
        <v>5310</v>
      </c>
      <c r="J260" s="1115" t="s">
        <v>1248</v>
      </c>
      <c r="L260" s="1115" t="n">
        <f aca="false">LOOKUP(M260,$E$6:$F$4002)</f>
        <v>16300</v>
      </c>
      <c r="M260" s="1115" t="s">
        <v>1294</v>
      </c>
      <c r="N260" s="1127" t="n">
        <v>1.01</v>
      </c>
      <c r="AU260" s="504"/>
      <c r="AV260" s="504"/>
      <c r="AW260" s="504"/>
      <c r="AX260" s="504"/>
      <c r="AY260" s="504"/>
      <c r="AZ260" s="504"/>
      <c r="BA260" s="504"/>
    </row>
    <row r="261" customFormat="false" ht="14.1" hidden="false" customHeight="true" outlineLevel="0" collapsed="false">
      <c r="A261" s="1115" t="n">
        <v>5250</v>
      </c>
      <c r="B261" s="1115" t="s">
        <v>157</v>
      </c>
      <c r="C261" s="1115" t="n">
        <v>5250</v>
      </c>
      <c r="D261" s="1115" t="s">
        <v>1295</v>
      </c>
      <c r="E261" s="1115" t="s">
        <v>1296</v>
      </c>
      <c r="F261" s="1115" t="n">
        <v>44690</v>
      </c>
      <c r="G261" s="1115" t="n">
        <v>5250</v>
      </c>
      <c r="H261" s="1115" t="s">
        <v>1295</v>
      </c>
      <c r="I261" s="1115" t="n">
        <v>5400</v>
      </c>
      <c r="J261" s="1115" t="s">
        <v>1248</v>
      </c>
      <c r="L261" s="1115" t="n">
        <f aca="false">LOOKUP(M261,$E$6:$F$4002)</f>
        <v>32500</v>
      </c>
      <c r="M261" s="1115" t="s">
        <v>1297</v>
      </c>
      <c r="N261" s="1127" t="n">
        <v>0.95</v>
      </c>
      <c r="AU261" s="504"/>
      <c r="AV261" s="504"/>
      <c r="AW261" s="504"/>
      <c r="AX261" s="504"/>
      <c r="AY261" s="504"/>
      <c r="AZ261" s="504"/>
      <c r="BA261" s="504"/>
    </row>
    <row r="262" customFormat="false" ht="14.1" hidden="false" customHeight="true" outlineLevel="0" collapsed="false">
      <c r="A262" s="1115" t="n">
        <v>5310</v>
      </c>
      <c r="B262" s="1115" t="s">
        <v>157</v>
      </c>
      <c r="C262" s="1115" t="n">
        <v>5310</v>
      </c>
      <c r="D262" s="1115" t="s">
        <v>1298</v>
      </c>
      <c r="E262" s="1115" t="s">
        <v>1299</v>
      </c>
      <c r="F262" s="1115" t="n">
        <v>83815</v>
      </c>
      <c r="G262" s="1115" t="n">
        <v>5310</v>
      </c>
      <c r="H262" s="1115" t="s">
        <v>1298</v>
      </c>
      <c r="I262" s="1115" t="n">
        <v>5430</v>
      </c>
      <c r="J262" s="1115" t="s">
        <v>1248</v>
      </c>
      <c r="L262" s="1115" t="n">
        <f aca="false">LOOKUP(M262,$E$6:$F$4002)</f>
        <v>35300</v>
      </c>
      <c r="M262" s="1115" t="s">
        <v>1300</v>
      </c>
      <c r="N262" s="1127" t="n">
        <v>0.96</v>
      </c>
      <c r="AU262" s="504"/>
      <c r="AV262" s="504"/>
      <c r="AW262" s="504"/>
      <c r="AX262" s="504"/>
      <c r="AY262" s="504"/>
      <c r="AZ262" s="504"/>
      <c r="BA262" s="504"/>
    </row>
    <row r="263" customFormat="false" ht="14.1" hidden="false" customHeight="true" outlineLevel="0" collapsed="false">
      <c r="A263" s="1115" t="n">
        <v>5400</v>
      </c>
      <c r="B263" s="1115" t="s">
        <v>157</v>
      </c>
      <c r="C263" s="1115" t="n">
        <v>5400</v>
      </c>
      <c r="D263" s="1115" t="s">
        <v>1301</v>
      </c>
      <c r="E263" s="1115" t="s">
        <v>1302</v>
      </c>
      <c r="F263" s="1115" t="n">
        <v>32420</v>
      </c>
      <c r="G263" s="1115" t="n">
        <v>5400</v>
      </c>
      <c r="H263" s="1115" t="s">
        <v>1301</v>
      </c>
      <c r="I263" s="1115" t="n">
        <v>5450</v>
      </c>
      <c r="J263" s="1115" t="s">
        <v>1248</v>
      </c>
      <c r="L263" s="1115" t="n">
        <f aca="false">LOOKUP(M263,$E$6:$F$4002)</f>
        <v>86300</v>
      </c>
      <c r="M263" s="1115" t="s">
        <v>1303</v>
      </c>
      <c r="N263" s="1127" t="n">
        <v>0.99</v>
      </c>
      <c r="AU263" s="504"/>
      <c r="AV263" s="504"/>
      <c r="AW263" s="504"/>
      <c r="AX263" s="504"/>
      <c r="AY263" s="504"/>
      <c r="AZ263" s="504"/>
      <c r="BA263" s="504"/>
    </row>
    <row r="264" customFormat="false" ht="14.1" hidden="false" customHeight="true" outlineLevel="0" collapsed="false">
      <c r="A264" s="1115" t="n">
        <v>5430</v>
      </c>
      <c r="B264" s="1115" t="s">
        <v>157</v>
      </c>
      <c r="C264" s="1115" t="n">
        <v>5430</v>
      </c>
      <c r="D264" s="1115" t="s">
        <v>1304</v>
      </c>
      <c r="E264" s="1115" t="s">
        <v>1305</v>
      </c>
      <c r="F264" s="1115" t="n">
        <v>93670</v>
      </c>
      <c r="G264" s="1115" t="n">
        <v>5430</v>
      </c>
      <c r="H264" s="1115" t="s">
        <v>1304</v>
      </c>
      <c r="I264" s="1115" t="n">
        <v>5460</v>
      </c>
      <c r="J264" s="1115" t="s">
        <v>864</v>
      </c>
      <c r="L264" s="1115" t="n">
        <f aca="false">LOOKUP(M264,$E$6:$F$4002)</f>
        <v>90800</v>
      </c>
      <c r="M264" s="1115" t="s">
        <v>169</v>
      </c>
      <c r="N264" s="1127" t="n">
        <v>1</v>
      </c>
      <c r="AU264" s="504"/>
      <c r="AV264" s="504"/>
      <c r="AW264" s="504"/>
      <c r="AX264" s="504"/>
      <c r="AY264" s="504"/>
      <c r="AZ264" s="504"/>
      <c r="BA264" s="504"/>
    </row>
    <row r="265" customFormat="false" ht="14.1" hidden="false" customHeight="true" outlineLevel="0" collapsed="false">
      <c r="A265" s="1115" t="n">
        <v>5450</v>
      </c>
      <c r="B265" s="1115" t="s">
        <v>157</v>
      </c>
      <c r="C265" s="1115" t="n">
        <v>5450</v>
      </c>
      <c r="D265" s="1115" t="s">
        <v>1306</v>
      </c>
      <c r="E265" s="1115" t="s">
        <v>1307</v>
      </c>
      <c r="F265" s="1115" t="n">
        <v>71745</v>
      </c>
      <c r="G265" s="1115" t="n">
        <v>5450</v>
      </c>
      <c r="H265" s="1115" t="s">
        <v>1306</v>
      </c>
      <c r="I265" s="1115" t="n">
        <v>5470</v>
      </c>
      <c r="J265" s="1115" t="s">
        <v>864</v>
      </c>
      <c r="L265" s="1115" t="n">
        <f aca="false">LOOKUP(M265,$E$6:$F$4002)</f>
        <v>90800</v>
      </c>
      <c r="M265" s="1115" t="s">
        <v>169</v>
      </c>
      <c r="N265" s="1127" t="n">
        <v>0.98</v>
      </c>
      <c r="AU265" s="504"/>
      <c r="AV265" s="504"/>
      <c r="AW265" s="504"/>
      <c r="AX265" s="504"/>
      <c r="AY265" s="504"/>
      <c r="AZ265" s="504"/>
      <c r="BA265" s="504"/>
    </row>
    <row r="266" customFormat="false" ht="14.1" hidden="false" customHeight="true" outlineLevel="0" collapsed="false">
      <c r="A266" s="1115" t="n">
        <v>5460</v>
      </c>
      <c r="B266" s="1115" t="s">
        <v>157</v>
      </c>
      <c r="C266" s="1115" t="n">
        <v>5460</v>
      </c>
      <c r="D266" s="1115" t="s">
        <v>864</v>
      </c>
      <c r="E266" s="1115" t="s">
        <v>1308</v>
      </c>
      <c r="F266" s="1115" t="n">
        <v>82230</v>
      </c>
      <c r="G266" s="1115" t="n">
        <v>5460</v>
      </c>
      <c r="H266" s="1115" t="s">
        <v>864</v>
      </c>
      <c r="I266" s="1115" t="n">
        <v>5510</v>
      </c>
      <c r="J266" s="1115" t="s">
        <v>864</v>
      </c>
      <c r="L266" s="1115" t="n">
        <f aca="false">LOOKUP(M266,$E$6:$F$4002)</f>
        <v>90460</v>
      </c>
      <c r="M266" s="1115" t="s">
        <v>1309</v>
      </c>
      <c r="N266" s="1127" t="n">
        <v>1</v>
      </c>
      <c r="AU266" s="504"/>
      <c r="AV266" s="504"/>
      <c r="AW266" s="504"/>
      <c r="AX266" s="504"/>
      <c r="AY266" s="504"/>
      <c r="AZ266" s="504"/>
      <c r="BA266" s="504"/>
    </row>
    <row r="267" customFormat="false" ht="14.1" hidden="false" customHeight="true" outlineLevel="0" collapsed="false">
      <c r="A267" s="1115" t="n">
        <v>5470</v>
      </c>
      <c r="B267" s="1115" t="s">
        <v>157</v>
      </c>
      <c r="C267" s="1115" t="n">
        <v>5470</v>
      </c>
      <c r="D267" s="1115" t="s">
        <v>864</v>
      </c>
      <c r="E267" s="1115" t="s">
        <v>1310</v>
      </c>
      <c r="F267" s="1115" t="n">
        <v>42330</v>
      </c>
      <c r="G267" s="1115" t="n">
        <v>5470</v>
      </c>
      <c r="H267" s="1115" t="s">
        <v>864</v>
      </c>
      <c r="I267" s="1115" t="n">
        <v>5620</v>
      </c>
      <c r="J267" s="1115" t="s">
        <v>864</v>
      </c>
      <c r="L267" s="1115" t="n">
        <f aca="false">LOOKUP(M267,$E$6:$F$4002)</f>
        <v>83520</v>
      </c>
      <c r="M267" s="1115" t="s">
        <v>1311</v>
      </c>
      <c r="N267" s="1127" t="n">
        <v>1.01</v>
      </c>
      <c r="AU267" s="504"/>
      <c r="AV267" s="504"/>
      <c r="AW267" s="504"/>
      <c r="AX267" s="504"/>
      <c r="AY267" s="504"/>
      <c r="AZ267" s="504"/>
      <c r="BA267" s="504"/>
    </row>
    <row r="268" customFormat="false" ht="14.1" hidden="false" customHeight="true" outlineLevel="0" collapsed="false">
      <c r="A268" s="1115" t="n">
        <v>5510</v>
      </c>
      <c r="B268" s="1115" t="s">
        <v>157</v>
      </c>
      <c r="C268" s="1115" t="n">
        <v>5510</v>
      </c>
      <c r="D268" s="1115" t="s">
        <v>864</v>
      </c>
      <c r="E268" s="1115" t="s">
        <v>1312</v>
      </c>
      <c r="F268" s="1115" t="n">
        <v>85530</v>
      </c>
      <c r="G268" s="1115" t="n">
        <v>5510</v>
      </c>
      <c r="H268" s="1115" t="s">
        <v>864</v>
      </c>
      <c r="I268" s="1115" t="n">
        <v>5720</v>
      </c>
      <c r="J268" s="1115" t="s">
        <v>864</v>
      </c>
      <c r="L268" s="1115" t="n">
        <f aca="false">LOOKUP(M268,$E$6:$F$4002)</f>
        <v>17500</v>
      </c>
      <c r="M268" s="1115" t="s">
        <v>1313</v>
      </c>
      <c r="N268" s="1127" t="n">
        <v>0.97</v>
      </c>
      <c r="AU268" s="504"/>
      <c r="AV268" s="504"/>
      <c r="AW268" s="504"/>
      <c r="AX268" s="504"/>
      <c r="AY268" s="504"/>
      <c r="AZ268" s="504"/>
      <c r="BA268" s="504"/>
    </row>
    <row r="269" customFormat="false" ht="14.1" hidden="false" customHeight="true" outlineLevel="0" collapsed="false">
      <c r="A269" s="1115" t="n">
        <v>5620</v>
      </c>
      <c r="B269" s="1115" t="s">
        <v>157</v>
      </c>
      <c r="C269" s="1115" t="n">
        <v>5620</v>
      </c>
      <c r="D269" s="1115" t="s">
        <v>864</v>
      </c>
      <c r="E269" s="1115" t="s">
        <v>808</v>
      </c>
      <c r="F269" s="1115" t="n">
        <v>90480</v>
      </c>
      <c r="G269" s="1115" t="n">
        <v>5620</v>
      </c>
      <c r="H269" s="1115" t="s">
        <v>864</v>
      </c>
      <c r="I269" s="1115" t="n">
        <v>5800</v>
      </c>
      <c r="J269" s="1115" t="s">
        <v>864</v>
      </c>
      <c r="L269" s="1115" t="n">
        <f aca="false">LOOKUP(M269,$E$6:$F$4002)</f>
        <v>21530</v>
      </c>
      <c r="M269" s="1115" t="s">
        <v>1314</v>
      </c>
      <c r="N269" s="1127" t="n">
        <v>0.98</v>
      </c>
      <c r="AU269" s="504"/>
      <c r="AV269" s="504"/>
      <c r="AW269" s="504"/>
      <c r="AX269" s="504"/>
      <c r="AY269" s="504"/>
      <c r="AZ269" s="504"/>
      <c r="BA269" s="504"/>
    </row>
    <row r="270" customFormat="false" ht="14.1" hidden="false" customHeight="true" outlineLevel="0" collapsed="false">
      <c r="A270" s="1115" t="n">
        <v>5720</v>
      </c>
      <c r="B270" s="1115" t="s">
        <v>157</v>
      </c>
      <c r="C270" s="1115" t="n">
        <v>5720</v>
      </c>
      <c r="D270" s="1115" t="s">
        <v>864</v>
      </c>
      <c r="E270" s="1115" t="s">
        <v>1315</v>
      </c>
      <c r="F270" s="1115" t="n">
        <v>32240</v>
      </c>
      <c r="G270" s="1115" t="n">
        <v>5720</v>
      </c>
      <c r="H270" s="1115" t="s">
        <v>864</v>
      </c>
      <c r="I270" s="1115" t="n">
        <v>5810</v>
      </c>
      <c r="J270" s="1115" t="s">
        <v>864</v>
      </c>
      <c r="L270" s="1115" t="n">
        <f aca="false">LOOKUP(M270,$E$6:$F$4002)</f>
        <v>88300</v>
      </c>
      <c r="M270" s="1115" t="s">
        <v>1316</v>
      </c>
      <c r="N270" s="1127" t="n">
        <v>0.99</v>
      </c>
      <c r="AU270" s="504"/>
      <c r="AV270" s="504"/>
      <c r="AW270" s="504"/>
      <c r="AX270" s="504"/>
      <c r="AY270" s="504"/>
      <c r="AZ270" s="504"/>
      <c r="BA270" s="504"/>
    </row>
    <row r="271" customFormat="false" ht="14.1" hidden="false" customHeight="true" outlineLevel="0" collapsed="false">
      <c r="A271" s="1115" t="n">
        <v>5800</v>
      </c>
      <c r="B271" s="1115" t="s">
        <v>157</v>
      </c>
      <c r="C271" s="1115" t="n">
        <v>5800</v>
      </c>
      <c r="D271" s="1115" t="s">
        <v>864</v>
      </c>
      <c r="E271" s="1115" t="s">
        <v>1317</v>
      </c>
      <c r="F271" s="1115" t="n">
        <v>25240</v>
      </c>
      <c r="G271" s="1115" t="n">
        <v>5800</v>
      </c>
      <c r="H271" s="1115" t="s">
        <v>864</v>
      </c>
      <c r="I271" s="1115" t="n">
        <v>5820</v>
      </c>
      <c r="J271" s="1115" t="s">
        <v>864</v>
      </c>
      <c r="L271" s="1115" t="n">
        <f aca="false">LOOKUP(M271,$E$6:$F$4002)</f>
        <v>21600</v>
      </c>
      <c r="M271" s="1115" t="s">
        <v>1318</v>
      </c>
      <c r="N271" s="1127" t="n">
        <v>1.02</v>
      </c>
      <c r="AU271" s="504"/>
      <c r="AV271" s="504"/>
      <c r="AW271" s="504"/>
      <c r="AX271" s="504"/>
      <c r="AY271" s="504"/>
      <c r="AZ271" s="504"/>
      <c r="BA271" s="504"/>
    </row>
    <row r="272" customFormat="false" ht="14.1" hidden="false" customHeight="true" outlineLevel="0" collapsed="false">
      <c r="A272" s="1115" t="n">
        <v>5810</v>
      </c>
      <c r="B272" s="1115" t="s">
        <v>157</v>
      </c>
      <c r="C272" s="1115" t="n">
        <v>5810</v>
      </c>
      <c r="D272" s="1115" t="s">
        <v>864</v>
      </c>
      <c r="E272" s="1115" t="s">
        <v>1319</v>
      </c>
      <c r="F272" s="1115" t="n">
        <v>88320</v>
      </c>
      <c r="G272" s="1115" t="n">
        <v>5810</v>
      </c>
      <c r="H272" s="1115" t="s">
        <v>864</v>
      </c>
      <c r="I272" s="1115" t="n">
        <v>5830</v>
      </c>
      <c r="J272" s="1115" t="s">
        <v>864</v>
      </c>
      <c r="L272" s="1115" t="n">
        <f aca="false">LOOKUP(M272,$E$6:$F$4002)</f>
        <v>59100</v>
      </c>
      <c r="M272" s="1115" t="s">
        <v>1320</v>
      </c>
      <c r="N272" s="1127" t="n">
        <v>0.96</v>
      </c>
      <c r="AU272" s="504"/>
      <c r="AV272" s="504"/>
      <c r="AW272" s="504"/>
      <c r="AX272" s="504"/>
      <c r="AY272" s="504"/>
      <c r="AZ272" s="504"/>
      <c r="BA272" s="504"/>
    </row>
    <row r="273" customFormat="false" ht="14.1" hidden="false" customHeight="true" outlineLevel="0" collapsed="false">
      <c r="A273" s="1115" t="n">
        <v>5820</v>
      </c>
      <c r="B273" s="1115" t="s">
        <v>157</v>
      </c>
      <c r="C273" s="1115" t="n">
        <v>5820</v>
      </c>
      <c r="D273" s="1115" t="s">
        <v>864</v>
      </c>
      <c r="E273" s="1115" t="s">
        <v>1321</v>
      </c>
      <c r="F273" s="1115" t="n">
        <v>66330</v>
      </c>
      <c r="G273" s="1115" t="n">
        <v>5820</v>
      </c>
      <c r="H273" s="1115" t="s">
        <v>864</v>
      </c>
      <c r="I273" s="1115" t="n">
        <v>5840</v>
      </c>
      <c r="J273" s="1115" t="s">
        <v>864</v>
      </c>
      <c r="L273" s="1115" t="n">
        <f aca="false">LOOKUP(M273,$E$6:$F$4002)</f>
        <v>39700</v>
      </c>
      <c r="M273" s="1115" t="s">
        <v>1322</v>
      </c>
      <c r="N273" s="1127" t="n">
        <v>0.94</v>
      </c>
      <c r="AU273" s="504"/>
      <c r="AV273" s="504"/>
      <c r="AW273" s="504"/>
      <c r="AX273" s="504"/>
      <c r="AY273" s="504"/>
      <c r="AZ273" s="504"/>
      <c r="BA273" s="504"/>
    </row>
    <row r="274" customFormat="false" ht="14.1" hidden="false" customHeight="true" outlineLevel="0" collapsed="false">
      <c r="A274" s="1115" t="n">
        <v>5830</v>
      </c>
      <c r="B274" s="1115" t="s">
        <v>157</v>
      </c>
      <c r="C274" s="1115" t="n">
        <v>5830</v>
      </c>
      <c r="D274" s="1115" t="s">
        <v>864</v>
      </c>
      <c r="E274" s="1115" t="s">
        <v>1323</v>
      </c>
      <c r="F274" s="1115" t="n">
        <v>63680</v>
      </c>
      <c r="G274" s="1115" t="n">
        <v>5830</v>
      </c>
      <c r="H274" s="1115" t="s">
        <v>864</v>
      </c>
      <c r="I274" s="1115" t="n">
        <v>5850</v>
      </c>
      <c r="J274" s="1115" t="s">
        <v>864</v>
      </c>
      <c r="L274" s="1115" t="n">
        <f aca="false">LOOKUP(M274,$E$6:$F$4002)</f>
        <v>25780</v>
      </c>
      <c r="M274" s="1115" t="s">
        <v>1324</v>
      </c>
      <c r="N274" s="1127" t="n">
        <v>0.93</v>
      </c>
      <c r="AU274" s="504"/>
      <c r="AV274" s="504"/>
      <c r="AW274" s="504"/>
      <c r="AX274" s="504"/>
      <c r="AY274" s="504"/>
      <c r="AZ274" s="504"/>
      <c r="BA274" s="504"/>
    </row>
    <row r="275" customFormat="false" ht="14.1" hidden="false" customHeight="true" outlineLevel="0" collapsed="false">
      <c r="A275" s="1115" t="n">
        <v>5840</v>
      </c>
      <c r="B275" s="1115" t="s">
        <v>157</v>
      </c>
      <c r="C275" s="1115" t="n">
        <v>5840</v>
      </c>
      <c r="D275" s="1115" t="s">
        <v>864</v>
      </c>
      <c r="E275" s="1115" t="s">
        <v>812</v>
      </c>
      <c r="F275" s="1115" t="n">
        <v>24800</v>
      </c>
      <c r="G275" s="1115" t="n">
        <v>5840</v>
      </c>
      <c r="H275" s="1115" t="s">
        <v>864</v>
      </c>
      <c r="I275" s="1115" t="n">
        <v>5860</v>
      </c>
      <c r="J275" s="1115" t="s">
        <v>864</v>
      </c>
      <c r="L275" s="1115" t="n">
        <f aca="false">LOOKUP(M275,$E$6:$F$4002)</f>
        <v>98500</v>
      </c>
      <c r="M275" s="1115" t="s">
        <v>1325</v>
      </c>
      <c r="N275" s="1127" t="n">
        <v>1.01</v>
      </c>
    </row>
    <row r="276" customFormat="false" ht="14.1" hidden="false" customHeight="true" outlineLevel="0" collapsed="false">
      <c r="A276" s="1115" t="n">
        <v>5850</v>
      </c>
      <c r="B276" s="1115" t="s">
        <v>157</v>
      </c>
      <c r="C276" s="1115" t="n">
        <v>5850</v>
      </c>
      <c r="D276" s="1115" t="s">
        <v>864</v>
      </c>
      <c r="E276" s="1115" t="s">
        <v>812</v>
      </c>
      <c r="F276" s="1115" t="n">
        <v>24910</v>
      </c>
      <c r="G276" s="1115" t="n">
        <v>5850</v>
      </c>
      <c r="H276" s="1115" t="s">
        <v>864</v>
      </c>
      <c r="I276" s="1115" t="n">
        <v>5880</v>
      </c>
      <c r="J276" s="1115" t="s">
        <v>864</v>
      </c>
      <c r="L276" s="1115" t="n">
        <f aca="false">LOOKUP(M276,$E$6:$F$4002)</f>
        <v>95700</v>
      </c>
      <c r="M276" s="1115" t="s">
        <v>1326</v>
      </c>
      <c r="N276" s="1127" t="n">
        <v>1.04</v>
      </c>
    </row>
    <row r="277" customFormat="false" ht="14.1" hidden="false" customHeight="true" outlineLevel="0" collapsed="false">
      <c r="A277" s="1115" t="n">
        <v>5860</v>
      </c>
      <c r="B277" s="1115" t="s">
        <v>157</v>
      </c>
      <c r="C277" s="1115" t="n">
        <v>5860</v>
      </c>
      <c r="D277" s="1115" t="s">
        <v>864</v>
      </c>
      <c r="E277" s="1115" t="s">
        <v>1327</v>
      </c>
      <c r="F277" s="1115" t="n">
        <v>7190</v>
      </c>
      <c r="G277" s="1115" t="n">
        <v>5860</v>
      </c>
      <c r="H277" s="1115" t="s">
        <v>864</v>
      </c>
      <c r="I277" s="1115" t="n">
        <v>5900</v>
      </c>
      <c r="J277" s="1115" t="s">
        <v>864</v>
      </c>
      <c r="L277" s="1115" t="n">
        <f aca="false">LOOKUP(M277,$E$6:$F$4002)</f>
        <v>69950</v>
      </c>
      <c r="M277" s="1115" t="s">
        <v>1328</v>
      </c>
      <c r="N277" s="1127" t="n">
        <v>0.98</v>
      </c>
    </row>
    <row r="278" customFormat="false" ht="14.1" hidden="false" customHeight="true" outlineLevel="0" collapsed="false">
      <c r="A278" s="1115" t="n">
        <v>5880</v>
      </c>
      <c r="B278" s="1115" t="s">
        <v>157</v>
      </c>
      <c r="C278" s="1115" t="n">
        <v>5880</v>
      </c>
      <c r="D278" s="1115" t="s">
        <v>864</v>
      </c>
      <c r="E278" s="1115" t="s">
        <v>1329</v>
      </c>
      <c r="F278" s="1115" t="n">
        <v>31830</v>
      </c>
      <c r="G278" s="1115" t="n">
        <v>5880</v>
      </c>
      <c r="H278" s="1115" t="s">
        <v>864</v>
      </c>
      <c r="I278" s="1115" t="n">
        <v>5950</v>
      </c>
      <c r="J278" s="1115" t="s">
        <v>864</v>
      </c>
      <c r="L278" s="1115" t="n">
        <f aca="false">LOOKUP(M278,$E$6:$F$4002)</f>
        <v>7930</v>
      </c>
      <c r="M278" s="1115" t="s">
        <v>1330</v>
      </c>
      <c r="N278" s="1127" t="n">
        <v>0.97</v>
      </c>
    </row>
    <row r="279" customFormat="false" ht="14.1" hidden="false" customHeight="true" outlineLevel="0" collapsed="false">
      <c r="A279" s="1115" t="n">
        <v>5900</v>
      </c>
      <c r="B279" s="1115" t="s">
        <v>157</v>
      </c>
      <c r="C279" s="1115" t="n">
        <v>5900</v>
      </c>
      <c r="D279" s="1115" t="s">
        <v>864</v>
      </c>
      <c r="E279" s="1115" t="s">
        <v>1329</v>
      </c>
      <c r="F279" s="1115" t="n">
        <v>31830</v>
      </c>
      <c r="G279" s="1115" t="n">
        <v>5900</v>
      </c>
      <c r="H279" s="1115" t="s">
        <v>864</v>
      </c>
      <c r="I279" s="1115" t="n">
        <v>6100</v>
      </c>
      <c r="J279" s="1115" t="s">
        <v>1331</v>
      </c>
      <c r="L279" s="1115" t="n">
        <f aca="false">LOOKUP(M279,$E$6:$F$4002)</f>
        <v>25520</v>
      </c>
      <c r="M279" s="1115" t="s">
        <v>1332</v>
      </c>
      <c r="N279" s="1127" t="n">
        <v>1</v>
      </c>
    </row>
    <row r="280" customFormat="false" ht="14.1" hidden="false" customHeight="true" outlineLevel="0" collapsed="false">
      <c r="A280" s="1115" t="n">
        <v>5950</v>
      </c>
      <c r="B280" s="1115" t="s">
        <v>157</v>
      </c>
      <c r="C280" s="1115" t="n">
        <v>5950</v>
      </c>
      <c r="D280" s="1115" t="s">
        <v>864</v>
      </c>
      <c r="E280" s="1115" t="s">
        <v>1333</v>
      </c>
      <c r="F280" s="1115" t="n">
        <v>77240</v>
      </c>
      <c r="G280" s="1115" t="n">
        <v>5950</v>
      </c>
      <c r="H280" s="1115" t="s">
        <v>864</v>
      </c>
      <c r="I280" s="1115" t="n">
        <v>6150</v>
      </c>
      <c r="J280" s="1115" t="s">
        <v>1331</v>
      </c>
      <c r="L280" s="1115" t="n">
        <f aca="false">LOOKUP(M280,$E$6:$F$4002)</f>
        <v>25360</v>
      </c>
      <c r="M280" s="1115" t="s">
        <v>1334</v>
      </c>
      <c r="N280" s="1127" t="n">
        <v>0.96</v>
      </c>
    </row>
    <row r="281" customFormat="false" ht="14.1" hidden="false" customHeight="true" outlineLevel="0" collapsed="false">
      <c r="A281" s="1115" t="n">
        <v>6100</v>
      </c>
      <c r="B281" s="1115" t="s">
        <v>157</v>
      </c>
      <c r="C281" s="1115" t="n">
        <v>6100</v>
      </c>
      <c r="D281" s="1115" t="s">
        <v>1331</v>
      </c>
      <c r="E281" s="1115" t="s">
        <v>1335</v>
      </c>
      <c r="F281" s="1115" t="n">
        <v>60560</v>
      </c>
      <c r="G281" s="1115" t="n">
        <v>6100</v>
      </c>
      <c r="H281" s="1115" t="s">
        <v>1331</v>
      </c>
      <c r="I281" s="1115" t="n">
        <v>6200</v>
      </c>
      <c r="J281" s="1115" t="s">
        <v>1331</v>
      </c>
      <c r="L281" s="1115" t="n">
        <f aca="false">LOOKUP(M281,$E$6:$F$4002)</f>
        <v>19430</v>
      </c>
      <c r="M281" s="1115" t="s">
        <v>1336</v>
      </c>
      <c r="N281" s="1127" t="n">
        <v>0.98</v>
      </c>
    </row>
    <row r="282" customFormat="false" ht="14.1" hidden="false" customHeight="true" outlineLevel="0" collapsed="false">
      <c r="A282" s="1115" t="n">
        <v>6150</v>
      </c>
      <c r="B282" s="1115" t="s">
        <v>157</v>
      </c>
      <c r="C282" s="1115" t="n">
        <v>6150</v>
      </c>
      <c r="D282" s="1115" t="s">
        <v>1331</v>
      </c>
      <c r="E282" s="1115" t="s">
        <v>1337</v>
      </c>
      <c r="F282" s="1115" t="n">
        <v>35600</v>
      </c>
      <c r="G282" s="1115" t="n">
        <v>6150</v>
      </c>
      <c r="H282" s="1115" t="s">
        <v>1331</v>
      </c>
      <c r="I282" s="1115" t="n">
        <v>6400</v>
      </c>
      <c r="J282" s="1115" t="s">
        <v>1331</v>
      </c>
      <c r="L282" s="1115" t="n">
        <f aca="false">LOOKUP(M282,$E$6:$F$4002)</f>
        <v>41900</v>
      </c>
      <c r="M282" s="1115" t="s">
        <v>1338</v>
      </c>
      <c r="N282" s="1127" t="n">
        <v>1</v>
      </c>
    </row>
    <row r="283" customFormat="false" ht="14.1" hidden="false" customHeight="true" outlineLevel="0" collapsed="false">
      <c r="A283" s="1115" t="n">
        <v>6200</v>
      </c>
      <c r="B283" s="1115" t="s">
        <v>157</v>
      </c>
      <c r="C283" s="1115" t="n">
        <v>6200</v>
      </c>
      <c r="D283" s="1115" t="s">
        <v>1331</v>
      </c>
      <c r="E283" s="1115" t="s">
        <v>1339</v>
      </c>
      <c r="F283" s="1115" t="n">
        <v>7650</v>
      </c>
      <c r="G283" s="1115" t="n">
        <v>6200</v>
      </c>
      <c r="H283" s="1115" t="s">
        <v>1331</v>
      </c>
      <c r="I283" s="1115" t="n">
        <v>6450</v>
      </c>
      <c r="J283" s="1115" t="s">
        <v>1331</v>
      </c>
      <c r="L283" s="1115" t="n">
        <f aca="false">LOOKUP(M283,$E$6:$F$4002)</f>
        <v>73410</v>
      </c>
      <c r="M283" s="1115" t="s">
        <v>1340</v>
      </c>
      <c r="N283" s="1127" t="n">
        <v>1</v>
      </c>
    </row>
    <row r="284" customFormat="false" ht="14.1" hidden="false" customHeight="true" outlineLevel="0" collapsed="false">
      <c r="A284" s="1115" t="n">
        <v>6400</v>
      </c>
      <c r="B284" s="1115" t="s">
        <v>157</v>
      </c>
      <c r="C284" s="1115" t="n">
        <v>6400</v>
      </c>
      <c r="D284" s="1115" t="s">
        <v>1331</v>
      </c>
      <c r="E284" s="1115" t="s">
        <v>1341</v>
      </c>
      <c r="F284" s="1115" t="n">
        <v>52850</v>
      </c>
      <c r="G284" s="1115" t="n">
        <v>6400</v>
      </c>
      <c r="H284" s="1115" t="s">
        <v>1331</v>
      </c>
      <c r="I284" s="1115" t="n">
        <v>6530</v>
      </c>
      <c r="J284" s="1115" t="s">
        <v>1331</v>
      </c>
      <c r="L284" s="1115" t="n">
        <f aca="false">LOOKUP(M284,$E$6:$F$4002)</f>
        <v>72400</v>
      </c>
      <c r="M284" s="1115" t="s">
        <v>1342</v>
      </c>
      <c r="N284" s="1127" t="n">
        <v>0.97</v>
      </c>
    </row>
    <row r="285" customFormat="false" ht="14.1" hidden="false" customHeight="true" outlineLevel="0" collapsed="false">
      <c r="A285" s="1115" t="n">
        <v>6450</v>
      </c>
      <c r="B285" s="1115" t="s">
        <v>157</v>
      </c>
      <c r="C285" s="1115" t="n">
        <v>6450</v>
      </c>
      <c r="D285" s="1115" t="s">
        <v>1331</v>
      </c>
      <c r="E285" s="1115" t="s">
        <v>1343</v>
      </c>
      <c r="F285" s="1115" t="n">
        <v>90860</v>
      </c>
      <c r="G285" s="1115" t="n">
        <v>6450</v>
      </c>
      <c r="H285" s="1115" t="s">
        <v>1331</v>
      </c>
      <c r="I285" s="1115" t="n">
        <v>6650</v>
      </c>
      <c r="J285" s="1115" t="s">
        <v>1331</v>
      </c>
      <c r="L285" s="1115" t="n">
        <f aca="false">LOOKUP(M285,$E$6:$F$4002)</f>
        <v>68660</v>
      </c>
      <c r="M285" s="1115" t="s">
        <v>1344</v>
      </c>
      <c r="N285" s="1127" t="n">
        <v>0.95</v>
      </c>
    </row>
    <row r="286" customFormat="false" ht="14.1" hidden="false" customHeight="true" outlineLevel="0" collapsed="false">
      <c r="A286" s="1115" t="n">
        <v>6530</v>
      </c>
      <c r="B286" s="1115" t="s">
        <v>157</v>
      </c>
      <c r="C286" s="1115" t="n">
        <v>6530</v>
      </c>
      <c r="D286" s="1115" t="s">
        <v>1345</v>
      </c>
      <c r="E286" s="1115" t="s">
        <v>815</v>
      </c>
      <c r="F286" s="1115" t="n">
        <v>69510</v>
      </c>
      <c r="G286" s="1115" t="n">
        <v>6530</v>
      </c>
      <c r="H286" s="1115" t="s">
        <v>1345</v>
      </c>
      <c r="I286" s="1115" t="n">
        <v>6750</v>
      </c>
      <c r="J286" s="1115" t="s">
        <v>1331</v>
      </c>
      <c r="L286" s="1115" t="n">
        <f aca="false">LOOKUP(M286,$E$6:$F$4002)</f>
        <v>44800</v>
      </c>
      <c r="M286" s="1115" t="s">
        <v>1346</v>
      </c>
      <c r="N286" s="1127" t="n">
        <v>1.08</v>
      </c>
    </row>
    <row r="287" customFormat="false" ht="14.1" hidden="false" customHeight="true" outlineLevel="0" collapsed="false">
      <c r="A287" s="1115" t="n">
        <v>6650</v>
      </c>
      <c r="B287" s="1115" t="s">
        <v>157</v>
      </c>
      <c r="C287" s="1115" t="n">
        <v>6650</v>
      </c>
      <c r="D287" s="1115" t="s">
        <v>1347</v>
      </c>
      <c r="E287" s="1115" t="s">
        <v>1348</v>
      </c>
      <c r="F287" s="1115" t="n">
        <v>73350</v>
      </c>
      <c r="G287" s="1115" t="n">
        <v>6650</v>
      </c>
      <c r="H287" s="1115" t="s">
        <v>1347</v>
      </c>
      <c r="I287" s="1115" t="n">
        <v>6830</v>
      </c>
      <c r="J287" s="1115" t="s">
        <v>1331</v>
      </c>
      <c r="L287" s="1115" t="n">
        <f aca="false">LOOKUP(M287,$E$6:$F$4002)</f>
        <v>21500</v>
      </c>
      <c r="M287" s="1115" t="s">
        <v>1349</v>
      </c>
      <c r="N287" s="1127" t="n">
        <v>0.99</v>
      </c>
    </row>
    <row r="288" customFormat="false" ht="14.1" hidden="false" customHeight="true" outlineLevel="0" collapsed="false">
      <c r="A288" s="1115" t="n">
        <v>6750</v>
      </c>
      <c r="B288" s="1115" t="s">
        <v>157</v>
      </c>
      <c r="C288" s="1115" t="n">
        <v>6750</v>
      </c>
      <c r="D288" s="1115" t="s">
        <v>1350</v>
      </c>
      <c r="E288" s="1115" t="s">
        <v>1347</v>
      </c>
      <c r="F288" s="1115" t="n">
        <v>6650</v>
      </c>
      <c r="G288" s="1115" t="n">
        <v>6750</v>
      </c>
      <c r="H288" s="1115" t="s">
        <v>1350</v>
      </c>
      <c r="I288" s="1115" t="n">
        <v>6850</v>
      </c>
      <c r="J288" s="1115" t="s">
        <v>1331</v>
      </c>
      <c r="L288" s="1115" t="n">
        <f aca="false">LOOKUP(M288,$E$6:$F$4002)</f>
        <v>92620</v>
      </c>
      <c r="M288" s="1115" t="s">
        <v>1351</v>
      </c>
      <c r="N288" s="1127" t="n">
        <v>1.03</v>
      </c>
    </row>
    <row r="289" customFormat="false" ht="14.1" hidden="false" customHeight="true" outlineLevel="0" collapsed="false">
      <c r="A289" s="1115" t="n">
        <v>6830</v>
      </c>
      <c r="B289" s="1115" t="s">
        <v>157</v>
      </c>
      <c r="C289" s="1115" t="n">
        <v>6830</v>
      </c>
      <c r="D289" s="1115" t="s">
        <v>1352</v>
      </c>
      <c r="E289" s="1115" t="s">
        <v>821</v>
      </c>
      <c r="F289" s="1115" t="n">
        <v>49400</v>
      </c>
      <c r="G289" s="1115" t="n">
        <v>6830</v>
      </c>
      <c r="H289" s="1115" t="s">
        <v>1352</v>
      </c>
      <c r="I289" s="1115" t="n">
        <v>6880</v>
      </c>
      <c r="J289" s="1115" t="s">
        <v>1331</v>
      </c>
      <c r="L289" s="1115" t="n">
        <f aca="false">LOOKUP(M289,$E$6:$F$4002)</f>
        <v>33980</v>
      </c>
      <c r="M289" s="1115" t="s">
        <v>1353</v>
      </c>
      <c r="N289" s="1127" t="n">
        <v>1</v>
      </c>
    </row>
    <row r="290" customFormat="false" ht="14.1" hidden="false" customHeight="true" outlineLevel="0" collapsed="false">
      <c r="A290" s="1115" t="n">
        <v>6850</v>
      </c>
      <c r="B290" s="1115" t="s">
        <v>157</v>
      </c>
      <c r="C290" s="1115" t="n">
        <v>6850</v>
      </c>
      <c r="D290" s="1115" t="s">
        <v>1354</v>
      </c>
      <c r="E290" s="1115" t="s">
        <v>821</v>
      </c>
      <c r="F290" s="1115" t="n">
        <v>49420</v>
      </c>
      <c r="G290" s="1115" t="n">
        <v>6850</v>
      </c>
      <c r="H290" s="1115" t="s">
        <v>1354</v>
      </c>
      <c r="I290" s="1115" t="n">
        <v>6950</v>
      </c>
      <c r="J290" s="1115" t="s">
        <v>1331</v>
      </c>
      <c r="L290" s="1115" t="n">
        <f aca="false">LOOKUP(M290,$E$6:$F$4002)</f>
        <v>36840</v>
      </c>
      <c r="M290" s="1115" t="s">
        <v>1355</v>
      </c>
      <c r="N290" s="1127" t="n">
        <v>1.02</v>
      </c>
    </row>
    <row r="291" customFormat="false" ht="14.1" hidden="false" customHeight="true" outlineLevel="0" collapsed="false">
      <c r="A291" s="1115" t="n">
        <v>6880</v>
      </c>
      <c r="B291" s="1115" t="s">
        <v>157</v>
      </c>
      <c r="C291" s="1115" t="n">
        <v>6880</v>
      </c>
      <c r="D291" s="1115" t="s">
        <v>1356</v>
      </c>
      <c r="E291" s="1115" t="s">
        <v>823</v>
      </c>
      <c r="F291" s="1115" t="n">
        <v>22240</v>
      </c>
      <c r="G291" s="1115" t="n">
        <v>6880</v>
      </c>
      <c r="H291" s="1115" t="s">
        <v>1356</v>
      </c>
      <c r="I291" s="1115" t="n">
        <v>7110</v>
      </c>
      <c r="J291" s="1115" t="s">
        <v>1331</v>
      </c>
      <c r="L291" s="1115" t="n">
        <f aca="false">LOOKUP(M291,$E$6:$F$4002)</f>
        <v>83700</v>
      </c>
      <c r="M291" s="1115" t="s">
        <v>1357</v>
      </c>
      <c r="N291" s="1127" t="n">
        <v>0.99</v>
      </c>
    </row>
    <row r="292" customFormat="false" ht="14.1" hidden="false" customHeight="true" outlineLevel="0" collapsed="false">
      <c r="A292" s="1115" t="n">
        <v>6950</v>
      </c>
      <c r="B292" s="1115" t="s">
        <v>157</v>
      </c>
      <c r="C292" s="1115" t="n">
        <v>6950</v>
      </c>
      <c r="D292" s="1115" t="s">
        <v>1084</v>
      </c>
      <c r="E292" s="1115" t="s">
        <v>823</v>
      </c>
      <c r="F292" s="1115" t="n">
        <v>22240</v>
      </c>
      <c r="G292" s="1115" t="n">
        <v>6950</v>
      </c>
      <c r="H292" s="1115" t="s">
        <v>1084</v>
      </c>
      <c r="I292" s="1115" t="n">
        <v>7130</v>
      </c>
      <c r="J292" s="1115" t="s">
        <v>1331</v>
      </c>
      <c r="L292" s="1115" t="n">
        <f aca="false">LOOKUP(M292,$E$6:$F$4002)</f>
        <v>29630</v>
      </c>
      <c r="M292" s="1115" t="s">
        <v>1358</v>
      </c>
      <c r="N292" s="1127" t="n">
        <v>1.01</v>
      </c>
    </row>
    <row r="293" customFormat="false" ht="14.1" hidden="false" customHeight="true" outlineLevel="0" collapsed="false">
      <c r="A293" s="1115" t="n">
        <v>7110</v>
      </c>
      <c r="B293" s="1115" t="s">
        <v>157</v>
      </c>
      <c r="C293" s="1115" t="n">
        <v>7110</v>
      </c>
      <c r="D293" s="1115" t="s">
        <v>1359</v>
      </c>
      <c r="E293" s="1115" t="s">
        <v>823</v>
      </c>
      <c r="F293" s="1115" t="n">
        <v>22240</v>
      </c>
      <c r="G293" s="1115" t="n">
        <v>7110</v>
      </c>
      <c r="H293" s="1115" t="s">
        <v>1359</v>
      </c>
      <c r="I293" s="1115" t="n">
        <v>7150</v>
      </c>
      <c r="J293" s="1115" t="s">
        <v>1360</v>
      </c>
      <c r="L293" s="1115" t="n">
        <f aca="false">LOOKUP(M293,$E$6:$F$4002)</f>
        <v>28900</v>
      </c>
      <c r="M293" s="1115" t="s">
        <v>159</v>
      </c>
      <c r="N293" s="1127" t="n">
        <v>1</v>
      </c>
    </row>
    <row r="294" customFormat="false" ht="14.1" hidden="false" customHeight="true" outlineLevel="0" collapsed="false">
      <c r="A294" s="1115" t="n">
        <v>7130</v>
      </c>
      <c r="B294" s="1115" t="s">
        <v>157</v>
      </c>
      <c r="C294" s="1115" t="n">
        <v>7130</v>
      </c>
      <c r="D294" s="1115" t="s">
        <v>902</v>
      </c>
      <c r="E294" s="1115" t="s">
        <v>823</v>
      </c>
      <c r="F294" s="1115" t="n">
        <v>22240</v>
      </c>
      <c r="G294" s="1115" t="n">
        <v>7130</v>
      </c>
      <c r="H294" s="1115" t="s">
        <v>902</v>
      </c>
      <c r="I294" s="1115" t="n">
        <v>7170</v>
      </c>
      <c r="J294" s="1115" t="s">
        <v>1360</v>
      </c>
      <c r="L294" s="1115" t="n">
        <f aca="false">LOOKUP(M294,$E$6:$F$4002)</f>
        <v>28900</v>
      </c>
      <c r="M294" s="1115" t="s">
        <v>159</v>
      </c>
      <c r="N294" s="1127" t="n">
        <v>1</v>
      </c>
    </row>
    <row r="295" customFormat="false" ht="14.1" hidden="false" customHeight="true" outlineLevel="0" collapsed="false">
      <c r="A295" s="1115" t="n">
        <v>7150</v>
      </c>
      <c r="B295" s="1115" t="s">
        <v>157</v>
      </c>
      <c r="C295" s="1115" t="n">
        <v>7150</v>
      </c>
      <c r="D295" s="1115" t="s">
        <v>1361</v>
      </c>
      <c r="E295" s="1115" t="s">
        <v>1362</v>
      </c>
      <c r="F295" s="1115" t="n">
        <v>82200</v>
      </c>
      <c r="G295" s="1115" t="n">
        <v>7150</v>
      </c>
      <c r="H295" s="1115" t="s">
        <v>1361</v>
      </c>
      <c r="I295" s="1115" t="n">
        <v>7190</v>
      </c>
      <c r="J295" s="1115" t="s">
        <v>1360</v>
      </c>
      <c r="L295" s="1115" t="n">
        <f aca="false">LOOKUP(M295,$E$6:$F$4002)</f>
        <v>7170</v>
      </c>
      <c r="M295" s="1115" t="s">
        <v>1360</v>
      </c>
      <c r="N295" s="1127" t="n">
        <v>0.96</v>
      </c>
    </row>
    <row r="296" customFormat="false" ht="14.1" hidden="false" customHeight="true" outlineLevel="0" collapsed="false">
      <c r="A296" s="1115" t="n">
        <v>7170</v>
      </c>
      <c r="B296" s="1115" t="s">
        <v>157</v>
      </c>
      <c r="C296" s="1115" t="n">
        <v>7170</v>
      </c>
      <c r="D296" s="1115" t="s">
        <v>1360</v>
      </c>
      <c r="E296" s="1115" t="s">
        <v>1363</v>
      </c>
      <c r="F296" s="1115" t="n">
        <v>71890</v>
      </c>
      <c r="G296" s="1115" t="n">
        <v>7170</v>
      </c>
      <c r="H296" s="1115" t="s">
        <v>1360</v>
      </c>
      <c r="I296" s="1115" t="n">
        <v>7220</v>
      </c>
      <c r="J296" s="1115" t="s">
        <v>1360</v>
      </c>
      <c r="L296" s="1115" t="n">
        <f aca="false">LOOKUP(M296,$E$6:$F$4002)</f>
        <v>6450</v>
      </c>
      <c r="M296" s="1115" t="s">
        <v>1331</v>
      </c>
      <c r="N296" s="1127" t="n">
        <v>0.99</v>
      </c>
    </row>
    <row r="297" customFormat="false" ht="14.1" hidden="false" customHeight="true" outlineLevel="0" collapsed="false">
      <c r="A297" s="1115" t="n">
        <v>7190</v>
      </c>
      <c r="B297" s="1115" t="s">
        <v>157</v>
      </c>
      <c r="C297" s="1115" t="n">
        <v>7190</v>
      </c>
      <c r="D297" s="1115" t="s">
        <v>1327</v>
      </c>
      <c r="E297" s="1115" t="s">
        <v>1364</v>
      </c>
      <c r="F297" s="1115" t="n">
        <v>19830</v>
      </c>
      <c r="G297" s="1115" t="n">
        <v>7190</v>
      </c>
      <c r="H297" s="1115" t="s">
        <v>1327</v>
      </c>
      <c r="I297" s="1115" t="n">
        <v>7230</v>
      </c>
      <c r="J297" s="1115" t="s">
        <v>741</v>
      </c>
      <c r="L297" s="1115" t="n">
        <f aca="false">LOOKUP(M297,$E$6:$F$4002)</f>
        <v>97900</v>
      </c>
      <c r="M297" s="1115" t="s">
        <v>1365</v>
      </c>
      <c r="N297" s="1127" t="n">
        <v>1.02</v>
      </c>
    </row>
    <row r="298" customFormat="false" ht="14.1" hidden="false" customHeight="true" outlineLevel="0" collapsed="false">
      <c r="A298" s="1115" t="n">
        <v>7220</v>
      </c>
      <c r="B298" s="1115" t="s">
        <v>157</v>
      </c>
      <c r="C298" s="1115" t="n">
        <v>7220</v>
      </c>
      <c r="D298" s="1115" t="s">
        <v>1366</v>
      </c>
      <c r="E298" s="1115" t="s">
        <v>1367</v>
      </c>
      <c r="F298" s="1115" t="n">
        <v>52340</v>
      </c>
      <c r="G298" s="1115" t="n">
        <v>7220</v>
      </c>
      <c r="H298" s="1115" t="s">
        <v>1366</v>
      </c>
      <c r="I298" s="1115" t="n">
        <v>7280</v>
      </c>
      <c r="J298" s="1115" t="s">
        <v>741</v>
      </c>
      <c r="L298" s="1115" t="n">
        <f aca="false">LOOKUP(M298,$E$6:$F$4002)</f>
        <v>93100</v>
      </c>
      <c r="M298" s="1115" t="s">
        <v>1368</v>
      </c>
      <c r="N298" s="1127" t="n">
        <v>0.95</v>
      </c>
    </row>
    <row r="299" customFormat="false" ht="14.1" hidden="false" customHeight="true" outlineLevel="0" collapsed="false">
      <c r="A299" s="1115" t="n">
        <v>7230</v>
      </c>
      <c r="B299" s="1115" t="s">
        <v>157</v>
      </c>
      <c r="C299" s="1115" t="n">
        <v>7230</v>
      </c>
      <c r="D299" s="1115" t="s">
        <v>1369</v>
      </c>
      <c r="E299" s="1115" t="s">
        <v>947</v>
      </c>
      <c r="F299" s="1115" t="n">
        <v>1160</v>
      </c>
      <c r="G299" s="1115" t="n">
        <v>7230</v>
      </c>
      <c r="H299" s="1115" t="s">
        <v>1369</v>
      </c>
      <c r="I299" s="1115" t="n">
        <v>7310</v>
      </c>
      <c r="J299" s="1115" t="s">
        <v>741</v>
      </c>
      <c r="L299" s="1115" t="n">
        <f aca="false">LOOKUP(M299,$E$6:$F$4002)</f>
        <v>7560</v>
      </c>
      <c r="M299" s="1115" t="s">
        <v>1370</v>
      </c>
      <c r="N299" s="1127" t="n">
        <v>1.02</v>
      </c>
    </row>
    <row r="300" customFormat="false" ht="14.1" hidden="false" customHeight="true" outlineLevel="0" collapsed="false">
      <c r="A300" s="1115" t="n">
        <v>7280</v>
      </c>
      <c r="B300" s="1115" t="s">
        <v>157</v>
      </c>
      <c r="C300" s="1115" t="n">
        <v>7280</v>
      </c>
      <c r="D300" s="1115" t="s">
        <v>1371</v>
      </c>
      <c r="E300" s="1115" t="s">
        <v>1372</v>
      </c>
      <c r="F300" s="1115" t="n">
        <v>10940</v>
      </c>
      <c r="G300" s="1115" t="n">
        <v>7280</v>
      </c>
      <c r="H300" s="1115" t="s">
        <v>1371</v>
      </c>
      <c r="I300" s="1115" t="n">
        <v>7320</v>
      </c>
      <c r="J300" s="1115" t="s">
        <v>741</v>
      </c>
      <c r="L300" s="1115" t="n">
        <f aca="false">LOOKUP(M300,$E$6:$F$4002)</f>
        <v>92600</v>
      </c>
      <c r="M300" s="1115" t="s">
        <v>1373</v>
      </c>
      <c r="N300" s="1127" t="n">
        <v>0.98</v>
      </c>
    </row>
    <row r="301" customFormat="false" ht="14.1" hidden="false" customHeight="true" outlineLevel="0" collapsed="false">
      <c r="A301" s="1115" t="n">
        <v>7310</v>
      </c>
      <c r="B301" s="1115" t="s">
        <v>157</v>
      </c>
      <c r="C301" s="1115" t="n">
        <v>7310</v>
      </c>
      <c r="D301" s="1115" t="s">
        <v>1374</v>
      </c>
      <c r="E301" s="1115" t="s">
        <v>1375</v>
      </c>
      <c r="F301" s="1115" t="n">
        <v>61460</v>
      </c>
      <c r="G301" s="1115" t="n">
        <v>7310</v>
      </c>
      <c r="H301" s="1115" t="s">
        <v>1374</v>
      </c>
      <c r="I301" s="1115" t="n">
        <v>7330</v>
      </c>
      <c r="J301" s="1115" t="s">
        <v>741</v>
      </c>
      <c r="L301" s="1115" t="n">
        <f aca="false">LOOKUP(M301,$E$6:$F$4002)</f>
        <v>58450</v>
      </c>
      <c r="M301" s="1115" t="s">
        <v>1376</v>
      </c>
      <c r="N301" s="1127" t="n">
        <v>0.96</v>
      </c>
    </row>
    <row r="302" customFormat="false" ht="14.1" hidden="false" customHeight="true" outlineLevel="0" collapsed="false">
      <c r="A302" s="1115" t="n">
        <v>7320</v>
      </c>
      <c r="B302" s="1115" t="s">
        <v>157</v>
      </c>
      <c r="C302" s="1115" t="n">
        <v>7320</v>
      </c>
      <c r="D302" s="1115" t="s">
        <v>1377</v>
      </c>
      <c r="E302" s="1115" t="s">
        <v>1378</v>
      </c>
      <c r="F302" s="1115" t="n">
        <v>58295</v>
      </c>
      <c r="G302" s="1115" t="n">
        <v>7320</v>
      </c>
      <c r="H302" s="1115" t="s">
        <v>1377</v>
      </c>
      <c r="I302" s="1115" t="n">
        <v>7340</v>
      </c>
      <c r="J302" s="1115" t="s">
        <v>741</v>
      </c>
      <c r="L302" s="1115" t="n">
        <f aca="false">LOOKUP(M302,$E$6:$F$4002)</f>
        <v>31900</v>
      </c>
      <c r="M302" s="1115" t="s">
        <v>1379</v>
      </c>
      <c r="N302" s="1127" t="n">
        <v>1.01</v>
      </c>
    </row>
    <row r="303" customFormat="false" ht="14.1" hidden="false" customHeight="true" outlineLevel="0" collapsed="false">
      <c r="A303" s="1115" t="n">
        <v>7330</v>
      </c>
      <c r="B303" s="1115" t="s">
        <v>157</v>
      </c>
      <c r="C303" s="1115" t="n">
        <v>7330</v>
      </c>
      <c r="D303" s="1115" t="s">
        <v>1380</v>
      </c>
      <c r="E303" s="1115" t="s">
        <v>1381</v>
      </c>
      <c r="F303" s="1115" t="n">
        <v>31150</v>
      </c>
      <c r="G303" s="1115" t="n">
        <v>7330</v>
      </c>
      <c r="H303" s="1115" t="s">
        <v>1380</v>
      </c>
      <c r="I303" s="1115" t="n">
        <v>7350</v>
      </c>
      <c r="J303" s="1115" t="s">
        <v>741</v>
      </c>
      <c r="L303" s="1115" t="n">
        <f aca="false">LOOKUP(M303,$E$6:$F$4002)</f>
        <v>89200</v>
      </c>
      <c r="M303" s="1115" t="s">
        <v>1382</v>
      </c>
      <c r="N303" s="1127" t="n">
        <v>0.96</v>
      </c>
    </row>
    <row r="304" customFormat="false" ht="14.1" hidden="false" customHeight="true" outlineLevel="0" collapsed="false">
      <c r="A304" s="1115" t="n">
        <v>7340</v>
      </c>
      <c r="B304" s="1115" t="s">
        <v>158</v>
      </c>
      <c r="C304" s="1115" t="n">
        <v>7340</v>
      </c>
      <c r="D304" s="1115" t="s">
        <v>1101</v>
      </c>
      <c r="E304" s="1115" t="s">
        <v>1383</v>
      </c>
      <c r="F304" s="1115" t="n">
        <v>99190</v>
      </c>
      <c r="G304" s="1115" t="n">
        <v>7340</v>
      </c>
      <c r="H304" s="1115" t="s">
        <v>1101</v>
      </c>
      <c r="I304" s="1115" t="n">
        <v>7360</v>
      </c>
      <c r="J304" s="1115" t="s">
        <v>741</v>
      </c>
      <c r="L304" s="1115" t="n">
        <f aca="false">LOOKUP(M304,$E$6:$F$4002)</f>
        <v>52200</v>
      </c>
      <c r="M304" s="1115" t="s">
        <v>1384</v>
      </c>
      <c r="N304" s="1127" t="n">
        <v>0.98</v>
      </c>
    </row>
    <row r="305" customFormat="false" ht="14.1" hidden="false" customHeight="true" outlineLevel="0" collapsed="false">
      <c r="A305" s="1115" t="n">
        <v>7350</v>
      </c>
      <c r="B305" s="1115" t="s">
        <v>157</v>
      </c>
      <c r="C305" s="1115" t="n">
        <v>7350</v>
      </c>
      <c r="D305" s="1115" t="s">
        <v>1257</v>
      </c>
      <c r="E305" s="1115" t="s">
        <v>1385</v>
      </c>
      <c r="F305" s="1115" t="n">
        <v>41585</v>
      </c>
      <c r="G305" s="1115" t="n">
        <v>7350</v>
      </c>
      <c r="H305" s="1115" t="s">
        <v>1257</v>
      </c>
      <c r="I305" s="1115" t="n">
        <v>7370</v>
      </c>
      <c r="J305" s="1115" t="s">
        <v>741</v>
      </c>
      <c r="L305" s="1115" t="n">
        <f aca="false">LOOKUP(M305,$E$6:$F$4002)</f>
        <v>49270</v>
      </c>
      <c r="M305" s="1115" t="s">
        <v>1386</v>
      </c>
      <c r="N305" s="1127" t="n">
        <v>0.98</v>
      </c>
    </row>
    <row r="306" customFormat="false" ht="14.1" hidden="false" customHeight="true" outlineLevel="0" collapsed="false">
      <c r="A306" s="1115" t="n">
        <v>7360</v>
      </c>
      <c r="B306" s="1115" t="s">
        <v>157</v>
      </c>
      <c r="C306" s="1115" t="n">
        <v>7360</v>
      </c>
      <c r="D306" s="1115" t="s">
        <v>1387</v>
      </c>
      <c r="E306" s="1115" t="s">
        <v>824</v>
      </c>
      <c r="F306" s="1115" t="n">
        <v>41500</v>
      </c>
      <c r="G306" s="1115" t="n">
        <v>7360</v>
      </c>
      <c r="H306" s="1115" t="s">
        <v>1387</v>
      </c>
      <c r="I306" s="1115" t="n">
        <v>7380</v>
      </c>
      <c r="J306" s="1115" t="s">
        <v>741</v>
      </c>
      <c r="L306" s="1115" t="n">
        <f aca="false">LOOKUP(M306,$E$6:$F$4002)</f>
        <v>86100</v>
      </c>
      <c r="M306" s="1115" t="s">
        <v>1388</v>
      </c>
      <c r="N306" s="1127" t="n">
        <v>1.01</v>
      </c>
    </row>
    <row r="307" customFormat="false" ht="14.1" hidden="false" customHeight="true" outlineLevel="0" collapsed="false">
      <c r="A307" s="1115" t="n">
        <v>7370</v>
      </c>
      <c r="B307" s="1115" t="s">
        <v>157</v>
      </c>
      <c r="C307" s="1115" t="n">
        <v>7370</v>
      </c>
      <c r="D307" s="1115" t="s">
        <v>1389</v>
      </c>
      <c r="E307" s="1115" t="s">
        <v>824</v>
      </c>
      <c r="F307" s="1115" t="n">
        <v>41520</v>
      </c>
      <c r="G307" s="1115" t="n">
        <v>7370</v>
      </c>
      <c r="H307" s="1115" t="s">
        <v>1389</v>
      </c>
      <c r="I307" s="1115" t="n">
        <v>7390</v>
      </c>
      <c r="J307" s="1115" t="s">
        <v>741</v>
      </c>
      <c r="L307" s="1115" t="n">
        <f aca="false">LOOKUP(M307,$E$6:$F$4002)</f>
        <v>86810</v>
      </c>
      <c r="M307" s="1115" t="s">
        <v>1390</v>
      </c>
      <c r="N307" s="1127" t="n">
        <v>1.05</v>
      </c>
    </row>
    <row r="308" customFormat="false" ht="14.1" hidden="false" customHeight="true" outlineLevel="0" collapsed="false">
      <c r="A308" s="1115" t="n">
        <v>7380</v>
      </c>
      <c r="B308" s="1115" t="s">
        <v>157</v>
      </c>
      <c r="C308" s="1115" t="n">
        <v>7380</v>
      </c>
      <c r="D308" s="1115" t="s">
        <v>1391</v>
      </c>
      <c r="E308" s="1115" t="s">
        <v>825</v>
      </c>
      <c r="F308" s="1115" t="n">
        <v>10900</v>
      </c>
      <c r="G308" s="1115" t="n">
        <v>7380</v>
      </c>
      <c r="H308" s="1115" t="s">
        <v>1391</v>
      </c>
      <c r="I308" s="1115" t="n">
        <v>7410</v>
      </c>
      <c r="J308" s="1115" t="s">
        <v>741</v>
      </c>
      <c r="L308" s="1115" t="n">
        <f aca="false">LOOKUP(M308,$E$6:$F$4002)</f>
        <v>92930</v>
      </c>
      <c r="M308" s="1115" t="s">
        <v>1392</v>
      </c>
      <c r="N308" s="1127" t="n">
        <v>1.02</v>
      </c>
    </row>
    <row r="309" customFormat="false" ht="14.1" hidden="false" customHeight="true" outlineLevel="0" collapsed="false">
      <c r="A309" s="1115" t="n">
        <v>7390</v>
      </c>
      <c r="B309" s="1115" t="s">
        <v>157</v>
      </c>
      <c r="C309" s="1115" t="n">
        <v>7390</v>
      </c>
      <c r="D309" s="1115" t="s">
        <v>1393</v>
      </c>
      <c r="E309" s="1115" t="s">
        <v>825</v>
      </c>
      <c r="F309" s="1115" t="n">
        <v>10960</v>
      </c>
      <c r="G309" s="1115" t="n">
        <v>7390</v>
      </c>
      <c r="H309" s="1115" t="s">
        <v>1393</v>
      </c>
      <c r="I309" s="1115" t="n">
        <v>7450</v>
      </c>
      <c r="J309" s="1115" t="s">
        <v>741</v>
      </c>
      <c r="L309" s="1115" t="n">
        <f aca="false">LOOKUP(M309,$E$6:$F$4002)</f>
        <v>23950</v>
      </c>
      <c r="M309" s="1115" t="s">
        <v>1394</v>
      </c>
      <c r="N309" s="1127" t="n">
        <v>0.99</v>
      </c>
    </row>
    <row r="310" customFormat="false" ht="14.1" hidden="false" customHeight="true" outlineLevel="0" collapsed="false">
      <c r="A310" s="1115" t="n">
        <v>7410</v>
      </c>
      <c r="B310" s="1115" t="s">
        <v>157</v>
      </c>
      <c r="C310" s="1115" t="n">
        <v>7410</v>
      </c>
      <c r="D310" s="1115" t="s">
        <v>1395</v>
      </c>
      <c r="E310" s="1115" t="s">
        <v>1396</v>
      </c>
      <c r="F310" s="1115" t="n">
        <v>41550</v>
      </c>
      <c r="G310" s="1115" t="n">
        <v>7410</v>
      </c>
      <c r="H310" s="1115" t="s">
        <v>1395</v>
      </c>
      <c r="I310" s="1115" t="n">
        <v>7500</v>
      </c>
      <c r="J310" s="1115" t="s">
        <v>741</v>
      </c>
      <c r="L310" s="1115" t="n">
        <f aca="false">LOOKUP(M310,$E$6:$F$4002)</f>
        <v>86800</v>
      </c>
      <c r="M310" s="1115" t="s">
        <v>1397</v>
      </c>
      <c r="N310" s="1127" t="n">
        <v>1</v>
      </c>
    </row>
    <row r="311" customFormat="false" ht="14.1" hidden="false" customHeight="true" outlineLevel="0" collapsed="false">
      <c r="A311" s="1115" t="n">
        <v>7450</v>
      </c>
      <c r="B311" s="1115" t="s">
        <v>157</v>
      </c>
      <c r="C311" s="1115" t="n">
        <v>7450</v>
      </c>
      <c r="D311" s="1115" t="s">
        <v>1398</v>
      </c>
      <c r="E311" s="1115" t="s">
        <v>1399</v>
      </c>
      <c r="F311" s="1115" t="n">
        <v>38740</v>
      </c>
      <c r="G311" s="1115" t="n">
        <v>7450</v>
      </c>
      <c r="H311" s="1115" t="s">
        <v>1398</v>
      </c>
      <c r="I311" s="1115" t="n">
        <v>7510</v>
      </c>
      <c r="J311" s="1115" t="s">
        <v>741</v>
      </c>
      <c r="L311" s="1115" t="n">
        <f aca="false">LOOKUP(M311,$E$6:$F$4002)</f>
        <v>43440</v>
      </c>
      <c r="M311" s="1115" t="s">
        <v>1400</v>
      </c>
      <c r="N311" s="1127" t="n">
        <v>0.98</v>
      </c>
    </row>
    <row r="312" customFormat="false" ht="14.1" hidden="false" customHeight="true" outlineLevel="0" collapsed="false">
      <c r="A312" s="1115" t="n">
        <v>7500</v>
      </c>
      <c r="B312" s="1115" t="s">
        <v>157</v>
      </c>
      <c r="C312" s="1115" t="n">
        <v>7500</v>
      </c>
      <c r="D312" s="1115" t="s">
        <v>741</v>
      </c>
      <c r="E312" s="1115" t="s">
        <v>1401</v>
      </c>
      <c r="F312" s="1115" t="n">
        <v>61860</v>
      </c>
      <c r="G312" s="1115" t="n">
        <v>7500</v>
      </c>
      <c r="H312" s="1115" t="s">
        <v>741</v>
      </c>
      <c r="I312" s="1115" t="n">
        <v>7530</v>
      </c>
      <c r="J312" s="1115" t="s">
        <v>741</v>
      </c>
      <c r="L312" s="1115" t="n">
        <f aca="false">LOOKUP(M312,$E$6:$F$4002)</f>
        <v>36600</v>
      </c>
      <c r="M312" s="1115" t="s">
        <v>1402</v>
      </c>
      <c r="N312" s="1127" t="n">
        <v>1</v>
      </c>
    </row>
    <row r="313" customFormat="false" ht="14.1" hidden="false" customHeight="true" outlineLevel="0" collapsed="false">
      <c r="A313" s="1115" t="n">
        <v>7510</v>
      </c>
      <c r="B313" s="1115" t="s">
        <v>157</v>
      </c>
      <c r="C313" s="1115" t="n">
        <v>7510</v>
      </c>
      <c r="D313" s="1115" t="s">
        <v>1403</v>
      </c>
      <c r="E313" s="1115" t="s">
        <v>1404</v>
      </c>
      <c r="F313" s="1115" t="n">
        <v>29660</v>
      </c>
      <c r="G313" s="1115" t="n">
        <v>7510</v>
      </c>
      <c r="H313" s="1115" t="s">
        <v>1403</v>
      </c>
      <c r="I313" s="1115" t="n">
        <v>7540</v>
      </c>
      <c r="J313" s="1115" t="s">
        <v>741</v>
      </c>
      <c r="L313" s="1115" t="n">
        <f aca="false">LOOKUP(M313,$E$6:$F$4002)</f>
        <v>21880</v>
      </c>
      <c r="M313" s="1115" t="s">
        <v>1405</v>
      </c>
      <c r="N313" s="1127" t="n">
        <v>0.95</v>
      </c>
    </row>
    <row r="314" customFormat="false" ht="14.1" hidden="false" customHeight="true" outlineLevel="0" collapsed="false">
      <c r="A314" s="1115" t="n">
        <v>7530</v>
      </c>
      <c r="B314" s="1115" t="s">
        <v>157</v>
      </c>
      <c r="C314" s="1115" t="n">
        <v>7530</v>
      </c>
      <c r="D314" s="1115" t="s">
        <v>1406</v>
      </c>
      <c r="E314" s="1115" t="s">
        <v>1407</v>
      </c>
      <c r="F314" s="1115" t="n">
        <v>71870</v>
      </c>
      <c r="G314" s="1115" t="n">
        <v>7530</v>
      </c>
      <c r="H314" s="1115" t="s">
        <v>1406</v>
      </c>
      <c r="I314" s="1115" t="n">
        <v>7550</v>
      </c>
      <c r="J314" s="1115" t="s">
        <v>1370</v>
      </c>
      <c r="L314" s="1115" t="n">
        <f aca="false">LOOKUP(M314,$E$6:$F$4002)</f>
        <v>92130</v>
      </c>
      <c r="M314" s="1115" t="s">
        <v>1408</v>
      </c>
      <c r="N314" s="1127" t="n">
        <v>1</v>
      </c>
    </row>
    <row r="315" customFormat="false" ht="14.1" hidden="false" customHeight="true" outlineLevel="0" collapsed="false">
      <c r="A315" s="1115" t="n">
        <v>7540</v>
      </c>
      <c r="B315" s="1115" t="s">
        <v>157</v>
      </c>
      <c r="C315" s="1115" t="n">
        <v>7540</v>
      </c>
      <c r="D315" s="1115" t="s">
        <v>1409</v>
      </c>
      <c r="E315" s="1115" t="s">
        <v>826</v>
      </c>
      <c r="F315" s="1115" t="n">
        <v>29200</v>
      </c>
      <c r="G315" s="1115" t="n">
        <v>7540</v>
      </c>
      <c r="H315" s="1115" t="s">
        <v>1409</v>
      </c>
      <c r="I315" s="1115" t="n">
        <v>7560</v>
      </c>
      <c r="J315" s="1115" t="s">
        <v>1370</v>
      </c>
      <c r="L315" s="1115" t="n">
        <f aca="false">LOOKUP(M315,$E$6:$F$4002)</f>
        <v>21280</v>
      </c>
      <c r="M315" s="1115" t="s">
        <v>1410</v>
      </c>
      <c r="N315" s="1127" t="n">
        <v>1.01</v>
      </c>
    </row>
    <row r="316" customFormat="false" ht="14.1" hidden="false" customHeight="true" outlineLevel="0" collapsed="false">
      <c r="A316" s="1115" t="n">
        <v>7550</v>
      </c>
      <c r="B316" s="1115" t="s">
        <v>157</v>
      </c>
      <c r="C316" s="1115" t="n">
        <v>7550</v>
      </c>
      <c r="D316" s="1115" t="s">
        <v>1411</v>
      </c>
      <c r="E316" s="1115" t="s">
        <v>1412</v>
      </c>
      <c r="F316" s="1115" t="n">
        <v>45330</v>
      </c>
      <c r="G316" s="1115" t="n">
        <v>7550</v>
      </c>
      <c r="H316" s="1115" t="s">
        <v>1411</v>
      </c>
      <c r="I316" s="1115" t="n">
        <v>7565</v>
      </c>
      <c r="J316" s="1115" t="s">
        <v>1370</v>
      </c>
      <c r="L316" s="1115" t="n">
        <f aca="false">LOOKUP(M316,$E$6:$F$4002)</f>
        <v>58910</v>
      </c>
      <c r="M316" s="1115" t="s">
        <v>1413</v>
      </c>
      <c r="N316" s="1127" t="n">
        <v>1.02</v>
      </c>
    </row>
    <row r="317" customFormat="false" ht="14.1" hidden="false" customHeight="true" outlineLevel="0" collapsed="false">
      <c r="A317" s="1115" t="n">
        <v>7560</v>
      </c>
      <c r="B317" s="1115" t="s">
        <v>157</v>
      </c>
      <c r="C317" s="1115" t="n">
        <v>7560</v>
      </c>
      <c r="D317" s="1115" t="s">
        <v>1370</v>
      </c>
      <c r="E317" s="1115" t="s">
        <v>1414</v>
      </c>
      <c r="F317" s="1115" t="n">
        <v>95150</v>
      </c>
      <c r="G317" s="1115" t="n">
        <v>7560</v>
      </c>
      <c r="H317" s="1115" t="s">
        <v>1370</v>
      </c>
      <c r="I317" s="1115" t="n">
        <v>7580</v>
      </c>
      <c r="J317" s="1115" t="s">
        <v>1370</v>
      </c>
      <c r="L317" s="1115" t="n">
        <f aca="false">LOOKUP(M317,$E$6:$F$4002)</f>
        <v>92500</v>
      </c>
      <c r="M317" s="1115" t="s">
        <v>1415</v>
      </c>
      <c r="N317" s="1127" t="n">
        <v>0.98</v>
      </c>
    </row>
    <row r="318" customFormat="false" ht="14.1" hidden="false" customHeight="true" outlineLevel="0" collapsed="false">
      <c r="A318" s="1115" t="n">
        <v>7565</v>
      </c>
      <c r="B318" s="1115" t="s">
        <v>157</v>
      </c>
      <c r="C318" s="1115" t="n">
        <v>7565</v>
      </c>
      <c r="D318" s="1115" t="s">
        <v>1416</v>
      </c>
      <c r="E318" s="1115" t="s">
        <v>1417</v>
      </c>
      <c r="F318" s="1115" t="n">
        <v>51420</v>
      </c>
      <c r="G318" s="1115" t="n">
        <v>7565</v>
      </c>
      <c r="H318" s="1115" t="s">
        <v>1416</v>
      </c>
      <c r="I318" s="1115" t="n">
        <v>7590</v>
      </c>
      <c r="J318" s="1115" t="s">
        <v>1370</v>
      </c>
      <c r="L318" s="1115" t="n">
        <f aca="false">LOOKUP(M318,$E$6:$F$4002)</f>
        <v>97700</v>
      </c>
      <c r="M318" s="1115" t="s">
        <v>1418</v>
      </c>
      <c r="N318" s="1127" t="n">
        <v>1.08</v>
      </c>
    </row>
    <row r="319" customFormat="false" ht="14.1" hidden="false" customHeight="true" outlineLevel="0" collapsed="false">
      <c r="A319" s="1115" t="n">
        <v>7580</v>
      </c>
      <c r="B319" s="1115" t="s">
        <v>157</v>
      </c>
      <c r="C319" s="1115" t="n">
        <v>7580</v>
      </c>
      <c r="D319" s="1115" t="s">
        <v>1419</v>
      </c>
      <c r="E319" s="1115" t="s">
        <v>1420</v>
      </c>
      <c r="F319" s="1115" t="n">
        <v>28260</v>
      </c>
      <c r="G319" s="1115" t="n">
        <v>7580</v>
      </c>
      <c r="H319" s="1115" t="s">
        <v>1419</v>
      </c>
      <c r="I319" s="1115" t="n">
        <v>7600</v>
      </c>
      <c r="J319" s="1115" t="s">
        <v>1247</v>
      </c>
      <c r="L319" s="1115" t="n">
        <f aca="false">LOOKUP(M319,$E$6:$F$4002)</f>
        <v>26820</v>
      </c>
      <c r="M319" s="1115" t="s">
        <v>1421</v>
      </c>
      <c r="N319" s="1127" t="n">
        <v>1.02</v>
      </c>
    </row>
    <row r="320" customFormat="false" ht="14.1" hidden="false" customHeight="true" outlineLevel="0" collapsed="false">
      <c r="A320" s="1115" t="n">
        <v>7590</v>
      </c>
      <c r="B320" s="1115" t="s">
        <v>157</v>
      </c>
      <c r="C320" s="1115" t="n">
        <v>7590</v>
      </c>
      <c r="D320" s="1115" t="s">
        <v>1422</v>
      </c>
      <c r="E320" s="1115" t="s">
        <v>1423</v>
      </c>
      <c r="F320" s="1115" t="n">
        <v>17840</v>
      </c>
      <c r="G320" s="1115" t="n">
        <v>7590</v>
      </c>
      <c r="H320" s="1115" t="s">
        <v>1422</v>
      </c>
      <c r="I320" s="1115" t="n">
        <v>7630</v>
      </c>
      <c r="J320" s="1115" t="s">
        <v>1150</v>
      </c>
      <c r="L320" s="1115" t="n">
        <f aca="false">LOOKUP(M320,$E$6:$F$4002)</f>
        <v>77700</v>
      </c>
      <c r="M320" s="1115" t="s">
        <v>1424</v>
      </c>
      <c r="N320" s="1127" t="n">
        <v>0.99</v>
      </c>
    </row>
    <row r="321" customFormat="false" ht="14.1" hidden="false" customHeight="true" outlineLevel="0" collapsed="false">
      <c r="A321" s="1115" t="n">
        <v>7600</v>
      </c>
      <c r="B321" s="1115" t="s">
        <v>157</v>
      </c>
      <c r="C321" s="1115" t="n">
        <v>7600</v>
      </c>
      <c r="D321" s="1115" t="s">
        <v>1247</v>
      </c>
      <c r="E321" s="1115" t="s">
        <v>1425</v>
      </c>
      <c r="F321" s="1115" t="n">
        <v>44960</v>
      </c>
      <c r="G321" s="1115" t="n">
        <v>7600</v>
      </c>
      <c r="H321" s="1115" t="s">
        <v>1247</v>
      </c>
      <c r="I321" s="1115" t="n">
        <v>7650</v>
      </c>
      <c r="J321" s="1115" t="s">
        <v>1150</v>
      </c>
      <c r="L321" s="1115" t="n">
        <f aca="false">LOOKUP(M321,$E$6:$F$4002)</f>
        <v>73900</v>
      </c>
      <c r="M321" s="1115" t="s">
        <v>1426</v>
      </c>
      <c r="N321" s="1127" t="n">
        <v>1.01</v>
      </c>
    </row>
    <row r="322" customFormat="false" ht="14.1" hidden="false" customHeight="true" outlineLevel="0" collapsed="false">
      <c r="A322" s="1115" t="n">
        <v>7630</v>
      </c>
      <c r="B322" s="1115" t="s">
        <v>157</v>
      </c>
      <c r="C322" s="1115" t="n">
        <v>7630</v>
      </c>
      <c r="D322" s="1115" t="s">
        <v>1427</v>
      </c>
      <c r="E322" s="1115" t="s">
        <v>1428</v>
      </c>
      <c r="F322" s="1115" t="n">
        <v>17780</v>
      </c>
      <c r="G322" s="1115" t="n">
        <v>7630</v>
      </c>
      <c r="H322" s="1115" t="s">
        <v>1427</v>
      </c>
      <c r="I322" s="1115" t="n">
        <v>7680</v>
      </c>
      <c r="J322" s="1115" t="s">
        <v>1150</v>
      </c>
      <c r="L322" s="1115" t="n">
        <f aca="false">LOOKUP(M322,$E$6:$F$4002)</f>
        <v>56620</v>
      </c>
      <c r="M322" s="1115" t="s">
        <v>1429</v>
      </c>
      <c r="N322" s="1127" t="n">
        <v>0.97</v>
      </c>
    </row>
    <row r="323" customFormat="false" ht="14.1" hidden="false" customHeight="true" outlineLevel="0" collapsed="false">
      <c r="A323" s="1115" t="n">
        <v>7650</v>
      </c>
      <c r="B323" s="1115" t="s">
        <v>157</v>
      </c>
      <c r="C323" s="1115" t="n">
        <v>7650</v>
      </c>
      <c r="D323" s="1115" t="s">
        <v>1339</v>
      </c>
      <c r="E323" s="1115" t="s">
        <v>1430</v>
      </c>
      <c r="F323" s="1115" t="n">
        <v>27450</v>
      </c>
      <c r="G323" s="1115" t="n">
        <v>7650</v>
      </c>
      <c r="H323" s="1115" t="s">
        <v>1339</v>
      </c>
      <c r="I323" s="1115" t="n">
        <v>7690</v>
      </c>
      <c r="J323" s="1115" t="s">
        <v>1150</v>
      </c>
      <c r="L323" s="1115" t="n">
        <f aca="false">LOOKUP(M323,$E$6:$F$4002)</f>
        <v>85900</v>
      </c>
      <c r="M323" s="1115" t="s">
        <v>1431</v>
      </c>
      <c r="N323" s="1127" t="n">
        <v>0.97</v>
      </c>
    </row>
    <row r="324" customFormat="false" ht="14.1" hidden="false" customHeight="true" outlineLevel="0" collapsed="false">
      <c r="A324" s="1115" t="n">
        <v>7680</v>
      </c>
      <c r="B324" s="1115" t="s">
        <v>157</v>
      </c>
      <c r="C324" s="1115" t="n">
        <v>7680</v>
      </c>
      <c r="D324" s="1115" t="s">
        <v>1432</v>
      </c>
      <c r="E324" s="1115" t="s">
        <v>1433</v>
      </c>
      <c r="F324" s="1115" t="n">
        <v>66290</v>
      </c>
      <c r="G324" s="1115" t="n">
        <v>7680</v>
      </c>
      <c r="H324" s="1115" t="s">
        <v>1432</v>
      </c>
      <c r="I324" s="1115" t="n">
        <v>7700</v>
      </c>
      <c r="J324" s="1115" t="s">
        <v>1192</v>
      </c>
      <c r="L324" s="1115" t="n">
        <f aca="false">LOOKUP(M324,$E$6:$F$4002)</f>
        <v>14300</v>
      </c>
      <c r="M324" s="1115" t="s">
        <v>1434</v>
      </c>
      <c r="N324" s="1127" t="n">
        <v>1.01</v>
      </c>
    </row>
    <row r="325" customFormat="false" ht="14.1" hidden="false" customHeight="true" outlineLevel="0" collapsed="false">
      <c r="A325" s="1115" t="n">
        <v>7690</v>
      </c>
      <c r="B325" s="1115" t="s">
        <v>157</v>
      </c>
      <c r="C325" s="1115" t="n">
        <v>7690</v>
      </c>
      <c r="D325" s="1115" t="s">
        <v>1435</v>
      </c>
      <c r="E325" s="1115" t="s">
        <v>828</v>
      </c>
      <c r="F325" s="1115" t="n">
        <v>19600</v>
      </c>
      <c r="G325" s="1115" t="n">
        <v>7690</v>
      </c>
      <c r="H325" s="1115" t="s">
        <v>1435</v>
      </c>
      <c r="I325" s="1115" t="n">
        <v>7720</v>
      </c>
      <c r="J325" s="1115" t="s">
        <v>1192</v>
      </c>
      <c r="L325" s="1115" t="n">
        <f aca="false">LOOKUP(M325,$E$6:$F$4002)</f>
        <v>11710</v>
      </c>
      <c r="M325" s="1115" t="s">
        <v>1436</v>
      </c>
      <c r="N325" s="1127" t="n">
        <v>1</v>
      </c>
    </row>
    <row r="326" customFormat="false" ht="14.1" hidden="false" customHeight="true" outlineLevel="0" collapsed="false">
      <c r="A326" s="1115" t="n">
        <v>7700</v>
      </c>
      <c r="B326" s="1115" t="s">
        <v>157</v>
      </c>
      <c r="C326" s="1115" t="n">
        <v>7700</v>
      </c>
      <c r="D326" s="1115" t="s">
        <v>1437</v>
      </c>
      <c r="E326" s="1115" t="s">
        <v>1438</v>
      </c>
      <c r="F326" s="1115" t="n">
        <v>19480</v>
      </c>
      <c r="G326" s="1115" t="n">
        <v>7700</v>
      </c>
      <c r="H326" s="1115" t="s">
        <v>1437</v>
      </c>
      <c r="I326" s="1115" t="n">
        <v>7740</v>
      </c>
      <c r="J326" s="1115" t="s">
        <v>1192</v>
      </c>
      <c r="L326" s="1115" t="n">
        <f aca="false">LOOKUP(M326,$E$6:$F$4002)</f>
        <v>52300</v>
      </c>
      <c r="M326" s="1115" t="s">
        <v>1439</v>
      </c>
      <c r="N326" s="1127" t="n">
        <v>0.98</v>
      </c>
    </row>
    <row r="327" customFormat="false" ht="14.1" hidden="false" customHeight="true" outlineLevel="0" collapsed="false">
      <c r="A327" s="1115" t="n">
        <v>7720</v>
      </c>
      <c r="B327" s="1115" t="s">
        <v>157</v>
      </c>
      <c r="C327" s="1115" t="n">
        <v>7720</v>
      </c>
      <c r="D327" s="1115" t="s">
        <v>1440</v>
      </c>
      <c r="E327" s="1115" t="s">
        <v>1441</v>
      </c>
      <c r="F327" s="1115" t="n">
        <v>82925</v>
      </c>
      <c r="G327" s="1115" t="n">
        <v>7720</v>
      </c>
      <c r="H327" s="1115" t="s">
        <v>1440</v>
      </c>
      <c r="I327" s="1115" t="n">
        <v>7750</v>
      </c>
      <c r="J327" s="1115" t="s">
        <v>1192</v>
      </c>
      <c r="L327" s="1115" t="n">
        <f aca="false">LOOKUP(M327,$E$6:$F$4002)</f>
        <v>88400</v>
      </c>
      <c r="M327" s="1115" t="s">
        <v>1442</v>
      </c>
      <c r="N327" s="1127" t="n">
        <v>0.98</v>
      </c>
    </row>
    <row r="328" customFormat="false" ht="14.1" hidden="false" customHeight="true" outlineLevel="0" collapsed="false">
      <c r="A328" s="1115" t="n">
        <v>7740</v>
      </c>
      <c r="B328" s="1115" t="s">
        <v>157</v>
      </c>
      <c r="C328" s="1115" t="n">
        <v>7740</v>
      </c>
      <c r="D328" s="1115" t="s">
        <v>1236</v>
      </c>
      <c r="E328" s="1115" t="s">
        <v>1443</v>
      </c>
      <c r="F328" s="1115" t="n">
        <v>13330</v>
      </c>
      <c r="G328" s="1115" t="n">
        <v>7740</v>
      </c>
      <c r="H328" s="1115" t="s">
        <v>1236</v>
      </c>
      <c r="I328" s="1115" t="n">
        <v>7780</v>
      </c>
      <c r="J328" s="1115" t="s">
        <v>1192</v>
      </c>
      <c r="L328" s="1115" t="n">
        <f aca="false">LOOKUP(M328,$E$6:$F$4002)</f>
        <v>91510</v>
      </c>
      <c r="M328" s="1115" t="s">
        <v>1444</v>
      </c>
      <c r="N328" s="1127" t="n">
        <v>1.07</v>
      </c>
    </row>
    <row r="329" customFormat="false" ht="14.1" hidden="false" customHeight="true" outlineLevel="0" collapsed="false">
      <c r="A329" s="1115" t="n">
        <v>7750</v>
      </c>
      <c r="B329" s="1115" t="s">
        <v>157</v>
      </c>
      <c r="C329" s="1115" t="n">
        <v>7750</v>
      </c>
      <c r="D329" s="1115" t="s">
        <v>1445</v>
      </c>
      <c r="E329" s="1115" t="s">
        <v>1446</v>
      </c>
      <c r="F329" s="1115" t="n">
        <v>47830</v>
      </c>
      <c r="G329" s="1115" t="n">
        <v>7750</v>
      </c>
      <c r="H329" s="1115" t="s">
        <v>1445</v>
      </c>
      <c r="I329" s="1115" t="n">
        <v>7800</v>
      </c>
      <c r="J329" s="1115" t="s">
        <v>1192</v>
      </c>
      <c r="L329" s="1115" t="n">
        <f aca="false">LOOKUP(M329,$E$6:$F$4002)</f>
        <v>96960</v>
      </c>
      <c r="M329" s="1115" t="s">
        <v>928</v>
      </c>
      <c r="N329" s="1127" t="n">
        <v>1.09</v>
      </c>
    </row>
    <row r="330" customFormat="false" ht="14.1" hidden="false" customHeight="true" outlineLevel="0" collapsed="false">
      <c r="A330" s="1115" t="n">
        <v>7780</v>
      </c>
      <c r="B330" s="1115" t="s">
        <v>157</v>
      </c>
      <c r="C330" s="1115" t="n">
        <v>7780</v>
      </c>
      <c r="D330" s="1115" t="s">
        <v>1447</v>
      </c>
      <c r="E330" s="1115" t="s">
        <v>1448</v>
      </c>
      <c r="F330" s="1115" t="n">
        <v>16770</v>
      </c>
      <c r="G330" s="1115" t="n">
        <v>7780</v>
      </c>
      <c r="H330" s="1115" t="s">
        <v>1447</v>
      </c>
      <c r="I330" s="1115" t="n">
        <v>7810</v>
      </c>
      <c r="J330" s="1115" t="s">
        <v>1192</v>
      </c>
      <c r="L330" s="1115" t="n">
        <f aca="false">LOOKUP(M330,$E$6:$F$4002)</f>
        <v>56100</v>
      </c>
      <c r="M330" s="1115" t="s">
        <v>1449</v>
      </c>
      <c r="N330" s="1127" t="n">
        <v>0.97</v>
      </c>
    </row>
    <row r="331" customFormat="false" ht="14.1" hidden="false" customHeight="true" outlineLevel="0" collapsed="false">
      <c r="A331" s="1115" t="n">
        <v>7800</v>
      </c>
      <c r="B331" s="1115" t="s">
        <v>157</v>
      </c>
      <c r="C331" s="1115" t="n">
        <v>7800</v>
      </c>
      <c r="D331" s="1115" t="s">
        <v>1150</v>
      </c>
      <c r="E331" s="1115" t="s">
        <v>1450</v>
      </c>
      <c r="F331" s="1115" t="n">
        <v>51820</v>
      </c>
      <c r="G331" s="1115" t="n">
        <v>7800</v>
      </c>
      <c r="H331" s="1115" t="s">
        <v>1150</v>
      </c>
      <c r="I331" s="1115" t="n">
        <v>7820</v>
      </c>
      <c r="J331" s="1115" t="s">
        <v>1192</v>
      </c>
      <c r="L331" s="1115" t="n">
        <f aca="false">LOOKUP(M331,$E$6:$F$4002)</f>
        <v>7970</v>
      </c>
      <c r="M331" s="1115" t="s">
        <v>1451</v>
      </c>
      <c r="N331" s="1127" t="n">
        <v>0.96</v>
      </c>
    </row>
    <row r="332" customFormat="false" ht="14.1" hidden="false" customHeight="true" outlineLevel="0" collapsed="false">
      <c r="A332" s="1115" t="n">
        <v>7810</v>
      </c>
      <c r="B332" s="1115" t="s">
        <v>157</v>
      </c>
      <c r="C332" s="1115" t="n">
        <v>7810</v>
      </c>
      <c r="D332" s="1115" t="s">
        <v>1452</v>
      </c>
      <c r="E332" s="1115" t="s">
        <v>1453</v>
      </c>
      <c r="F332" s="1115" t="n">
        <v>82967</v>
      </c>
      <c r="G332" s="1115" t="n">
        <v>7810</v>
      </c>
      <c r="H332" s="1115" t="s">
        <v>1452</v>
      </c>
      <c r="I332" s="1115" t="n">
        <v>7830</v>
      </c>
      <c r="J332" s="1115" t="s">
        <v>1192</v>
      </c>
      <c r="L332" s="1115" t="n">
        <f aca="false">LOOKUP(M332,$E$6:$F$4002)</f>
        <v>34600</v>
      </c>
      <c r="M332" s="1115" t="s">
        <v>1454</v>
      </c>
      <c r="N332" s="1127" t="n">
        <v>0.94</v>
      </c>
    </row>
    <row r="333" customFormat="false" ht="14.1" hidden="false" customHeight="true" outlineLevel="0" collapsed="false">
      <c r="A333" s="1115" t="n">
        <v>7820</v>
      </c>
      <c r="B333" s="1115" t="s">
        <v>157</v>
      </c>
      <c r="C333" s="1115" t="n">
        <v>7820</v>
      </c>
      <c r="D333" s="1115" t="s">
        <v>1455</v>
      </c>
      <c r="E333" s="1115" t="s">
        <v>831</v>
      </c>
      <c r="F333" s="1115" t="n">
        <v>13880</v>
      </c>
      <c r="G333" s="1115" t="n">
        <v>7820</v>
      </c>
      <c r="H333" s="1115" t="s">
        <v>1455</v>
      </c>
      <c r="I333" s="1115" t="n">
        <v>7840</v>
      </c>
      <c r="J333" s="1115" t="s">
        <v>1192</v>
      </c>
      <c r="L333" s="1115" t="n">
        <f aca="false">LOOKUP(M333,$E$6:$F$4002)</f>
        <v>21290</v>
      </c>
      <c r="M333" s="1115" t="s">
        <v>1456</v>
      </c>
      <c r="N333" s="1127" t="n">
        <v>1</v>
      </c>
    </row>
    <row r="334" customFormat="false" ht="14.1" hidden="false" customHeight="true" outlineLevel="0" collapsed="false">
      <c r="A334" s="1115" t="n">
        <v>7830</v>
      </c>
      <c r="B334" s="1115" t="s">
        <v>157</v>
      </c>
      <c r="C334" s="1115" t="n">
        <v>7830</v>
      </c>
      <c r="D334" s="1115" t="s">
        <v>1457</v>
      </c>
      <c r="E334" s="1115" t="s">
        <v>1458</v>
      </c>
      <c r="F334" s="1115" t="n">
        <v>81650</v>
      </c>
      <c r="G334" s="1115" t="n">
        <v>7830</v>
      </c>
      <c r="H334" s="1115" t="s">
        <v>1457</v>
      </c>
      <c r="I334" s="1115" t="n">
        <v>7850</v>
      </c>
      <c r="J334" s="1115" t="s">
        <v>1192</v>
      </c>
      <c r="L334" s="1115" t="n">
        <f aca="false">LOOKUP(M334,$E$6:$F$4002)</f>
        <v>92400</v>
      </c>
      <c r="M334" s="1115" t="s">
        <v>1459</v>
      </c>
      <c r="N334" s="1127" t="n">
        <v>0.99</v>
      </c>
    </row>
    <row r="335" customFormat="false" ht="14.1" hidden="false" customHeight="true" outlineLevel="0" collapsed="false">
      <c r="A335" s="1115" t="n">
        <v>7840</v>
      </c>
      <c r="B335" s="1115" t="s">
        <v>157</v>
      </c>
      <c r="C335" s="1115" t="n">
        <v>7840</v>
      </c>
      <c r="D335" s="1115" t="s">
        <v>1460</v>
      </c>
      <c r="E335" s="1115" t="s">
        <v>1461</v>
      </c>
      <c r="F335" s="1115" t="n">
        <v>52150</v>
      </c>
      <c r="G335" s="1115" t="n">
        <v>7840</v>
      </c>
      <c r="H335" s="1115" t="s">
        <v>1460</v>
      </c>
      <c r="I335" s="1115" t="n">
        <v>7870</v>
      </c>
      <c r="J335" s="1115" t="s">
        <v>1192</v>
      </c>
      <c r="L335" s="1115" t="n">
        <f aca="false">LOOKUP(M335,$E$6:$F$4002)</f>
        <v>21140</v>
      </c>
      <c r="M335" s="1115" t="s">
        <v>1462</v>
      </c>
      <c r="N335" s="1127" t="n">
        <v>1.03</v>
      </c>
    </row>
    <row r="336" customFormat="false" ht="14.1" hidden="false" customHeight="true" outlineLevel="0" collapsed="false">
      <c r="A336" s="1115" t="n">
        <v>7850</v>
      </c>
      <c r="B336" s="1115" t="s">
        <v>157</v>
      </c>
      <c r="C336" s="1115" t="n">
        <v>7850</v>
      </c>
      <c r="D336" s="1115" t="s">
        <v>1463</v>
      </c>
      <c r="E336" s="1115" t="s">
        <v>833</v>
      </c>
      <c r="F336" s="1115" t="n">
        <v>14700</v>
      </c>
      <c r="G336" s="1115" t="n">
        <v>7850</v>
      </c>
      <c r="H336" s="1115" t="s">
        <v>1463</v>
      </c>
      <c r="I336" s="1115" t="n">
        <v>7880</v>
      </c>
      <c r="J336" s="1115" t="s">
        <v>1192</v>
      </c>
      <c r="L336" s="1115" t="n">
        <f aca="false">LOOKUP(M336,$E$6:$F$4002)</f>
        <v>82300</v>
      </c>
      <c r="M336" s="1115" t="s">
        <v>1464</v>
      </c>
      <c r="N336" s="1127" t="n">
        <v>1.02</v>
      </c>
    </row>
    <row r="337" customFormat="false" ht="14.1" hidden="false" customHeight="true" outlineLevel="0" collapsed="false">
      <c r="A337" s="1115" t="n">
        <v>7870</v>
      </c>
      <c r="B337" s="1115" t="s">
        <v>157</v>
      </c>
      <c r="C337" s="1115" t="n">
        <v>7870</v>
      </c>
      <c r="D337" s="1115" t="s">
        <v>1465</v>
      </c>
      <c r="E337" s="1115" t="s">
        <v>1466</v>
      </c>
      <c r="F337" s="1115" t="n">
        <v>38490</v>
      </c>
      <c r="G337" s="1115" t="n">
        <v>7870</v>
      </c>
      <c r="H337" s="1115" t="s">
        <v>1465</v>
      </c>
      <c r="I337" s="1115" t="n">
        <v>7890</v>
      </c>
      <c r="J337" s="1115" t="s">
        <v>1192</v>
      </c>
      <c r="L337" s="1115" t="n">
        <f aca="false">LOOKUP(M337,$E$6:$F$4002)</f>
        <v>43100</v>
      </c>
      <c r="M337" s="1115" t="s">
        <v>1467</v>
      </c>
      <c r="N337" s="1127" t="n">
        <v>1</v>
      </c>
    </row>
    <row r="338" customFormat="false" ht="14.1" hidden="false" customHeight="true" outlineLevel="0" collapsed="false">
      <c r="A338" s="1115" t="n">
        <v>7880</v>
      </c>
      <c r="B338" s="1115" t="s">
        <v>157</v>
      </c>
      <c r="C338" s="1115" t="n">
        <v>7880</v>
      </c>
      <c r="D338" s="1115" t="s">
        <v>1173</v>
      </c>
      <c r="E338" s="1115" t="s">
        <v>1468</v>
      </c>
      <c r="F338" s="1115" t="n">
        <v>37740</v>
      </c>
      <c r="G338" s="1115" t="n">
        <v>7880</v>
      </c>
      <c r="H338" s="1115" t="s">
        <v>1173</v>
      </c>
      <c r="I338" s="1115" t="n">
        <v>7900</v>
      </c>
      <c r="J338" s="1115" t="s">
        <v>1192</v>
      </c>
      <c r="L338" s="1115" t="n">
        <f aca="false">LOOKUP(M338,$E$6:$F$4002)</f>
        <v>98900</v>
      </c>
      <c r="M338" s="1115" t="s">
        <v>1469</v>
      </c>
      <c r="N338" s="1127" t="n">
        <v>1.01</v>
      </c>
    </row>
    <row r="339" customFormat="false" ht="14.1" hidden="false" customHeight="true" outlineLevel="0" collapsed="false">
      <c r="A339" s="1115" t="n">
        <v>7890</v>
      </c>
      <c r="B339" s="1115" t="s">
        <v>157</v>
      </c>
      <c r="C339" s="1115" t="n">
        <v>7890</v>
      </c>
      <c r="D339" s="1115" t="s">
        <v>1470</v>
      </c>
      <c r="E339" s="1115" t="s">
        <v>1471</v>
      </c>
      <c r="F339" s="1115" t="n">
        <v>41250</v>
      </c>
      <c r="G339" s="1115" t="n">
        <v>7890</v>
      </c>
      <c r="H339" s="1115" t="s">
        <v>1470</v>
      </c>
      <c r="I339" s="1115" t="n">
        <v>7910</v>
      </c>
      <c r="J339" s="1115" t="s">
        <v>1192</v>
      </c>
      <c r="L339" s="1115" t="n">
        <f aca="false">LOOKUP(M339,$E$6:$F$4002)</f>
        <v>24410</v>
      </c>
      <c r="M339" s="1115" t="s">
        <v>1472</v>
      </c>
      <c r="N339" s="1127" t="n">
        <v>0.98</v>
      </c>
    </row>
    <row r="340" customFormat="false" ht="14.1" hidden="false" customHeight="true" outlineLevel="0" collapsed="false">
      <c r="A340" s="1115" t="n">
        <v>7900</v>
      </c>
      <c r="B340" s="1115" t="s">
        <v>157</v>
      </c>
      <c r="C340" s="1115" t="n">
        <v>7900</v>
      </c>
      <c r="D340" s="1115" t="s">
        <v>1192</v>
      </c>
      <c r="E340" s="1115" t="s">
        <v>1473</v>
      </c>
      <c r="F340" s="1115" t="n">
        <v>58115</v>
      </c>
      <c r="G340" s="1115" t="n">
        <v>7900</v>
      </c>
      <c r="H340" s="1115" t="s">
        <v>1192</v>
      </c>
      <c r="I340" s="1115" t="n">
        <v>7920</v>
      </c>
      <c r="J340" s="1115" t="s">
        <v>1192</v>
      </c>
      <c r="L340" s="1115" t="n">
        <f aca="false">LOOKUP(M340,$E$6:$F$4002)</f>
        <v>22430</v>
      </c>
      <c r="M340" s="1115" t="s">
        <v>1474</v>
      </c>
      <c r="N340" s="1127" t="n">
        <v>1</v>
      </c>
    </row>
    <row r="341" customFormat="false" ht="14.1" hidden="false" customHeight="true" outlineLevel="0" collapsed="false">
      <c r="A341" s="1115" t="n">
        <v>7910</v>
      </c>
      <c r="B341" s="1115" t="s">
        <v>157</v>
      </c>
      <c r="C341" s="1115" t="n">
        <v>7910</v>
      </c>
      <c r="D341" s="1115" t="s">
        <v>1475</v>
      </c>
      <c r="E341" s="1115" t="s">
        <v>836</v>
      </c>
      <c r="F341" s="1115" t="n">
        <v>90830</v>
      </c>
      <c r="G341" s="1115" t="n">
        <v>7910</v>
      </c>
      <c r="H341" s="1115" t="s">
        <v>1475</v>
      </c>
      <c r="I341" s="1115" t="n">
        <v>7930</v>
      </c>
      <c r="J341" s="1115" t="s">
        <v>1192</v>
      </c>
      <c r="L341" s="1115" t="n">
        <f aca="false">LOOKUP(M341,$E$6:$F$4002)</f>
        <v>9220</v>
      </c>
      <c r="M341" s="1115" t="s">
        <v>1476</v>
      </c>
      <c r="N341" s="1127" t="n">
        <v>1</v>
      </c>
    </row>
    <row r="342" customFormat="false" ht="14.1" hidden="false" customHeight="true" outlineLevel="0" collapsed="false">
      <c r="A342" s="1115" t="n">
        <v>7920</v>
      </c>
      <c r="B342" s="1115" t="s">
        <v>157</v>
      </c>
      <c r="C342" s="1115" t="n">
        <v>7920</v>
      </c>
      <c r="D342" s="1115" t="s">
        <v>1192</v>
      </c>
      <c r="E342" s="1115" t="s">
        <v>836</v>
      </c>
      <c r="F342" s="1115" t="n">
        <v>90840</v>
      </c>
      <c r="G342" s="1115" t="n">
        <v>7920</v>
      </c>
      <c r="H342" s="1115" t="s">
        <v>1192</v>
      </c>
      <c r="I342" s="1115" t="n">
        <v>7945</v>
      </c>
      <c r="J342" s="1115" t="s">
        <v>1192</v>
      </c>
      <c r="L342" s="1115" t="n">
        <v>38360</v>
      </c>
      <c r="M342" s="1115" t="s">
        <v>1477</v>
      </c>
      <c r="N342" s="1127" t="n">
        <v>1</v>
      </c>
    </row>
    <row r="343" customFormat="false" ht="14.1" hidden="false" customHeight="true" outlineLevel="0" collapsed="false">
      <c r="A343" s="1115" t="n">
        <v>7930</v>
      </c>
      <c r="B343" s="1115" t="s">
        <v>157</v>
      </c>
      <c r="C343" s="1115" t="n">
        <v>7930</v>
      </c>
      <c r="D343" s="1115" t="s">
        <v>1330</v>
      </c>
      <c r="E343" s="1115" t="s">
        <v>1478</v>
      </c>
      <c r="F343" s="1115" t="n">
        <v>82830</v>
      </c>
      <c r="G343" s="1115" t="n">
        <v>7930</v>
      </c>
      <c r="H343" s="1115" t="s">
        <v>1330</v>
      </c>
      <c r="I343" s="1115" t="n">
        <v>7955</v>
      </c>
      <c r="J343" s="1115" t="s">
        <v>1192</v>
      </c>
      <c r="L343" s="1115" t="n">
        <f aca="false">LOOKUP(M343,$E$6:$F$4002)</f>
        <v>21570</v>
      </c>
      <c r="M343" s="1115" t="s">
        <v>1479</v>
      </c>
      <c r="N343" s="1127" t="n">
        <v>0.99</v>
      </c>
    </row>
    <row r="344" customFormat="false" ht="14.1" hidden="false" customHeight="true" outlineLevel="0" collapsed="false">
      <c r="A344" s="1115" t="n">
        <v>7945</v>
      </c>
      <c r="B344" s="1115" t="s">
        <v>157</v>
      </c>
      <c r="C344" s="1115" t="n">
        <v>7945</v>
      </c>
      <c r="D344" s="1115" t="s">
        <v>1480</v>
      </c>
      <c r="E344" s="1115" t="s">
        <v>838</v>
      </c>
      <c r="F344" s="1115" t="n">
        <v>51600</v>
      </c>
      <c r="G344" s="1115" t="n">
        <v>7945</v>
      </c>
      <c r="H344" s="1115" t="s">
        <v>1480</v>
      </c>
      <c r="I344" s="1115" t="n">
        <v>7960</v>
      </c>
      <c r="J344" s="1115" t="s">
        <v>1192</v>
      </c>
      <c r="L344" s="1115" t="n">
        <f aca="false">LOOKUP(M344,$E$6:$F$4002)</f>
        <v>54800</v>
      </c>
      <c r="M344" s="1115" t="s">
        <v>1481</v>
      </c>
      <c r="N344" s="1127" t="n">
        <v>1</v>
      </c>
    </row>
    <row r="345" customFormat="false" ht="14.1" hidden="false" customHeight="true" outlineLevel="0" collapsed="false">
      <c r="A345" s="1115" t="n">
        <v>7955</v>
      </c>
      <c r="B345" s="1115" t="s">
        <v>157</v>
      </c>
      <c r="C345" s="1115" t="n">
        <v>7955</v>
      </c>
      <c r="D345" s="1115" t="s">
        <v>1482</v>
      </c>
      <c r="E345" s="1115" t="s">
        <v>1483</v>
      </c>
      <c r="F345" s="1115" t="n">
        <v>62730</v>
      </c>
      <c r="G345" s="1115" t="n">
        <v>7955</v>
      </c>
      <c r="H345" s="1115" t="s">
        <v>1482</v>
      </c>
      <c r="I345" s="1115" t="n">
        <v>7970</v>
      </c>
      <c r="J345" s="1115" t="s">
        <v>1192</v>
      </c>
      <c r="L345" s="1115" t="n">
        <f aca="false">LOOKUP(M345,$E$6:$F$4002)</f>
        <v>57810</v>
      </c>
      <c r="M345" s="1115" t="s">
        <v>1484</v>
      </c>
      <c r="N345" s="1127" t="n">
        <v>1.06</v>
      </c>
    </row>
    <row r="346" customFormat="false" ht="14.1" hidden="false" customHeight="true" outlineLevel="0" collapsed="false">
      <c r="A346" s="1115" t="n">
        <v>7960</v>
      </c>
      <c r="B346" s="1115" t="s">
        <v>157</v>
      </c>
      <c r="C346" s="1115" t="n">
        <v>7960</v>
      </c>
      <c r="D346" s="1115" t="s">
        <v>771</v>
      </c>
      <c r="E346" s="1115" t="s">
        <v>1485</v>
      </c>
      <c r="F346" s="1115" t="n">
        <v>56370</v>
      </c>
      <c r="G346" s="1115" t="n">
        <v>7960</v>
      </c>
      <c r="H346" s="1115" t="s">
        <v>771</v>
      </c>
      <c r="I346" s="1115" t="n">
        <v>7980</v>
      </c>
      <c r="J346" s="1115" t="s">
        <v>1192</v>
      </c>
      <c r="L346" s="1115" t="n">
        <f aca="false">LOOKUP(M346,$E$6:$F$4002)</f>
        <v>58300</v>
      </c>
      <c r="M346" s="1115" t="s">
        <v>1486</v>
      </c>
      <c r="N346" s="1127" t="n">
        <v>1.03</v>
      </c>
    </row>
    <row r="347" customFormat="false" ht="14.1" hidden="false" customHeight="true" outlineLevel="0" collapsed="false">
      <c r="A347" s="1115" t="n">
        <v>7970</v>
      </c>
      <c r="B347" s="1115" t="s">
        <v>157</v>
      </c>
      <c r="C347" s="1115" t="n">
        <v>7970</v>
      </c>
      <c r="D347" s="1115" t="s">
        <v>1451</v>
      </c>
      <c r="E347" s="1115" t="s">
        <v>1487</v>
      </c>
      <c r="F347" s="1115" t="n">
        <v>38660</v>
      </c>
      <c r="G347" s="1115" t="n">
        <v>7970</v>
      </c>
      <c r="H347" s="1115" t="s">
        <v>1451</v>
      </c>
      <c r="I347" s="1115" t="n">
        <v>7990</v>
      </c>
      <c r="J347" s="1115" t="s">
        <v>1192</v>
      </c>
      <c r="L347" s="1115" t="n">
        <f aca="false">LOOKUP(M347,$E$6:$F$4002)</f>
        <v>98800</v>
      </c>
      <c r="M347" s="1115" t="s">
        <v>1488</v>
      </c>
      <c r="N347" s="1127" t="n">
        <v>0.99</v>
      </c>
    </row>
    <row r="348" customFormat="false" ht="14.1" hidden="false" customHeight="true" outlineLevel="0" collapsed="false">
      <c r="A348" s="1115" t="n">
        <v>7980</v>
      </c>
      <c r="B348" s="1115" t="s">
        <v>157</v>
      </c>
      <c r="C348" s="1115" t="n">
        <v>7980</v>
      </c>
      <c r="D348" s="1115" t="s">
        <v>1489</v>
      </c>
      <c r="E348" s="1115" t="s">
        <v>840</v>
      </c>
      <c r="F348" s="1115" t="n">
        <v>12210</v>
      </c>
      <c r="G348" s="1115" t="n">
        <v>7980</v>
      </c>
      <c r="H348" s="1115" t="s">
        <v>1489</v>
      </c>
      <c r="I348" s="1115" t="n">
        <v>8100</v>
      </c>
      <c r="J348" s="1115" t="s">
        <v>1182</v>
      </c>
      <c r="L348" s="1115" t="n">
        <f aca="false">LOOKUP(M348,$E$6:$F$4002)</f>
        <v>60420</v>
      </c>
      <c r="M348" s="1115" t="s">
        <v>1490</v>
      </c>
      <c r="N348" s="1127" t="n">
        <v>0.94</v>
      </c>
    </row>
    <row r="349" customFormat="false" ht="14.1" hidden="false" customHeight="true" outlineLevel="0" collapsed="false">
      <c r="A349" s="1115" t="n">
        <v>7990</v>
      </c>
      <c r="B349" s="1115" t="s">
        <v>157</v>
      </c>
      <c r="C349" s="1115" t="n">
        <v>7990</v>
      </c>
      <c r="D349" s="1115" t="s">
        <v>1491</v>
      </c>
      <c r="E349" s="1115" t="s">
        <v>1492</v>
      </c>
      <c r="F349" s="1115" t="n">
        <v>98995</v>
      </c>
      <c r="G349" s="1115" t="n">
        <v>7990</v>
      </c>
      <c r="H349" s="1115" t="s">
        <v>1491</v>
      </c>
      <c r="I349" s="1115" t="n">
        <v>8150</v>
      </c>
      <c r="J349" s="1115" t="s">
        <v>1182</v>
      </c>
      <c r="L349" s="1115" t="n">
        <f aca="false">LOOKUP(M349,$E$6:$F$4002)</f>
        <v>85410</v>
      </c>
      <c r="M349" s="1115" t="s">
        <v>1493</v>
      </c>
      <c r="N349" s="1127" t="n">
        <v>0.97</v>
      </c>
    </row>
    <row r="350" customFormat="false" ht="14.1" hidden="false" customHeight="true" outlineLevel="0" collapsed="false">
      <c r="A350" s="1115" t="n">
        <v>8100</v>
      </c>
      <c r="B350" s="1115" t="s">
        <v>157</v>
      </c>
      <c r="C350" s="1115" t="n">
        <v>8100</v>
      </c>
      <c r="D350" s="1115" t="s">
        <v>1182</v>
      </c>
      <c r="E350" s="1115" t="s">
        <v>1494</v>
      </c>
      <c r="F350" s="1115" t="n">
        <v>63890</v>
      </c>
      <c r="G350" s="1115" t="n">
        <v>8100</v>
      </c>
      <c r="H350" s="1115" t="s">
        <v>1182</v>
      </c>
      <c r="I350" s="1115" t="n">
        <v>8200</v>
      </c>
      <c r="J350" s="1115" t="s">
        <v>1182</v>
      </c>
      <c r="L350" s="1115" t="n">
        <f aca="false">LOOKUP(M350,$E$6:$F$4002)</f>
        <v>29810</v>
      </c>
      <c r="M350" s="1115" t="s">
        <v>1495</v>
      </c>
      <c r="N350" s="1127" t="n">
        <v>0.99</v>
      </c>
    </row>
    <row r="351" customFormat="false" ht="14.1" hidden="false" customHeight="true" outlineLevel="0" collapsed="false">
      <c r="A351" s="1115" t="n">
        <v>8150</v>
      </c>
      <c r="B351" s="1115" t="s">
        <v>157</v>
      </c>
      <c r="C351" s="1115" t="n">
        <v>8150</v>
      </c>
      <c r="D351" s="1115" t="s">
        <v>1182</v>
      </c>
      <c r="E351" s="1115" t="s">
        <v>1496</v>
      </c>
      <c r="F351" s="1115" t="n">
        <v>58250</v>
      </c>
      <c r="G351" s="1115" t="n">
        <v>8150</v>
      </c>
      <c r="H351" s="1115" t="s">
        <v>1182</v>
      </c>
      <c r="I351" s="1115" t="n">
        <v>8350</v>
      </c>
      <c r="J351" s="1115" t="s">
        <v>1182</v>
      </c>
      <c r="L351" s="1115" t="n">
        <f aca="false">LOOKUP(M351,$E$6:$F$4002)</f>
        <v>92320</v>
      </c>
      <c r="M351" s="1115" t="s">
        <v>1497</v>
      </c>
      <c r="N351" s="1127" t="n">
        <v>1.01</v>
      </c>
    </row>
    <row r="352" customFormat="false" ht="14.1" hidden="false" customHeight="true" outlineLevel="0" collapsed="false">
      <c r="A352" s="1115" t="n">
        <v>8200</v>
      </c>
      <c r="B352" s="1115" t="s">
        <v>157</v>
      </c>
      <c r="C352" s="1115" t="n">
        <v>8200</v>
      </c>
      <c r="D352" s="1115" t="s">
        <v>1182</v>
      </c>
      <c r="E352" s="1115" t="s">
        <v>1278</v>
      </c>
      <c r="F352" s="1115" t="n">
        <v>4840</v>
      </c>
      <c r="G352" s="1115" t="n">
        <v>8200</v>
      </c>
      <c r="H352" s="1115" t="s">
        <v>1182</v>
      </c>
      <c r="I352" s="1115" t="n">
        <v>8360</v>
      </c>
      <c r="J352" s="1115" t="s">
        <v>1182</v>
      </c>
      <c r="L352" s="1115" t="n">
        <f aca="false">LOOKUP(M352,$E$6:$F$4002)</f>
        <v>71800</v>
      </c>
      <c r="M352" s="1115" t="s">
        <v>1498</v>
      </c>
      <c r="N352" s="1127" t="n">
        <v>0.99</v>
      </c>
    </row>
    <row r="353" customFormat="false" ht="14.1" hidden="false" customHeight="true" outlineLevel="0" collapsed="false">
      <c r="A353" s="1115" t="n">
        <v>8350</v>
      </c>
      <c r="B353" s="1115" t="s">
        <v>157</v>
      </c>
      <c r="C353" s="1115" t="n">
        <v>8350</v>
      </c>
      <c r="D353" s="1115" t="s">
        <v>1182</v>
      </c>
      <c r="E353" s="1115" t="s">
        <v>1499</v>
      </c>
      <c r="F353" s="1115" t="n">
        <v>21890</v>
      </c>
      <c r="G353" s="1115" t="n">
        <v>8350</v>
      </c>
      <c r="H353" s="1115" t="s">
        <v>1182</v>
      </c>
      <c r="I353" s="1115" t="n">
        <v>8450</v>
      </c>
      <c r="J353" s="1115" t="s">
        <v>1182</v>
      </c>
      <c r="L353" s="1115" t="n">
        <f aca="false">LOOKUP(M353,$E$6:$F$4002)</f>
        <v>95200</v>
      </c>
      <c r="M353" s="1115" t="s">
        <v>1500</v>
      </c>
      <c r="N353" s="1127" t="n">
        <v>0.92</v>
      </c>
    </row>
    <row r="354" customFormat="false" ht="14.1" hidden="false" customHeight="true" outlineLevel="0" collapsed="false">
      <c r="A354" s="1115" t="n">
        <v>8360</v>
      </c>
      <c r="B354" s="1115" t="s">
        <v>157</v>
      </c>
      <c r="C354" s="1115" t="n">
        <v>8360</v>
      </c>
      <c r="D354" s="1115" t="s">
        <v>1182</v>
      </c>
      <c r="E354" s="1115" t="s">
        <v>1501</v>
      </c>
      <c r="F354" s="1115" t="n">
        <v>31910</v>
      </c>
      <c r="G354" s="1115" t="n">
        <v>8360</v>
      </c>
      <c r="H354" s="1115" t="s">
        <v>1182</v>
      </c>
      <c r="I354" s="1115" t="n">
        <v>8480</v>
      </c>
      <c r="J354" s="1115" t="s">
        <v>1182</v>
      </c>
      <c r="L354" s="1115" t="n">
        <f aca="false">LOOKUP(M354,$E$6:$F$4002)</f>
        <v>92520</v>
      </c>
      <c r="M354" s="1115" t="s">
        <v>933</v>
      </c>
      <c r="N354" s="1127" t="n">
        <v>0.98</v>
      </c>
    </row>
    <row r="355" customFormat="false" ht="14.1" hidden="false" customHeight="true" outlineLevel="0" collapsed="false">
      <c r="A355" s="1115" t="n">
        <v>8450</v>
      </c>
      <c r="B355" s="1115" t="s">
        <v>157</v>
      </c>
      <c r="C355" s="1115" t="n">
        <v>8450</v>
      </c>
      <c r="D355" s="1115" t="s">
        <v>1182</v>
      </c>
      <c r="E355" s="1115" t="s">
        <v>1502</v>
      </c>
      <c r="F355" s="1115" t="n">
        <v>41750</v>
      </c>
      <c r="G355" s="1115" t="n">
        <v>8450</v>
      </c>
      <c r="H355" s="1115" t="s">
        <v>1182</v>
      </c>
      <c r="I355" s="1115" t="n">
        <v>8500</v>
      </c>
      <c r="J355" s="1115" t="s">
        <v>1182</v>
      </c>
      <c r="L355" s="1115" t="n">
        <f aca="false">LOOKUP(M355,$E$6:$F$4002)</f>
        <v>2580</v>
      </c>
      <c r="M355" s="1115" t="s">
        <v>1139</v>
      </c>
      <c r="N355" s="1127" t="n">
        <v>1.02</v>
      </c>
    </row>
    <row r="356" customFormat="false" ht="14.1" hidden="false" customHeight="true" outlineLevel="0" collapsed="false">
      <c r="A356" s="1115" t="n">
        <v>8480</v>
      </c>
      <c r="B356" s="1115" t="s">
        <v>157</v>
      </c>
      <c r="C356" s="1115" t="n">
        <v>8480</v>
      </c>
      <c r="D356" s="1115" t="s">
        <v>1182</v>
      </c>
      <c r="E356" s="1115" t="s">
        <v>1463</v>
      </c>
      <c r="F356" s="1115" t="n">
        <v>7850</v>
      </c>
      <c r="G356" s="1115" t="n">
        <v>8480</v>
      </c>
      <c r="H356" s="1115" t="s">
        <v>1182</v>
      </c>
      <c r="I356" s="1115" t="n">
        <v>8680</v>
      </c>
      <c r="J356" s="1115" t="s">
        <v>1182</v>
      </c>
      <c r="L356" s="1115" t="n">
        <f aca="false">LOOKUP(M356,$E$6:$F$4002)</f>
        <v>99600</v>
      </c>
      <c r="M356" s="1115" t="s">
        <v>170</v>
      </c>
      <c r="N356" s="1127" t="n">
        <v>1</v>
      </c>
    </row>
    <row r="357" customFormat="false" ht="14.1" hidden="false" customHeight="true" outlineLevel="0" collapsed="false">
      <c r="A357" s="1115" t="n">
        <v>8500</v>
      </c>
      <c r="B357" s="1115" t="s">
        <v>157</v>
      </c>
      <c r="C357" s="1115" t="n">
        <v>8500</v>
      </c>
      <c r="D357" s="1115" t="s">
        <v>1182</v>
      </c>
      <c r="E357" s="1115" t="s">
        <v>1503</v>
      </c>
      <c r="F357" s="1115" t="n">
        <v>64840</v>
      </c>
      <c r="G357" s="1115" t="n">
        <v>8500</v>
      </c>
      <c r="H357" s="1115" t="s">
        <v>1182</v>
      </c>
      <c r="I357" s="1115" t="n">
        <v>8700</v>
      </c>
      <c r="J357" s="1115" t="s">
        <v>1182</v>
      </c>
      <c r="L357" s="1115" t="n">
        <f aca="false">LOOKUP(M357,$E$6:$F$4002)</f>
        <v>99600</v>
      </c>
      <c r="M357" s="1115" t="s">
        <v>170</v>
      </c>
      <c r="N357" s="1127" t="n">
        <v>0.96</v>
      </c>
    </row>
    <row r="358" customFormat="false" ht="14.1" hidden="false" customHeight="true" outlineLevel="0" collapsed="false">
      <c r="A358" s="1115" t="n">
        <v>8680</v>
      </c>
      <c r="B358" s="1115" t="s">
        <v>157</v>
      </c>
      <c r="C358" s="1115" t="n">
        <v>8680</v>
      </c>
      <c r="D358" s="1115" t="s">
        <v>1182</v>
      </c>
      <c r="E358" s="1115" t="s">
        <v>1504</v>
      </c>
      <c r="F358" s="1115" t="n">
        <v>93980</v>
      </c>
      <c r="G358" s="1115" t="n">
        <v>8680</v>
      </c>
      <c r="H358" s="1115" t="s">
        <v>1182</v>
      </c>
      <c r="I358" s="1115" t="n">
        <v>8800</v>
      </c>
      <c r="J358" s="1115" t="s">
        <v>1182</v>
      </c>
      <c r="L358" s="1115" t="n">
        <f aca="false">LOOKUP(M358,$E$6:$F$4002)</f>
        <v>63800</v>
      </c>
      <c r="M358" s="1115" t="s">
        <v>1505</v>
      </c>
      <c r="N358" s="1127" t="n">
        <v>0.98</v>
      </c>
    </row>
    <row r="359" customFormat="false" ht="14.1" hidden="false" customHeight="true" outlineLevel="0" collapsed="false">
      <c r="A359" s="1115" t="n">
        <v>8700</v>
      </c>
      <c r="B359" s="1115" t="s">
        <v>157</v>
      </c>
      <c r="C359" s="1115" t="n">
        <v>8700</v>
      </c>
      <c r="D359" s="1115" t="s">
        <v>1182</v>
      </c>
      <c r="E359" s="1115" t="s">
        <v>1506</v>
      </c>
      <c r="F359" s="1115" t="n">
        <v>52330</v>
      </c>
      <c r="G359" s="1115" t="n">
        <v>8700</v>
      </c>
      <c r="H359" s="1115" t="s">
        <v>1182</v>
      </c>
      <c r="I359" s="1115" t="n">
        <v>9120</v>
      </c>
      <c r="J359" s="1115" t="s">
        <v>995</v>
      </c>
      <c r="L359" s="1115" t="n">
        <f aca="false">LOOKUP(M359,$E$6:$F$4002)</f>
        <v>31400</v>
      </c>
      <c r="M359" s="1115" t="s">
        <v>1507</v>
      </c>
      <c r="N359" s="1127" t="n">
        <v>1.03</v>
      </c>
    </row>
    <row r="360" customFormat="false" ht="14.1" hidden="false" customHeight="true" outlineLevel="0" collapsed="false">
      <c r="A360" s="1115" t="n">
        <v>8800</v>
      </c>
      <c r="B360" s="1115" t="s">
        <v>157</v>
      </c>
      <c r="C360" s="1115" t="n">
        <v>8800</v>
      </c>
      <c r="D360" s="1115" t="s">
        <v>1182</v>
      </c>
      <c r="E360" s="1115" t="s">
        <v>1508</v>
      </c>
      <c r="F360" s="1115" t="n">
        <v>52570</v>
      </c>
      <c r="G360" s="1115" t="n">
        <v>8800</v>
      </c>
      <c r="H360" s="1115" t="s">
        <v>1182</v>
      </c>
      <c r="I360" s="1115" t="n">
        <v>9140</v>
      </c>
      <c r="J360" s="1115" t="s">
        <v>995</v>
      </c>
      <c r="L360" s="1115" t="n">
        <f aca="false">LOOKUP(M360,$E$6:$F$4002)</f>
        <v>74300</v>
      </c>
      <c r="M360" s="1115" t="s">
        <v>1509</v>
      </c>
      <c r="N360" s="1127" t="n">
        <v>1.02</v>
      </c>
    </row>
    <row r="361" customFormat="false" ht="14.1" hidden="false" customHeight="true" outlineLevel="0" collapsed="false">
      <c r="A361" s="1115" t="n">
        <v>9120</v>
      </c>
      <c r="B361" s="1115" t="s">
        <v>157</v>
      </c>
      <c r="C361" s="1115" t="n">
        <v>9120</v>
      </c>
      <c r="D361" s="1115" t="s">
        <v>995</v>
      </c>
      <c r="E361" s="1115" t="s">
        <v>1510</v>
      </c>
      <c r="F361" s="1115" t="n">
        <v>46250</v>
      </c>
      <c r="G361" s="1115" t="n">
        <v>9120</v>
      </c>
      <c r="H361" s="1115" t="s">
        <v>995</v>
      </c>
      <c r="I361" s="1115" t="n">
        <v>9220</v>
      </c>
      <c r="J361" s="1115" t="s">
        <v>995</v>
      </c>
      <c r="L361" s="1115" t="n">
        <f aca="false">LOOKUP(M361,$E$6:$F$4002)</f>
        <v>88600</v>
      </c>
      <c r="M361" s="1115" t="s">
        <v>1511</v>
      </c>
      <c r="N361" s="1127" t="n">
        <v>0.99</v>
      </c>
    </row>
    <row r="362" customFormat="false" ht="14.1" hidden="false" customHeight="true" outlineLevel="0" collapsed="false">
      <c r="A362" s="1115" t="n">
        <v>9140</v>
      </c>
      <c r="B362" s="1115" t="s">
        <v>157</v>
      </c>
      <c r="C362" s="1115" t="n">
        <v>9140</v>
      </c>
      <c r="D362" s="1115" t="s">
        <v>1512</v>
      </c>
      <c r="E362" s="1115" t="s">
        <v>1513</v>
      </c>
      <c r="F362" s="1115" t="n">
        <v>49200</v>
      </c>
      <c r="G362" s="1115" t="n">
        <v>9140</v>
      </c>
      <c r="H362" s="1115" t="s">
        <v>1512</v>
      </c>
      <c r="I362" s="1115" t="n">
        <v>9430</v>
      </c>
      <c r="J362" s="1115" t="s">
        <v>995</v>
      </c>
      <c r="L362" s="1115" t="n">
        <f aca="false">LOOKUP(M362,$E$6:$F$4002)</f>
        <v>22720</v>
      </c>
      <c r="M362" s="1115" t="s">
        <v>1514</v>
      </c>
      <c r="N362" s="1127" t="n">
        <v>1.01</v>
      </c>
    </row>
    <row r="363" customFormat="false" ht="14.1" hidden="false" customHeight="true" outlineLevel="0" collapsed="false">
      <c r="A363" s="1115" t="n">
        <v>9220</v>
      </c>
      <c r="B363" s="1115" t="s">
        <v>157</v>
      </c>
      <c r="C363" s="1115" t="n">
        <v>9220</v>
      </c>
      <c r="D363" s="1115" t="s">
        <v>1476</v>
      </c>
      <c r="E363" s="1115" t="s">
        <v>843</v>
      </c>
      <c r="F363" s="1115" t="n">
        <v>18100</v>
      </c>
      <c r="G363" s="1115" t="n">
        <v>9220</v>
      </c>
      <c r="H363" s="1115" t="s">
        <v>1476</v>
      </c>
      <c r="I363" s="1115" t="n">
        <v>9520</v>
      </c>
      <c r="J363" s="1115" t="s">
        <v>995</v>
      </c>
      <c r="L363" s="1115" t="n">
        <f aca="false">LOOKUP(M363,$E$6:$F$4002)</f>
        <v>58700</v>
      </c>
      <c r="M363" s="1115" t="s">
        <v>1515</v>
      </c>
      <c r="N363" s="1127" t="n">
        <v>0.97</v>
      </c>
    </row>
    <row r="364" customFormat="false" ht="14.1" hidden="false" customHeight="true" outlineLevel="0" collapsed="false">
      <c r="A364" s="1115" t="n">
        <v>9430</v>
      </c>
      <c r="B364" s="1115" t="s">
        <v>157</v>
      </c>
      <c r="C364" s="1115" t="n">
        <v>9430</v>
      </c>
      <c r="D364" s="1115" t="s">
        <v>1516</v>
      </c>
      <c r="E364" s="1115" t="s">
        <v>843</v>
      </c>
      <c r="F364" s="1115" t="n">
        <v>18120</v>
      </c>
      <c r="G364" s="1115" t="n">
        <v>9430</v>
      </c>
      <c r="H364" s="1115" t="s">
        <v>1516</v>
      </c>
      <c r="I364" s="1115" t="n">
        <v>9630</v>
      </c>
      <c r="J364" s="1115" t="s">
        <v>995</v>
      </c>
      <c r="L364" s="1115" t="n">
        <f aca="false">LOOKUP(M364,$E$6:$F$4002)</f>
        <v>44280</v>
      </c>
      <c r="M364" s="1115" t="s">
        <v>1517</v>
      </c>
      <c r="N364" s="1127" t="n">
        <v>1</v>
      </c>
    </row>
    <row r="365" customFormat="false" ht="14.1" hidden="false" customHeight="true" outlineLevel="0" collapsed="false">
      <c r="A365" s="1115" t="n">
        <v>9520</v>
      </c>
      <c r="B365" s="1115" t="s">
        <v>157</v>
      </c>
      <c r="C365" s="1115" t="n">
        <v>9520</v>
      </c>
      <c r="D365" s="1115" t="s">
        <v>1518</v>
      </c>
      <c r="E365" s="1115" t="s">
        <v>843</v>
      </c>
      <c r="F365" s="1115" t="n">
        <v>18130</v>
      </c>
      <c r="G365" s="1115" t="n">
        <v>9520</v>
      </c>
      <c r="H365" s="1115" t="s">
        <v>1518</v>
      </c>
      <c r="I365" s="1115" t="n">
        <v>9710</v>
      </c>
      <c r="J365" s="1115" t="s">
        <v>995</v>
      </c>
      <c r="L365" s="1115" t="n">
        <f aca="false">LOOKUP(M365,$E$6:$F$4002)</f>
        <v>22530</v>
      </c>
      <c r="M365" s="1115" t="s">
        <v>1519</v>
      </c>
      <c r="N365" s="1127" t="n">
        <v>1.01</v>
      </c>
    </row>
    <row r="366" customFormat="false" ht="14.1" hidden="false" customHeight="true" outlineLevel="0" collapsed="false">
      <c r="A366" s="1115" t="n">
        <v>9630</v>
      </c>
      <c r="B366" s="1115" t="s">
        <v>157</v>
      </c>
      <c r="C366" s="1115" t="n">
        <v>9630</v>
      </c>
      <c r="D366" s="1115" t="s">
        <v>1520</v>
      </c>
      <c r="E366" s="1115" t="s">
        <v>843</v>
      </c>
      <c r="F366" s="1115" t="n">
        <v>18150</v>
      </c>
      <c r="G366" s="1115" t="n">
        <v>9630</v>
      </c>
      <c r="H366" s="1115" t="s">
        <v>1520</v>
      </c>
      <c r="I366" s="1115" t="n">
        <v>9810</v>
      </c>
      <c r="J366" s="1115" t="s">
        <v>995</v>
      </c>
      <c r="L366" s="1115" t="n">
        <f aca="false">LOOKUP(M366,$E$6:$F$4002)</f>
        <v>38510</v>
      </c>
      <c r="M366" s="1115" t="s">
        <v>1521</v>
      </c>
      <c r="N366" s="1127" t="n">
        <v>0.99</v>
      </c>
    </row>
    <row r="367" customFormat="false" ht="14.1" hidden="false" customHeight="true" outlineLevel="0" collapsed="false">
      <c r="A367" s="1115" t="n">
        <v>9710</v>
      </c>
      <c r="B367" s="1115" t="s">
        <v>157</v>
      </c>
      <c r="C367" s="1115" t="n">
        <v>9710</v>
      </c>
      <c r="D367" s="1115" t="s">
        <v>1522</v>
      </c>
      <c r="E367" s="1115" t="s">
        <v>843</v>
      </c>
      <c r="F367" s="1115" t="n">
        <v>18200</v>
      </c>
      <c r="G367" s="1115" t="n">
        <v>9710</v>
      </c>
      <c r="H367" s="1115" t="s">
        <v>1522</v>
      </c>
      <c r="I367" s="1115" t="n">
        <v>9840</v>
      </c>
      <c r="J367" s="1115" t="s">
        <v>995</v>
      </c>
      <c r="L367" s="1115" t="n">
        <f aca="false">LOOKUP(M367,$E$6:$F$4002)</f>
        <v>44220</v>
      </c>
      <c r="M367" s="1115" t="s">
        <v>1523</v>
      </c>
      <c r="N367" s="1127" t="n">
        <v>0.99</v>
      </c>
    </row>
    <row r="368" customFormat="false" ht="14.1" hidden="false" customHeight="true" outlineLevel="0" collapsed="false">
      <c r="A368" s="1115" t="n">
        <v>9810</v>
      </c>
      <c r="B368" s="1115" t="s">
        <v>157</v>
      </c>
      <c r="C368" s="1115" t="n">
        <v>9810</v>
      </c>
      <c r="D368" s="1115" t="s">
        <v>1524</v>
      </c>
      <c r="E368" s="1115" t="s">
        <v>843</v>
      </c>
      <c r="F368" s="1115" t="n">
        <v>18300</v>
      </c>
      <c r="G368" s="1115" t="n">
        <v>9810</v>
      </c>
      <c r="H368" s="1115" t="s">
        <v>1524</v>
      </c>
      <c r="I368" s="1115" t="n">
        <v>9930</v>
      </c>
      <c r="J368" s="1115" t="s">
        <v>995</v>
      </c>
      <c r="L368" s="1115" t="n">
        <f aca="false">LOOKUP(M368,$E$6:$F$4002)</f>
        <v>52830</v>
      </c>
      <c r="M368" s="1115" t="s">
        <v>1525</v>
      </c>
      <c r="N368" s="1127" t="n">
        <v>0.99</v>
      </c>
    </row>
    <row r="369" customFormat="false" ht="14.1" hidden="false" customHeight="true" outlineLevel="0" collapsed="false">
      <c r="A369" s="1115" t="n">
        <v>9840</v>
      </c>
      <c r="B369" s="1115" t="s">
        <v>157</v>
      </c>
      <c r="C369" s="1115" t="n">
        <v>9840</v>
      </c>
      <c r="D369" s="1115" t="s">
        <v>1526</v>
      </c>
      <c r="E369" s="1115" t="s">
        <v>1527</v>
      </c>
      <c r="F369" s="1115" t="n">
        <v>19380</v>
      </c>
      <c r="G369" s="1115" t="n">
        <v>9840</v>
      </c>
      <c r="H369" s="1115" t="s">
        <v>1526</v>
      </c>
      <c r="I369" s="1115" t="n">
        <v>10120</v>
      </c>
      <c r="J369" s="1115" t="s">
        <v>887</v>
      </c>
      <c r="L369" s="1115" t="n">
        <f aca="false">LOOKUP(M369,$E$6:$F$4002)</f>
        <v>25410</v>
      </c>
      <c r="M369" s="1115" t="s">
        <v>1528</v>
      </c>
      <c r="N369" s="1127" t="n">
        <v>1</v>
      </c>
    </row>
    <row r="370" customFormat="false" ht="14.1" hidden="false" customHeight="true" outlineLevel="0" collapsed="false">
      <c r="A370" s="1115" t="n">
        <v>9930</v>
      </c>
      <c r="B370" s="1115" t="s">
        <v>157</v>
      </c>
      <c r="C370" s="1115" t="n">
        <v>9930</v>
      </c>
      <c r="D370" s="1115" t="s">
        <v>1529</v>
      </c>
      <c r="E370" s="1115" t="s">
        <v>1530</v>
      </c>
      <c r="F370" s="1115" t="n">
        <v>82490</v>
      </c>
      <c r="G370" s="1115" t="n">
        <v>9930</v>
      </c>
      <c r="H370" s="1115" t="s">
        <v>1529</v>
      </c>
      <c r="I370" s="1115" t="n">
        <v>10140</v>
      </c>
      <c r="J370" s="1115" t="s">
        <v>887</v>
      </c>
      <c r="L370" s="1115" t="n">
        <f aca="false">LOOKUP(M370,$E$6:$F$4002)</f>
        <v>89800</v>
      </c>
      <c r="M370" s="1115" t="s">
        <v>1531</v>
      </c>
      <c r="N370" s="1127" t="n">
        <v>0.94</v>
      </c>
    </row>
    <row r="371" customFormat="false" ht="14.1" hidden="false" customHeight="true" outlineLevel="0" collapsed="false">
      <c r="A371" s="1115" t="n">
        <v>10120</v>
      </c>
      <c r="B371" s="1115" t="s">
        <v>157</v>
      </c>
      <c r="C371" s="1115" t="n">
        <v>10120</v>
      </c>
      <c r="D371" s="1115" t="s">
        <v>1532</v>
      </c>
      <c r="E371" s="1115" t="s">
        <v>1533</v>
      </c>
      <c r="F371" s="1115" t="n">
        <v>38150</v>
      </c>
      <c r="G371" s="1115" t="n">
        <v>10120</v>
      </c>
      <c r="H371" s="1115" t="s">
        <v>1532</v>
      </c>
      <c r="I371" s="1115" t="n">
        <v>10160</v>
      </c>
      <c r="J371" s="1115" t="s">
        <v>887</v>
      </c>
      <c r="L371" s="1115" t="n">
        <f aca="false">LOOKUP(M371,$E$6:$F$4002)</f>
        <v>77600</v>
      </c>
      <c r="M371" s="1115" t="s">
        <v>1534</v>
      </c>
      <c r="N371" s="1127" t="n">
        <v>0.99</v>
      </c>
    </row>
    <row r="372" customFormat="false" ht="14.1" hidden="false" customHeight="true" outlineLevel="0" collapsed="false">
      <c r="A372" s="1115" t="n">
        <v>10140</v>
      </c>
      <c r="B372" s="1115" t="s">
        <v>157</v>
      </c>
      <c r="C372" s="1115" t="n">
        <v>10140</v>
      </c>
      <c r="D372" s="1115" t="s">
        <v>1535</v>
      </c>
      <c r="E372" s="1115" t="s">
        <v>1536</v>
      </c>
      <c r="F372" s="1115" t="n">
        <v>82810</v>
      </c>
      <c r="G372" s="1115" t="n">
        <v>10140</v>
      </c>
      <c r="H372" s="1115" t="s">
        <v>1535</v>
      </c>
      <c r="I372" s="1115" t="n">
        <v>10210</v>
      </c>
      <c r="J372" s="1115" t="s">
        <v>887</v>
      </c>
      <c r="L372" s="1115" t="n">
        <f aca="false">LOOKUP(M372,$E$6:$F$4002)</f>
        <v>19700</v>
      </c>
      <c r="M372" s="1115" t="s">
        <v>1537</v>
      </c>
      <c r="N372" s="1127" t="n">
        <v>0.98</v>
      </c>
    </row>
    <row r="373" customFormat="false" ht="14.1" hidden="false" customHeight="true" outlineLevel="0" collapsed="false">
      <c r="A373" s="1115" t="n">
        <v>10160</v>
      </c>
      <c r="B373" s="1115" t="s">
        <v>157</v>
      </c>
      <c r="C373" s="1115" t="n">
        <v>10160</v>
      </c>
      <c r="D373" s="1115" t="s">
        <v>1040</v>
      </c>
      <c r="E373" s="1115" t="s">
        <v>1538</v>
      </c>
      <c r="F373" s="1115" t="n">
        <v>74630</v>
      </c>
      <c r="G373" s="1115" t="n">
        <v>10160</v>
      </c>
      <c r="H373" s="1115" t="s">
        <v>1040</v>
      </c>
      <c r="I373" s="1115" t="n">
        <v>10230</v>
      </c>
      <c r="J373" s="1115" t="s">
        <v>887</v>
      </c>
      <c r="L373" s="1115" t="n">
        <f aca="false">LOOKUP(M373,$E$6:$F$4002)</f>
        <v>27800</v>
      </c>
      <c r="M373" s="1115" t="s">
        <v>1539</v>
      </c>
      <c r="N373" s="1127" t="n">
        <v>0.97</v>
      </c>
    </row>
    <row r="374" customFormat="false" ht="14.1" hidden="false" customHeight="true" outlineLevel="0" collapsed="false">
      <c r="A374" s="1115" t="n">
        <v>10210</v>
      </c>
      <c r="B374" s="1115" t="s">
        <v>157</v>
      </c>
      <c r="C374" s="1115" t="n">
        <v>10210</v>
      </c>
      <c r="D374" s="1115" t="s">
        <v>887</v>
      </c>
      <c r="E374" s="1115" t="s">
        <v>1540</v>
      </c>
      <c r="F374" s="1115" t="n">
        <v>16330</v>
      </c>
      <c r="G374" s="1115" t="n">
        <v>10210</v>
      </c>
      <c r="H374" s="1115" t="s">
        <v>887</v>
      </c>
      <c r="I374" s="1115" t="n">
        <v>10250</v>
      </c>
      <c r="J374" s="1115" t="s">
        <v>887</v>
      </c>
      <c r="L374" s="1115" t="n">
        <f aca="false">LOOKUP(M374,$E$6:$F$4002)</f>
        <v>25630</v>
      </c>
      <c r="M374" s="1115" t="s">
        <v>1541</v>
      </c>
      <c r="N374" s="1127" t="n">
        <v>1.01</v>
      </c>
    </row>
    <row r="375" customFormat="false" ht="14.1" hidden="false" customHeight="true" outlineLevel="0" collapsed="false">
      <c r="A375" s="1115" t="n">
        <v>10230</v>
      </c>
      <c r="B375" s="1115" t="s">
        <v>157</v>
      </c>
      <c r="C375" s="1115" t="n">
        <v>10230</v>
      </c>
      <c r="D375" s="1115" t="s">
        <v>887</v>
      </c>
      <c r="E375" s="1115" t="s">
        <v>1542</v>
      </c>
      <c r="F375" s="1115" t="n">
        <v>43180</v>
      </c>
      <c r="G375" s="1115" t="n">
        <v>10230</v>
      </c>
      <c r="H375" s="1115" t="s">
        <v>887</v>
      </c>
      <c r="I375" s="1115" t="n">
        <v>10270</v>
      </c>
      <c r="J375" s="1115" t="s">
        <v>887</v>
      </c>
      <c r="L375" s="1115" t="n">
        <f aca="false">LOOKUP(M375,$E$6:$F$4002)</f>
        <v>54920</v>
      </c>
      <c r="M375" s="1115" t="s">
        <v>1543</v>
      </c>
      <c r="N375" s="1127" t="n">
        <v>0.99</v>
      </c>
    </row>
    <row r="376" customFormat="false" ht="14.1" hidden="false" customHeight="true" outlineLevel="0" collapsed="false">
      <c r="A376" s="1115" t="n">
        <v>10250</v>
      </c>
      <c r="B376" s="1115" t="s">
        <v>157</v>
      </c>
      <c r="C376" s="1115" t="n">
        <v>10250</v>
      </c>
      <c r="D376" s="1115" t="s">
        <v>1206</v>
      </c>
      <c r="E376" s="1115" t="s">
        <v>1544</v>
      </c>
      <c r="F376" s="1115" t="n">
        <v>82110</v>
      </c>
      <c r="G376" s="1115" t="n">
        <v>10250</v>
      </c>
      <c r="H376" s="1115" t="s">
        <v>1206</v>
      </c>
      <c r="I376" s="1115" t="n">
        <v>10300</v>
      </c>
      <c r="J376" s="1115" t="s">
        <v>991</v>
      </c>
      <c r="L376" s="1115" t="n">
        <f aca="false">LOOKUP(M376,$E$6:$F$4002)</f>
        <v>93400</v>
      </c>
      <c r="M376" s="1115" t="s">
        <v>1545</v>
      </c>
      <c r="N376" s="1127" t="n">
        <v>0.9</v>
      </c>
    </row>
    <row r="377" customFormat="false" ht="14.1" hidden="false" customHeight="true" outlineLevel="0" collapsed="false">
      <c r="A377" s="1115" t="n">
        <v>10270</v>
      </c>
      <c r="B377" s="1115" t="s">
        <v>157</v>
      </c>
      <c r="C377" s="1115" t="n">
        <v>10270</v>
      </c>
      <c r="D377" s="1115" t="s">
        <v>973</v>
      </c>
      <c r="E377" s="1115" t="s">
        <v>845</v>
      </c>
      <c r="F377" s="1115" t="n">
        <v>79700</v>
      </c>
      <c r="G377" s="1115" t="n">
        <v>10270</v>
      </c>
      <c r="H377" s="1115" t="s">
        <v>973</v>
      </c>
      <c r="I377" s="1115" t="n">
        <v>10330</v>
      </c>
      <c r="J377" s="1115" t="s">
        <v>991</v>
      </c>
      <c r="L377" s="1115" t="n">
        <f aca="false">LOOKUP(M377,$E$6:$F$4002)</f>
        <v>23310</v>
      </c>
      <c r="M377" s="1115" t="s">
        <v>1546</v>
      </c>
      <c r="N377" s="1127" t="n">
        <v>1.02</v>
      </c>
    </row>
    <row r="378" customFormat="false" ht="14.1" hidden="false" customHeight="true" outlineLevel="0" collapsed="false">
      <c r="A378" s="1115" t="n">
        <v>10300</v>
      </c>
      <c r="B378" s="1115" t="s">
        <v>157</v>
      </c>
      <c r="C378" s="1115" t="n">
        <v>10300</v>
      </c>
      <c r="D378" s="1115" t="s">
        <v>991</v>
      </c>
      <c r="E378" s="1115" t="s">
        <v>845</v>
      </c>
      <c r="F378" s="1115" t="n">
        <v>79710</v>
      </c>
      <c r="G378" s="1115" t="n">
        <v>10300</v>
      </c>
      <c r="H378" s="1115" t="s">
        <v>991</v>
      </c>
      <c r="I378" s="1115" t="n">
        <v>10350</v>
      </c>
      <c r="J378" s="1115" t="s">
        <v>991</v>
      </c>
      <c r="L378" s="1115" t="n">
        <f aca="false">LOOKUP(M378,$E$6:$F$4002)</f>
        <v>31300</v>
      </c>
      <c r="M378" s="1115" t="s">
        <v>1547</v>
      </c>
      <c r="N378" s="1127" t="n">
        <v>1.02</v>
      </c>
    </row>
    <row r="379" customFormat="false" ht="14.1" hidden="false" customHeight="true" outlineLevel="0" collapsed="false">
      <c r="A379" s="1115" t="n">
        <v>10330</v>
      </c>
      <c r="B379" s="1115" t="s">
        <v>157</v>
      </c>
      <c r="C379" s="1115" t="n">
        <v>10330</v>
      </c>
      <c r="D379" s="1115" t="s">
        <v>1548</v>
      </c>
      <c r="E379" s="1115" t="s">
        <v>1549</v>
      </c>
      <c r="F379" s="1115" t="n">
        <v>54770</v>
      </c>
      <c r="G379" s="1115" t="n">
        <v>10330</v>
      </c>
      <c r="H379" s="1115" t="s">
        <v>1548</v>
      </c>
      <c r="I379" s="1115" t="n">
        <v>10360</v>
      </c>
      <c r="J379" s="1115" t="s">
        <v>991</v>
      </c>
      <c r="L379" s="1115" t="n">
        <f aca="false">LOOKUP(M379,$E$6:$F$4002)</f>
        <v>10650</v>
      </c>
      <c r="M379" s="1115" t="s">
        <v>1550</v>
      </c>
      <c r="N379" s="1127" t="n">
        <v>0.99</v>
      </c>
    </row>
    <row r="380" customFormat="false" ht="14.1" hidden="false" customHeight="true" outlineLevel="0" collapsed="false">
      <c r="A380" s="1115" t="n">
        <v>10350</v>
      </c>
      <c r="B380" s="1115" t="s">
        <v>157</v>
      </c>
      <c r="C380" s="1115" t="n">
        <v>10350</v>
      </c>
      <c r="D380" s="1115" t="s">
        <v>1551</v>
      </c>
      <c r="E380" s="1115" t="s">
        <v>1552</v>
      </c>
      <c r="F380" s="1115" t="n">
        <v>62130</v>
      </c>
      <c r="G380" s="1115" t="n">
        <v>10350</v>
      </c>
      <c r="H380" s="1115" t="s">
        <v>1551</v>
      </c>
      <c r="I380" s="1115" t="n">
        <v>10380</v>
      </c>
      <c r="J380" s="1115" t="s">
        <v>991</v>
      </c>
      <c r="L380" s="1115" t="n">
        <f aca="false">LOOKUP(M380,$E$6:$F$4002)</f>
        <v>33900</v>
      </c>
      <c r="M380" s="1115" t="s">
        <v>161</v>
      </c>
      <c r="N380" s="1127" t="n">
        <v>0.98</v>
      </c>
    </row>
    <row r="381" customFormat="false" ht="14.1" hidden="false" customHeight="true" outlineLevel="0" collapsed="false">
      <c r="A381" s="1115" t="n">
        <v>10360</v>
      </c>
      <c r="B381" s="1115" t="s">
        <v>157</v>
      </c>
      <c r="C381" s="1115" t="n">
        <v>10360</v>
      </c>
      <c r="D381" s="1115" t="s">
        <v>1553</v>
      </c>
      <c r="E381" s="1115" t="s">
        <v>1552</v>
      </c>
      <c r="F381" s="1115" t="n">
        <v>62130</v>
      </c>
      <c r="G381" s="1115" t="n">
        <v>10360</v>
      </c>
      <c r="H381" s="1115" t="s">
        <v>1553</v>
      </c>
      <c r="I381" s="1115" t="n">
        <v>10410</v>
      </c>
      <c r="J381" s="1115" t="s">
        <v>991</v>
      </c>
      <c r="L381" s="1115" t="n">
        <f aca="false">LOOKUP(M381,$E$6:$F$4002)</f>
        <v>33900</v>
      </c>
      <c r="M381" s="1115" t="s">
        <v>738</v>
      </c>
      <c r="N381" s="1127" t="n">
        <v>1</v>
      </c>
    </row>
    <row r="382" customFormat="false" ht="14.1" hidden="false" customHeight="true" outlineLevel="0" collapsed="false">
      <c r="A382" s="1115" t="n">
        <v>10380</v>
      </c>
      <c r="B382" s="1115" t="s">
        <v>157</v>
      </c>
      <c r="C382" s="1115" t="n">
        <v>10380</v>
      </c>
      <c r="D382" s="1115" t="s">
        <v>1554</v>
      </c>
      <c r="E382" s="1115" t="s">
        <v>1555</v>
      </c>
      <c r="F382" s="1115" t="n">
        <v>49920</v>
      </c>
      <c r="G382" s="1115" t="n">
        <v>10380</v>
      </c>
      <c r="H382" s="1115" t="s">
        <v>1554</v>
      </c>
      <c r="I382" s="1115" t="n">
        <v>10420</v>
      </c>
      <c r="J382" s="1115" t="s">
        <v>991</v>
      </c>
      <c r="L382" s="1115" t="n">
        <f aca="false">LOOKUP(M382,$E$6:$F$4002)</f>
        <v>21450</v>
      </c>
      <c r="M382" s="1115" t="s">
        <v>1556</v>
      </c>
      <c r="N382" s="1127" t="n">
        <v>0.97</v>
      </c>
    </row>
    <row r="383" customFormat="false" ht="14.1" hidden="false" customHeight="true" outlineLevel="0" collapsed="false">
      <c r="A383" s="1115" t="n">
        <v>10410</v>
      </c>
      <c r="B383" s="1115" t="s">
        <v>158</v>
      </c>
      <c r="C383" s="1115" t="n">
        <v>10410</v>
      </c>
      <c r="D383" s="1115" t="s">
        <v>1557</v>
      </c>
      <c r="E383" s="1115" t="s">
        <v>1558</v>
      </c>
      <c r="F383" s="1115" t="n">
        <v>97440</v>
      </c>
      <c r="G383" s="1115" t="n">
        <v>10410</v>
      </c>
      <c r="H383" s="1115" t="s">
        <v>1557</v>
      </c>
      <c r="I383" s="1115" t="n">
        <v>10440</v>
      </c>
      <c r="J383" s="1115" t="s">
        <v>991</v>
      </c>
      <c r="L383" s="1115" t="n">
        <f aca="false">LOOKUP(M383,$E$6:$F$4002)</f>
        <v>72210</v>
      </c>
      <c r="M383" s="1115" t="s">
        <v>1559</v>
      </c>
      <c r="N383" s="1127" t="n">
        <v>0.98</v>
      </c>
    </row>
    <row r="384" customFormat="false" ht="14.1" hidden="false" customHeight="true" outlineLevel="0" collapsed="false">
      <c r="A384" s="1115" t="n">
        <v>10420</v>
      </c>
      <c r="B384" s="1115" t="s">
        <v>158</v>
      </c>
      <c r="C384" s="1115" t="n">
        <v>10420</v>
      </c>
      <c r="D384" s="1115" t="s">
        <v>1560</v>
      </c>
      <c r="E384" s="1115" t="s">
        <v>1561</v>
      </c>
      <c r="F384" s="1115" t="n">
        <v>65520</v>
      </c>
      <c r="G384" s="1115" t="n">
        <v>10420</v>
      </c>
      <c r="H384" s="1115" t="s">
        <v>1560</v>
      </c>
      <c r="I384" s="1115" t="n">
        <v>10470</v>
      </c>
      <c r="J384" s="1115" t="s">
        <v>991</v>
      </c>
      <c r="L384" s="1115" t="n">
        <f aca="false">LOOKUP(M384,$E$6:$F$4002)</f>
        <v>95300</v>
      </c>
      <c r="M384" s="1115" t="s">
        <v>1562</v>
      </c>
      <c r="N384" s="1127" t="n">
        <v>0.91</v>
      </c>
    </row>
    <row r="385" customFormat="false" ht="14.1" hidden="false" customHeight="true" outlineLevel="0" collapsed="false">
      <c r="A385" s="1115" t="n">
        <v>10440</v>
      </c>
      <c r="B385" s="1115" t="s">
        <v>158</v>
      </c>
      <c r="C385" s="1115" t="n">
        <v>10440</v>
      </c>
      <c r="D385" s="1115" t="s">
        <v>997</v>
      </c>
      <c r="E385" s="1115" t="s">
        <v>158</v>
      </c>
      <c r="F385" s="1115" t="n">
        <v>100</v>
      </c>
      <c r="G385" s="1115" t="n">
        <v>10440</v>
      </c>
      <c r="H385" s="1115" t="s">
        <v>997</v>
      </c>
      <c r="I385" s="1115" t="n">
        <v>10480</v>
      </c>
      <c r="J385" s="1115" t="s">
        <v>991</v>
      </c>
      <c r="L385" s="1115" t="n">
        <f aca="false">LOOKUP(M385,$E$6:$F$4002)</f>
        <v>64700</v>
      </c>
      <c r="M385" s="1115" t="s">
        <v>1563</v>
      </c>
      <c r="N385" s="1127" t="n">
        <v>0.98</v>
      </c>
    </row>
    <row r="386" customFormat="false" ht="14.1" hidden="false" customHeight="true" outlineLevel="0" collapsed="false">
      <c r="A386" s="1115" t="n">
        <v>10470</v>
      </c>
      <c r="B386" s="1115" t="s">
        <v>158</v>
      </c>
      <c r="C386" s="1115" t="n">
        <v>10470</v>
      </c>
      <c r="D386" s="1115" t="s">
        <v>1212</v>
      </c>
      <c r="E386" s="1115" t="s">
        <v>158</v>
      </c>
      <c r="F386" s="1115" t="n">
        <v>100</v>
      </c>
      <c r="G386" s="1115" t="n">
        <v>10470</v>
      </c>
      <c r="H386" s="1115" t="s">
        <v>1212</v>
      </c>
      <c r="I386" s="1115" t="n">
        <v>10520</v>
      </c>
      <c r="J386" s="1115" t="s">
        <v>991</v>
      </c>
      <c r="L386" s="1115" t="n">
        <f aca="false">LOOKUP(M386,$E$6:$F$4002)</f>
        <v>82610</v>
      </c>
      <c r="M386" s="1115" t="s">
        <v>1564</v>
      </c>
      <c r="N386" s="1127" t="n">
        <v>1</v>
      </c>
    </row>
    <row r="387" customFormat="false" ht="14.1" hidden="false" customHeight="true" outlineLevel="0" collapsed="false">
      <c r="A387" s="1115" t="n">
        <v>10480</v>
      </c>
      <c r="B387" s="1115" t="s">
        <v>158</v>
      </c>
      <c r="C387" s="1115" t="n">
        <v>10480</v>
      </c>
      <c r="D387" s="1115" t="s">
        <v>901</v>
      </c>
      <c r="E387" s="1115" t="s">
        <v>158</v>
      </c>
      <c r="F387" s="1115" t="n">
        <v>100</v>
      </c>
      <c r="G387" s="1115" t="n">
        <v>10480</v>
      </c>
      <c r="H387" s="1115" t="s">
        <v>901</v>
      </c>
      <c r="I387" s="1115" t="n">
        <v>10570</v>
      </c>
      <c r="J387" s="1115" t="s">
        <v>991</v>
      </c>
      <c r="L387" s="1115" t="n">
        <f aca="false">LOOKUP(M387,$E$6:$F$4002)</f>
        <v>69300</v>
      </c>
      <c r="M387" s="1115" t="s">
        <v>1565</v>
      </c>
      <c r="N387" s="1127" t="n">
        <v>0.97</v>
      </c>
    </row>
    <row r="388" customFormat="false" ht="14.1" hidden="false" customHeight="true" outlineLevel="0" collapsed="false">
      <c r="A388" s="1115" t="n">
        <v>10520</v>
      </c>
      <c r="B388" s="1115" t="s">
        <v>158</v>
      </c>
      <c r="C388" s="1115" t="n">
        <v>10520</v>
      </c>
      <c r="D388" s="1115" t="s">
        <v>1566</v>
      </c>
      <c r="E388" s="1115" t="s">
        <v>158</v>
      </c>
      <c r="F388" s="1115" t="n">
        <v>120</v>
      </c>
      <c r="G388" s="1115" t="n">
        <v>10520</v>
      </c>
      <c r="H388" s="1115" t="s">
        <v>1566</v>
      </c>
      <c r="I388" s="1115" t="n">
        <v>10600</v>
      </c>
      <c r="J388" s="1115" t="s">
        <v>991</v>
      </c>
      <c r="L388" s="1115" t="n">
        <f aca="false">LOOKUP(M388,$E$6:$F$4002)</f>
        <v>41660</v>
      </c>
      <c r="M388" s="1115" t="s">
        <v>1567</v>
      </c>
      <c r="N388" s="1127" t="n">
        <v>1.01</v>
      </c>
    </row>
    <row r="389" customFormat="false" ht="14.1" hidden="false" customHeight="true" outlineLevel="0" collapsed="false">
      <c r="A389" s="1115" t="n">
        <v>10570</v>
      </c>
      <c r="B389" s="1115" t="s">
        <v>158</v>
      </c>
      <c r="C389" s="1115" t="n">
        <v>10570</v>
      </c>
      <c r="D389" s="1115" t="s">
        <v>1012</v>
      </c>
      <c r="E389" s="1115" t="s">
        <v>158</v>
      </c>
      <c r="F389" s="1115" t="n">
        <v>130</v>
      </c>
      <c r="G389" s="1115" t="n">
        <v>10570</v>
      </c>
      <c r="H389" s="1115" t="s">
        <v>1012</v>
      </c>
      <c r="I389" s="1115" t="n">
        <v>10620</v>
      </c>
      <c r="J389" s="1115" t="s">
        <v>991</v>
      </c>
      <c r="L389" s="1115" t="n">
        <f aca="false">LOOKUP(M389,$E$6:$F$4002)</f>
        <v>95590</v>
      </c>
      <c r="M389" s="1115" t="s">
        <v>1568</v>
      </c>
      <c r="N389" s="1127" t="n">
        <v>0.92</v>
      </c>
    </row>
    <row r="390" customFormat="false" ht="14.1" hidden="false" customHeight="true" outlineLevel="0" collapsed="false">
      <c r="A390" s="1115" t="n">
        <v>10600</v>
      </c>
      <c r="B390" s="1115" t="s">
        <v>158</v>
      </c>
      <c r="C390" s="1115" t="n">
        <v>10600</v>
      </c>
      <c r="D390" s="1115" t="s">
        <v>1550</v>
      </c>
      <c r="E390" s="1115" t="s">
        <v>158</v>
      </c>
      <c r="F390" s="1115" t="n">
        <v>140</v>
      </c>
      <c r="G390" s="1115" t="n">
        <v>10600</v>
      </c>
      <c r="H390" s="1115" t="s">
        <v>1550</v>
      </c>
      <c r="I390" s="1115" t="n">
        <v>10640</v>
      </c>
      <c r="J390" s="1115" t="s">
        <v>991</v>
      </c>
      <c r="L390" s="1115" t="n">
        <f aca="false">LOOKUP(M390,$E$6:$F$4002)</f>
        <v>20990</v>
      </c>
      <c r="M390" s="1115" t="s">
        <v>160</v>
      </c>
      <c r="N390" s="1127" t="n">
        <v>1</v>
      </c>
    </row>
    <row r="391" customFormat="false" ht="14.1" hidden="false" customHeight="true" outlineLevel="0" collapsed="false">
      <c r="A391" s="1115" t="n">
        <v>10620</v>
      </c>
      <c r="B391" s="1115" t="s">
        <v>158</v>
      </c>
      <c r="C391" s="1115" t="n">
        <v>10620</v>
      </c>
      <c r="D391" s="1115" t="s">
        <v>1569</v>
      </c>
      <c r="E391" s="1115" t="s">
        <v>158</v>
      </c>
      <c r="F391" s="1115" t="n">
        <v>150</v>
      </c>
      <c r="G391" s="1115" t="n">
        <v>10620</v>
      </c>
      <c r="H391" s="1115" t="s">
        <v>1569</v>
      </c>
      <c r="I391" s="1115" t="n">
        <v>10650</v>
      </c>
      <c r="J391" s="1115" t="s">
        <v>991</v>
      </c>
      <c r="L391" s="1115" t="n">
        <f aca="false">LOOKUP(M391,$E$6:$F$4002)</f>
        <v>20990</v>
      </c>
      <c r="M391" s="1115" t="s">
        <v>160</v>
      </c>
      <c r="N391" s="1127" t="n">
        <v>1</v>
      </c>
    </row>
    <row r="392" customFormat="false" ht="14.1" hidden="false" customHeight="true" outlineLevel="0" collapsed="false">
      <c r="A392" s="1115" t="n">
        <v>10640</v>
      </c>
      <c r="B392" s="1115" t="s">
        <v>158</v>
      </c>
      <c r="C392" s="1115" t="n">
        <v>10640</v>
      </c>
      <c r="D392" s="1115" t="s">
        <v>1045</v>
      </c>
      <c r="E392" s="1115" t="s">
        <v>158</v>
      </c>
      <c r="F392" s="1115" t="n">
        <v>160</v>
      </c>
      <c r="G392" s="1115" t="n">
        <v>10640</v>
      </c>
      <c r="H392" s="1115" t="s">
        <v>1045</v>
      </c>
      <c r="I392" s="1115" t="n">
        <v>10680</v>
      </c>
      <c r="J392" s="1115" t="s">
        <v>991</v>
      </c>
      <c r="L392" s="1115" t="n">
        <f aca="false">LOOKUP(M392,$E$6:$F$4002)</f>
        <v>14820</v>
      </c>
      <c r="M392" s="1115" t="s">
        <v>1570</v>
      </c>
      <c r="N392" s="1127" t="n">
        <v>0.98</v>
      </c>
    </row>
    <row r="393" customFormat="false" ht="14.1" hidden="false" customHeight="true" outlineLevel="0" collapsed="false">
      <c r="A393" s="1115" t="n">
        <v>10650</v>
      </c>
      <c r="B393" s="1115" t="s">
        <v>158</v>
      </c>
      <c r="C393" s="1115" t="n">
        <v>10650</v>
      </c>
      <c r="D393" s="1115" t="s">
        <v>1550</v>
      </c>
      <c r="E393" s="1115" t="s">
        <v>158</v>
      </c>
      <c r="F393" s="1115" t="n">
        <v>170</v>
      </c>
      <c r="G393" s="1115" t="n">
        <v>10650</v>
      </c>
      <c r="H393" s="1115" t="s">
        <v>1550</v>
      </c>
      <c r="I393" s="1115" t="n">
        <v>10710</v>
      </c>
      <c r="J393" s="1115" t="s">
        <v>991</v>
      </c>
      <c r="L393" s="1115" t="n">
        <f aca="false">LOOKUP(M393,$E$6:$F$4002)</f>
        <v>71200</v>
      </c>
      <c r="M393" s="1115" t="s">
        <v>1571</v>
      </c>
      <c r="N393" s="1127" t="n">
        <v>0.98</v>
      </c>
    </row>
    <row r="394" customFormat="false" ht="14.1" hidden="false" customHeight="true" outlineLevel="0" collapsed="false">
      <c r="A394" s="1115" t="n">
        <v>10680</v>
      </c>
      <c r="B394" s="1115" t="s">
        <v>158</v>
      </c>
      <c r="C394" s="1115" t="n">
        <v>10680</v>
      </c>
      <c r="D394" s="1115" t="s">
        <v>1572</v>
      </c>
      <c r="E394" s="1115" t="s">
        <v>158</v>
      </c>
      <c r="F394" s="1115" t="n">
        <v>180</v>
      </c>
      <c r="G394" s="1115" t="n">
        <v>10680</v>
      </c>
      <c r="H394" s="1115" t="s">
        <v>1572</v>
      </c>
      <c r="I394" s="1115" t="n">
        <v>10730</v>
      </c>
      <c r="J394" s="1115" t="s">
        <v>991</v>
      </c>
      <c r="L394" s="1115" t="n">
        <f aca="false">LOOKUP(M394,$E$6:$F$4002)</f>
        <v>4320</v>
      </c>
      <c r="M394" s="1115" t="s">
        <v>1013</v>
      </c>
      <c r="N394" s="1127" t="n">
        <v>0.96</v>
      </c>
    </row>
    <row r="395" customFormat="false" ht="14.1" hidden="false" customHeight="true" outlineLevel="0" collapsed="false">
      <c r="A395" s="1115" t="n">
        <v>10710</v>
      </c>
      <c r="B395" s="1115" t="s">
        <v>158</v>
      </c>
      <c r="C395" s="1115" t="n">
        <v>10710</v>
      </c>
      <c r="D395" s="1115" t="s">
        <v>1573</v>
      </c>
      <c r="E395" s="1115" t="s">
        <v>158</v>
      </c>
      <c r="F395" s="1115" t="n">
        <v>190</v>
      </c>
      <c r="G395" s="1115" t="n">
        <v>10710</v>
      </c>
      <c r="H395" s="1115" t="s">
        <v>1573</v>
      </c>
      <c r="I395" s="1115" t="n">
        <v>10750</v>
      </c>
      <c r="J395" s="1115" t="s">
        <v>991</v>
      </c>
      <c r="L395" s="1115" t="n">
        <f aca="false">LOOKUP(M395,$E$6:$F$4002)</f>
        <v>91800</v>
      </c>
      <c r="M395" s="1115" t="s">
        <v>1574</v>
      </c>
      <c r="N395" s="1127" t="n">
        <v>0.98</v>
      </c>
    </row>
    <row r="396" customFormat="false" ht="14.1" hidden="false" customHeight="true" outlineLevel="0" collapsed="false">
      <c r="A396" s="1115" t="n">
        <v>10730</v>
      </c>
      <c r="B396" s="1115" t="s">
        <v>158</v>
      </c>
      <c r="C396" s="1115" t="n">
        <v>10730</v>
      </c>
      <c r="D396" s="1115" t="s">
        <v>1575</v>
      </c>
      <c r="E396" s="1115" t="s">
        <v>158</v>
      </c>
      <c r="F396" s="1115" t="n">
        <v>200</v>
      </c>
      <c r="G396" s="1115" t="n">
        <v>10730</v>
      </c>
      <c r="H396" s="1115" t="s">
        <v>1575</v>
      </c>
      <c r="I396" s="1115" t="n">
        <v>10770</v>
      </c>
      <c r="J396" s="1115" t="s">
        <v>991</v>
      </c>
      <c r="L396" s="1115" t="n">
        <f aca="false">LOOKUP(M396,$E$6:$F$4002)</f>
        <v>63600</v>
      </c>
      <c r="M396" s="1115" t="s">
        <v>1576</v>
      </c>
      <c r="N396" s="1127" t="n">
        <v>0.99</v>
      </c>
    </row>
    <row r="397" customFormat="false" ht="14.1" hidden="false" customHeight="true" outlineLevel="0" collapsed="false">
      <c r="A397" s="1115" t="n">
        <v>10750</v>
      </c>
      <c r="B397" s="1115" t="s">
        <v>158</v>
      </c>
      <c r="C397" s="1115" t="n">
        <v>10750</v>
      </c>
      <c r="D397" s="1115" t="s">
        <v>1008</v>
      </c>
      <c r="E397" s="1115" t="s">
        <v>158</v>
      </c>
      <c r="F397" s="1115" t="n">
        <v>210</v>
      </c>
      <c r="G397" s="1115" t="n">
        <v>10750</v>
      </c>
      <c r="H397" s="1115" t="s">
        <v>1008</v>
      </c>
      <c r="I397" s="1115" t="n">
        <v>10820</v>
      </c>
      <c r="J397" s="1115" t="s">
        <v>825</v>
      </c>
      <c r="L397" s="1115" t="n">
        <f aca="false">LOOKUP(M397,$E$6:$F$4002)</f>
        <v>68370</v>
      </c>
      <c r="M397" s="1115" t="s">
        <v>1577</v>
      </c>
      <c r="N397" s="1127" t="n">
        <v>1.02</v>
      </c>
    </row>
    <row r="398" customFormat="false" ht="14.1" hidden="false" customHeight="true" outlineLevel="0" collapsed="false">
      <c r="A398" s="1115" t="n">
        <v>10770</v>
      </c>
      <c r="B398" s="1115" t="s">
        <v>158</v>
      </c>
      <c r="C398" s="1115" t="n">
        <v>10770</v>
      </c>
      <c r="D398" s="1115" t="s">
        <v>1578</v>
      </c>
      <c r="E398" s="1115" t="s">
        <v>158</v>
      </c>
      <c r="F398" s="1115" t="n">
        <v>220</v>
      </c>
      <c r="G398" s="1115" t="n">
        <v>10770</v>
      </c>
      <c r="H398" s="1115" t="s">
        <v>1578</v>
      </c>
      <c r="I398" s="1115" t="n">
        <v>10900</v>
      </c>
      <c r="J398" s="1115" t="s">
        <v>825</v>
      </c>
      <c r="L398" s="1115" t="n">
        <f aca="false">LOOKUP(M398,$E$6:$F$4002)</f>
        <v>28400</v>
      </c>
      <c r="M398" s="1115" t="s">
        <v>1579</v>
      </c>
      <c r="N398" s="1127" t="n">
        <v>0.98</v>
      </c>
    </row>
    <row r="399" customFormat="false" ht="14.1" hidden="false" customHeight="true" outlineLevel="0" collapsed="false">
      <c r="A399" s="1115" t="n">
        <v>10820</v>
      </c>
      <c r="B399" s="1115" t="s">
        <v>158</v>
      </c>
      <c r="C399" s="1115" t="n">
        <v>10820</v>
      </c>
      <c r="D399" s="1115" t="s">
        <v>1580</v>
      </c>
      <c r="E399" s="1115" t="s">
        <v>158</v>
      </c>
      <c r="F399" s="1115" t="n">
        <v>230</v>
      </c>
      <c r="G399" s="1115" t="n">
        <v>10820</v>
      </c>
      <c r="H399" s="1115" t="s">
        <v>1580</v>
      </c>
      <c r="I399" s="1115" t="n">
        <v>10940</v>
      </c>
      <c r="J399" s="1115" t="s">
        <v>825</v>
      </c>
      <c r="L399" s="1115" t="n">
        <f aca="false">LOOKUP(M399,$E$6:$F$4002)</f>
        <v>31760</v>
      </c>
      <c r="M399" s="1115" t="s">
        <v>1581</v>
      </c>
      <c r="N399" s="1127" t="n">
        <v>1</v>
      </c>
    </row>
    <row r="400" customFormat="false" ht="14.1" hidden="false" customHeight="true" outlineLevel="0" collapsed="false">
      <c r="A400" s="1115" t="n">
        <v>10900</v>
      </c>
      <c r="B400" s="1115" t="s">
        <v>158</v>
      </c>
      <c r="C400" s="1115" t="n">
        <v>10900</v>
      </c>
      <c r="D400" s="1115" t="s">
        <v>825</v>
      </c>
      <c r="E400" s="1115" t="s">
        <v>158</v>
      </c>
      <c r="F400" s="1115" t="n">
        <v>240</v>
      </c>
      <c r="G400" s="1115" t="n">
        <v>10900</v>
      </c>
      <c r="H400" s="1115" t="s">
        <v>825</v>
      </c>
      <c r="I400" s="1115" t="n">
        <v>10960</v>
      </c>
      <c r="J400" s="1115" t="s">
        <v>825</v>
      </c>
      <c r="L400" s="1115" t="n">
        <f aca="false">LOOKUP(M400,$E$6:$F$4002)</f>
        <v>91600</v>
      </c>
      <c r="M400" s="1115" t="s">
        <v>1582</v>
      </c>
      <c r="N400" s="1127" t="n">
        <v>0.98</v>
      </c>
    </row>
    <row r="401" customFormat="false" ht="14.1" hidden="false" customHeight="true" outlineLevel="0" collapsed="false">
      <c r="A401" s="1115" t="n">
        <v>10940</v>
      </c>
      <c r="B401" s="1115" t="s">
        <v>158</v>
      </c>
      <c r="C401" s="1115" t="n">
        <v>10940</v>
      </c>
      <c r="D401" s="1115" t="s">
        <v>1372</v>
      </c>
      <c r="E401" s="1115" t="s">
        <v>158</v>
      </c>
      <c r="F401" s="1115" t="n">
        <v>250</v>
      </c>
      <c r="G401" s="1115" t="n">
        <v>10940</v>
      </c>
      <c r="H401" s="1115" t="s">
        <v>1372</v>
      </c>
      <c r="I401" s="1115" t="n">
        <v>11100</v>
      </c>
      <c r="J401" s="1115" t="s">
        <v>1436</v>
      </c>
      <c r="L401" s="1115" t="n">
        <f aca="false">LOOKUP(M401,$E$6:$F$4002)</f>
        <v>99980</v>
      </c>
      <c r="M401" s="1115" t="s">
        <v>1583</v>
      </c>
      <c r="N401" s="1127" t="n">
        <v>0.93</v>
      </c>
    </row>
    <row r="402" customFormat="false" ht="14.1" hidden="false" customHeight="true" outlineLevel="0" collapsed="false">
      <c r="A402" s="1115" t="n">
        <v>10960</v>
      </c>
      <c r="B402" s="1115" t="s">
        <v>158</v>
      </c>
      <c r="C402" s="1115" t="n">
        <v>10960</v>
      </c>
      <c r="D402" s="1115" t="s">
        <v>825</v>
      </c>
      <c r="E402" s="1115" t="s">
        <v>158</v>
      </c>
      <c r="F402" s="1115" t="n">
        <v>260</v>
      </c>
      <c r="G402" s="1115" t="n">
        <v>10960</v>
      </c>
      <c r="H402" s="1115" t="s">
        <v>825</v>
      </c>
      <c r="I402" s="1115" t="n">
        <v>11120</v>
      </c>
      <c r="J402" s="1115" t="s">
        <v>1436</v>
      </c>
      <c r="L402" s="1115" t="n">
        <f aca="false">LOOKUP(M402,$E$6:$F$4002)</f>
        <v>41230</v>
      </c>
      <c r="M402" s="1115" t="s">
        <v>1584</v>
      </c>
      <c r="N402" s="1127" t="n">
        <v>0.99</v>
      </c>
    </row>
    <row r="403" customFormat="false" ht="14.1" hidden="false" customHeight="true" outlineLevel="0" collapsed="false">
      <c r="A403" s="1115" t="n">
        <v>11100</v>
      </c>
      <c r="B403" s="1115" t="s">
        <v>157</v>
      </c>
      <c r="C403" s="1115" t="n">
        <v>11100</v>
      </c>
      <c r="D403" s="1115" t="s">
        <v>1436</v>
      </c>
      <c r="E403" s="1115" t="s">
        <v>158</v>
      </c>
      <c r="F403" s="1115" t="n">
        <v>270</v>
      </c>
      <c r="G403" s="1115" t="n">
        <v>11100</v>
      </c>
      <c r="H403" s="1115" t="s">
        <v>1436</v>
      </c>
      <c r="I403" s="1115" t="n">
        <v>11130</v>
      </c>
      <c r="J403" s="1115" t="s">
        <v>1436</v>
      </c>
      <c r="L403" s="1115" t="n">
        <f aca="false">LOOKUP(M403,$E$6:$F$4002)</f>
        <v>66900</v>
      </c>
      <c r="M403" s="1115" t="s">
        <v>1585</v>
      </c>
      <c r="N403" s="1127" t="n">
        <v>0.96</v>
      </c>
    </row>
    <row r="404" customFormat="false" ht="14.1" hidden="false" customHeight="true" outlineLevel="0" collapsed="false">
      <c r="A404" s="1115" t="n">
        <v>11120</v>
      </c>
      <c r="B404" s="1115" t="s">
        <v>157</v>
      </c>
      <c r="C404" s="1115" t="n">
        <v>11120</v>
      </c>
      <c r="D404" s="1115" t="s">
        <v>1436</v>
      </c>
      <c r="E404" s="1115" t="s">
        <v>158</v>
      </c>
      <c r="F404" s="1115" t="n">
        <v>280</v>
      </c>
      <c r="G404" s="1115" t="n">
        <v>11120</v>
      </c>
      <c r="H404" s="1115" t="s">
        <v>1436</v>
      </c>
      <c r="I404" s="1115" t="n">
        <v>11310</v>
      </c>
      <c r="J404" s="1115" t="s">
        <v>1436</v>
      </c>
      <c r="L404" s="1115" t="n">
        <f aca="false">LOOKUP(M404,$E$6:$F$4002)</f>
        <v>23530</v>
      </c>
      <c r="M404" s="1115" t="s">
        <v>1586</v>
      </c>
      <c r="N404" s="1127" t="n">
        <v>1.01</v>
      </c>
    </row>
    <row r="405" customFormat="false" ht="14.1" hidden="false" customHeight="true" outlineLevel="0" collapsed="false">
      <c r="A405" s="1115" t="n">
        <v>11130</v>
      </c>
      <c r="B405" s="1115" t="s">
        <v>157</v>
      </c>
      <c r="C405" s="1115" t="n">
        <v>11130</v>
      </c>
      <c r="D405" s="1115" t="s">
        <v>1436</v>
      </c>
      <c r="E405" s="1115" t="s">
        <v>158</v>
      </c>
      <c r="F405" s="1115" t="n">
        <v>290</v>
      </c>
      <c r="G405" s="1115" t="n">
        <v>11130</v>
      </c>
      <c r="H405" s="1115" t="s">
        <v>1436</v>
      </c>
      <c r="I405" s="1115" t="n">
        <v>11710</v>
      </c>
      <c r="J405" s="1115" t="s">
        <v>1436</v>
      </c>
      <c r="L405" s="1115" t="n">
        <f aca="false">LOOKUP(M405,$E$6:$F$4002)</f>
        <v>91700</v>
      </c>
      <c r="M405" s="1115" t="s">
        <v>1587</v>
      </c>
      <c r="N405" s="1127" t="n">
        <v>0.99</v>
      </c>
    </row>
    <row r="406" customFormat="false" ht="14.1" hidden="false" customHeight="true" outlineLevel="0" collapsed="false">
      <c r="A406" s="1115" t="n">
        <v>11310</v>
      </c>
      <c r="B406" s="1115" t="s">
        <v>157</v>
      </c>
      <c r="C406" s="1115" t="n">
        <v>11310</v>
      </c>
      <c r="D406" s="1115" t="s">
        <v>1436</v>
      </c>
      <c r="E406" s="1115" t="s">
        <v>158</v>
      </c>
      <c r="F406" s="1115" t="n">
        <v>300</v>
      </c>
      <c r="G406" s="1115" t="n">
        <v>11310</v>
      </c>
      <c r="H406" s="1115" t="s">
        <v>1436</v>
      </c>
      <c r="I406" s="1115" t="n">
        <v>12100</v>
      </c>
      <c r="J406" s="1115" t="s">
        <v>840</v>
      </c>
      <c r="L406" s="1115" t="n">
        <f aca="false">LOOKUP(M406,$E$6:$F$4002)</f>
        <v>65390</v>
      </c>
      <c r="M406" s="1115" t="s">
        <v>165</v>
      </c>
      <c r="N406" s="1127" t="n">
        <v>1</v>
      </c>
    </row>
    <row r="407" customFormat="false" ht="14.1" hidden="false" customHeight="true" outlineLevel="0" collapsed="false">
      <c r="A407" s="1115" t="n">
        <v>11710</v>
      </c>
      <c r="B407" s="1115" t="s">
        <v>157</v>
      </c>
      <c r="C407" s="1115" t="n">
        <v>11710</v>
      </c>
      <c r="D407" s="1115" t="s">
        <v>1436</v>
      </c>
      <c r="E407" s="1115" t="s">
        <v>158</v>
      </c>
      <c r="F407" s="1115" t="n">
        <v>310</v>
      </c>
      <c r="G407" s="1115" t="n">
        <v>11710</v>
      </c>
      <c r="H407" s="1115" t="s">
        <v>1436</v>
      </c>
      <c r="I407" s="1115" t="n">
        <v>12130</v>
      </c>
      <c r="J407" s="1115" t="s">
        <v>840</v>
      </c>
      <c r="L407" s="1115" t="n">
        <f aca="false">LOOKUP(M407,$E$6:$F$4002)</f>
        <v>65390</v>
      </c>
      <c r="M407" s="1115" t="s">
        <v>165</v>
      </c>
      <c r="N407" s="1127" t="n">
        <v>1</v>
      </c>
    </row>
    <row r="408" customFormat="false" ht="14.1" hidden="false" customHeight="true" outlineLevel="0" collapsed="false">
      <c r="A408" s="1115" t="n">
        <v>12100</v>
      </c>
      <c r="B408" s="1115" t="s">
        <v>157</v>
      </c>
      <c r="C408" s="1115" t="n">
        <v>12100</v>
      </c>
      <c r="D408" s="1115" t="s">
        <v>1588</v>
      </c>
      <c r="E408" s="1115" t="s">
        <v>158</v>
      </c>
      <c r="F408" s="1115" t="n">
        <v>320</v>
      </c>
      <c r="G408" s="1115" t="n">
        <v>12100</v>
      </c>
      <c r="H408" s="1115" t="s">
        <v>1588</v>
      </c>
      <c r="I408" s="1115" t="n">
        <v>12170</v>
      </c>
      <c r="J408" s="1115" t="s">
        <v>840</v>
      </c>
      <c r="L408" s="1115" t="n">
        <f aca="false">LOOKUP(M408,$E$6:$F$4002)</f>
        <v>21310</v>
      </c>
      <c r="M408" s="1115" t="s">
        <v>1589</v>
      </c>
      <c r="N408" s="1127" t="n">
        <v>0.98</v>
      </c>
    </row>
    <row r="409" customFormat="false" ht="14.1" hidden="false" customHeight="true" outlineLevel="0" collapsed="false">
      <c r="A409" s="1115" t="n">
        <v>12130</v>
      </c>
      <c r="B409" s="1115" t="s">
        <v>157</v>
      </c>
      <c r="C409" s="1115" t="n">
        <v>12130</v>
      </c>
      <c r="D409" s="1115" t="s">
        <v>1590</v>
      </c>
      <c r="E409" s="1115" t="s">
        <v>158</v>
      </c>
      <c r="F409" s="1115" t="n">
        <v>330</v>
      </c>
      <c r="G409" s="1115" t="n">
        <v>12130</v>
      </c>
      <c r="H409" s="1115" t="s">
        <v>1590</v>
      </c>
      <c r="I409" s="1115" t="n">
        <v>12210</v>
      </c>
      <c r="J409" s="1115" t="s">
        <v>840</v>
      </c>
      <c r="L409" s="1115" t="n">
        <f aca="false">LOOKUP(M409,$E$6:$F$4002)</f>
        <v>37680</v>
      </c>
      <c r="M409" s="1115" t="s">
        <v>1591</v>
      </c>
      <c r="N409" s="1127" t="n">
        <v>1.01</v>
      </c>
    </row>
    <row r="410" customFormat="false" ht="14.1" hidden="false" customHeight="true" outlineLevel="0" collapsed="false">
      <c r="A410" s="1115" t="n">
        <v>12170</v>
      </c>
      <c r="B410" s="1115" t="s">
        <v>157</v>
      </c>
      <c r="C410" s="1115" t="n">
        <v>12170</v>
      </c>
      <c r="D410" s="1115" t="s">
        <v>1592</v>
      </c>
      <c r="E410" s="1115" t="s">
        <v>158</v>
      </c>
      <c r="F410" s="1115" t="n">
        <v>340</v>
      </c>
      <c r="G410" s="1115" t="n">
        <v>12170</v>
      </c>
      <c r="H410" s="1115" t="s">
        <v>1592</v>
      </c>
      <c r="I410" s="1115" t="n">
        <v>12240</v>
      </c>
      <c r="J410" s="1115" t="s">
        <v>840</v>
      </c>
      <c r="L410" s="1115" t="n">
        <f aca="false">LOOKUP(M410,$E$6:$F$4002)</f>
        <v>45370</v>
      </c>
      <c r="M410" s="1115" t="s">
        <v>1593</v>
      </c>
      <c r="N410" s="1127" t="n">
        <v>0.99</v>
      </c>
    </row>
    <row r="411" customFormat="false" ht="14.1" hidden="false" customHeight="true" outlineLevel="0" collapsed="false">
      <c r="A411" s="1115" t="n">
        <v>12210</v>
      </c>
      <c r="B411" s="1115" t="s">
        <v>157</v>
      </c>
      <c r="C411" s="1115" t="n">
        <v>12210</v>
      </c>
      <c r="D411" s="1115" t="s">
        <v>840</v>
      </c>
      <c r="E411" s="1115" t="s">
        <v>158</v>
      </c>
      <c r="F411" s="1115" t="n">
        <v>350</v>
      </c>
      <c r="G411" s="1115" t="n">
        <v>12210</v>
      </c>
      <c r="H411" s="1115" t="s">
        <v>840</v>
      </c>
      <c r="I411" s="1115" t="n">
        <v>12310</v>
      </c>
      <c r="J411" s="1115" t="s">
        <v>840</v>
      </c>
      <c r="L411" s="1115" t="n">
        <f aca="false">LOOKUP(M411,$E$6:$F$4002)</f>
        <v>75700</v>
      </c>
      <c r="M411" s="1115" t="s">
        <v>1594</v>
      </c>
      <c r="N411" s="1127" t="n">
        <v>1</v>
      </c>
    </row>
    <row r="412" customFormat="false" ht="14.1" hidden="false" customHeight="true" outlineLevel="0" collapsed="false">
      <c r="A412" s="1115" t="n">
        <v>12240</v>
      </c>
      <c r="B412" s="1115" t="s">
        <v>157</v>
      </c>
      <c r="C412" s="1115" t="n">
        <v>12240</v>
      </c>
      <c r="D412" s="1115" t="s">
        <v>1595</v>
      </c>
      <c r="E412" s="1115" t="s">
        <v>158</v>
      </c>
      <c r="F412" s="1115" t="n">
        <v>360</v>
      </c>
      <c r="G412" s="1115" t="n">
        <v>12240</v>
      </c>
      <c r="H412" s="1115" t="s">
        <v>1595</v>
      </c>
      <c r="I412" s="1115" t="n">
        <v>12350</v>
      </c>
      <c r="J412" s="1115" t="s">
        <v>840</v>
      </c>
      <c r="L412" s="1115" t="n">
        <f aca="false">LOOKUP(M412,$E$6:$F$4002)</f>
        <v>38210</v>
      </c>
      <c r="M412" s="1115" t="s">
        <v>1596</v>
      </c>
      <c r="N412" s="1127" t="n">
        <v>1</v>
      </c>
    </row>
    <row r="413" customFormat="false" ht="14.1" hidden="false" customHeight="true" outlineLevel="0" collapsed="false">
      <c r="A413" s="1115" t="n">
        <v>12310</v>
      </c>
      <c r="B413" s="1115" t="s">
        <v>157</v>
      </c>
      <c r="C413" s="1115" t="n">
        <v>12310</v>
      </c>
      <c r="D413" s="1115" t="s">
        <v>1597</v>
      </c>
      <c r="E413" s="1115" t="s">
        <v>158</v>
      </c>
      <c r="F413" s="1115" t="n">
        <v>370</v>
      </c>
      <c r="G413" s="1115" t="n">
        <v>12310</v>
      </c>
      <c r="H413" s="1115" t="s">
        <v>1597</v>
      </c>
      <c r="I413" s="1115" t="n">
        <v>12380</v>
      </c>
      <c r="J413" s="1115" t="s">
        <v>899</v>
      </c>
      <c r="L413" s="1115" t="n">
        <f aca="false">LOOKUP(M413,$E$6:$F$4002)</f>
        <v>32610</v>
      </c>
      <c r="M413" s="1115" t="s">
        <v>1598</v>
      </c>
      <c r="N413" s="1127" t="n">
        <v>1.02</v>
      </c>
    </row>
    <row r="414" customFormat="false" ht="14.1" hidden="false" customHeight="true" outlineLevel="0" collapsed="false">
      <c r="A414" s="1115" t="n">
        <v>12350</v>
      </c>
      <c r="B414" s="1115" t="s">
        <v>157</v>
      </c>
      <c r="C414" s="1115" t="n">
        <v>12350</v>
      </c>
      <c r="D414" s="1115" t="s">
        <v>1599</v>
      </c>
      <c r="E414" s="1115" t="s">
        <v>158</v>
      </c>
      <c r="F414" s="1115" t="n">
        <v>380</v>
      </c>
      <c r="G414" s="1115" t="n">
        <v>12350</v>
      </c>
      <c r="H414" s="1115" t="s">
        <v>1599</v>
      </c>
      <c r="I414" s="1115" t="n">
        <v>12400</v>
      </c>
      <c r="J414" s="1115" t="s">
        <v>899</v>
      </c>
      <c r="L414" s="1115" t="n">
        <f aca="false">LOOKUP(M414,$E$6:$F$4002)</f>
        <v>1760</v>
      </c>
      <c r="M414" s="1115" t="s">
        <v>157</v>
      </c>
      <c r="N414" s="1127" t="n">
        <v>1</v>
      </c>
    </row>
    <row r="415" customFormat="false" ht="14.1" hidden="false" customHeight="true" outlineLevel="0" collapsed="false">
      <c r="A415" s="1115" t="n">
        <v>12380</v>
      </c>
      <c r="B415" s="1115" t="s">
        <v>157</v>
      </c>
      <c r="C415" s="1115" t="n">
        <v>12380</v>
      </c>
      <c r="D415" s="1115" t="s">
        <v>1600</v>
      </c>
      <c r="E415" s="1115" t="s">
        <v>158</v>
      </c>
      <c r="F415" s="1115" t="n">
        <v>390</v>
      </c>
      <c r="G415" s="1115" t="n">
        <v>12380</v>
      </c>
      <c r="H415" s="1115" t="s">
        <v>1600</v>
      </c>
      <c r="I415" s="1115" t="n">
        <v>12450</v>
      </c>
      <c r="J415" s="1115" t="s">
        <v>899</v>
      </c>
      <c r="L415" s="1115" t="n">
        <f aca="false">LOOKUP(M415,$E$6:$F$4002)</f>
        <v>1760</v>
      </c>
      <c r="M415" s="1115" t="s">
        <v>157</v>
      </c>
      <c r="N415" s="1127" t="n">
        <v>0.98</v>
      </c>
    </row>
    <row r="416" customFormat="false" ht="14.1" hidden="false" customHeight="true" outlineLevel="0" collapsed="false">
      <c r="A416" s="1115" t="n">
        <v>12400</v>
      </c>
      <c r="B416" s="1115" t="s">
        <v>157</v>
      </c>
      <c r="C416" s="1115" t="n">
        <v>12400</v>
      </c>
      <c r="D416" s="1115" t="s">
        <v>1601</v>
      </c>
      <c r="E416" s="1115" t="s">
        <v>158</v>
      </c>
      <c r="F416" s="1115" t="n">
        <v>400</v>
      </c>
      <c r="G416" s="1115" t="n">
        <v>12400</v>
      </c>
      <c r="H416" s="1115" t="s">
        <v>1601</v>
      </c>
      <c r="I416" s="1115" t="n">
        <v>12520</v>
      </c>
      <c r="J416" s="1115" t="s">
        <v>1190</v>
      </c>
      <c r="L416" s="1115" t="n">
        <f aca="false">LOOKUP(M416,$E$6:$F$4002)</f>
        <v>78900</v>
      </c>
      <c r="M416" s="1115" t="s">
        <v>1602</v>
      </c>
      <c r="N416" s="1127" t="n">
        <v>1</v>
      </c>
    </row>
    <row r="417" customFormat="false" ht="14.1" hidden="false" customHeight="true" outlineLevel="0" collapsed="false">
      <c r="A417" s="1115" t="n">
        <v>12450</v>
      </c>
      <c r="B417" s="1115" t="s">
        <v>157</v>
      </c>
      <c r="C417" s="1115" t="n">
        <v>12450</v>
      </c>
      <c r="D417" s="1115" t="s">
        <v>1603</v>
      </c>
      <c r="E417" s="1115" t="s">
        <v>158</v>
      </c>
      <c r="F417" s="1115" t="n">
        <v>410</v>
      </c>
      <c r="G417" s="1115" t="n">
        <v>12450</v>
      </c>
      <c r="H417" s="1115" t="s">
        <v>1603</v>
      </c>
      <c r="I417" s="1115" t="n">
        <v>12540</v>
      </c>
      <c r="J417" s="1115" t="s">
        <v>1190</v>
      </c>
      <c r="L417" s="1115" t="n">
        <f aca="false">LOOKUP(M417,$E$6:$F$4002)</f>
        <v>73200</v>
      </c>
      <c r="M417" s="1115" t="s">
        <v>1604</v>
      </c>
      <c r="N417" s="1127" t="n">
        <v>0.96</v>
      </c>
    </row>
    <row r="418" customFormat="false" ht="14.1" hidden="false" customHeight="true" outlineLevel="0" collapsed="false">
      <c r="A418" s="1115" t="n">
        <v>12520</v>
      </c>
      <c r="B418" s="1115" t="s">
        <v>157</v>
      </c>
      <c r="C418" s="1115" t="n">
        <v>12520</v>
      </c>
      <c r="D418" s="1115" t="s">
        <v>1605</v>
      </c>
      <c r="E418" s="1115" t="s">
        <v>158</v>
      </c>
      <c r="F418" s="1115" t="n">
        <v>420</v>
      </c>
      <c r="G418" s="1115" t="n">
        <v>12520</v>
      </c>
      <c r="H418" s="1115" t="s">
        <v>1605</v>
      </c>
      <c r="I418" s="1115" t="n">
        <v>12600</v>
      </c>
      <c r="J418" s="1115" t="s">
        <v>1190</v>
      </c>
      <c r="L418" s="1115" t="n">
        <f aca="false">LOOKUP(M418,$E$6:$F$4002)</f>
        <v>54960</v>
      </c>
      <c r="M418" s="1115" t="s">
        <v>1606</v>
      </c>
      <c r="N418" s="1127" t="n">
        <v>1</v>
      </c>
    </row>
    <row r="419" customFormat="false" ht="14.1" hidden="false" customHeight="true" outlineLevel="0" collapsed="false">
      <c r="A419" s="1115" t="n">
        <v>12540</v>
      </c>
      <c r="B419" s="1115" t="s">
        <v>157</v>
      </c>
      <c r="C419" s="1115" t="n">
        <v>12540</v>
      </c>
      <c r="D419" s="1115" t="s">
        <v>1607</v>
      </c>
      <c r="E419" s="1115" t="s">
        <v>158</v>
      </c>
      <c r="F419" s="1115" t="n">
        <v>430</v>
      </c>
      <c r="G419" s="1115" t="n">
        <v>12540</v>
      </c>
      <c r="H419" s="1115" t="s">
        <v>1607</v>
      </c>
      <c r="I419" s="1115" t="n">
        <v>12630</v>
      </c>
      <c r="J419" s="1115" t="s">
        <v>1190</v>
      </c>
      <c r="L419" s="1115" t="n">
        <f aca="false">LOOKUP(M419,$E$6:$F$4002)</f>
        <v>21195</v>
      </c>
      <c r="M419" s="1115" t="s">
        <v>1608</v>
      </c>
      <c r="N419" s="1127" t="n">
        <v>1.05</v>
      </c>
    </row>
    <row r="420" customFormat="false" ht="14.1" hidden="false" customHeight="true" outlineLevel="0" collapsed="false">
      <c r="A420" s="1115" t="n">
        <v>12600</v>
      </c>
      <c r="B420" s="1115" t="s">
        <v>157</v>
      </c>
      <c r="C420" s="1115" t="n">
        <v>12600</v>
      </c>
      <c r="D420" s="1115" t="s">
        <v>1609</v>
      </c>
      <c r="E420" s="1115" t="s">
        <v>158</v>
      </c>
      <c r="F420" s="1115" t="n">
        <v>440</v>
      </c>
      <c r="G420" s="1115" t="n">
        <v>12600</v>
      </c>
      <c r="H420" s="1115" t="s">
        <v>1609</v>
      </c>
      <c r="I420" s="1115" t="n">
        <v>12640</v>
      </c>
      <c r="J420" s="1115" t="s">
        <v>1190</v>
      </c>
      <c r="L420" s="1115" t="n">
        <f aca="false">LOOKUP(M420,$E$6:$F$4002)</f>
        <v>72300</v>
      </c>
      <c r="M420" s="1115" t="s">
        <v>1610</v>
      </c>
      <c r="N420" s="1127" t="n">
        <v>0.98</v>
      </c>
    </row>
    <row r="421" customFormat="false" ht="14.1" hidden="false" customHeight="true" outlineLevel="0" collapsed="false">
      <c r="A421" s="1115" t="n">
        <v>12630</v>
      </c>
      <c r="B421" s="1115" t="s">
        <v>157</v>
      </c>
      <c r="C421" s="1115" t="n">
        <v>12630</v>
      </c>
      <c r="D421" s="1115" t="s">
        <v>1611</v>
      </c>
      <c r="E421" s="1115" t="s">
        <v>158</v>
      </c>
      <c r="F421" s="1115" t="n">
        <v>500</v>
      </c>
      <c r="G421" s="1115" t="n">
        <v>12630</v>
      </c>
      <c r="H421" s="1115" t="s">
        <v>1611</v>
      </c>
      <c r="I421" s="1115" t="n">
        <v>12700</v>
      </c>
      <c r="J421" s="1115" t="s">
        <v>1190</v>
      </c>
      <c r="L421" s="1115" t="n">
        <f aca="false">LOOKUP(M421,$E$6:$F$4002)</f>
        <v>37470</v>
      </c>
      <c r="M421" s="1115" t="s">
        <v>1612</v>
      </c>
      <c r="N421" s="1127" t="n">
        <v>1.01</v>
      </c>
    </row>
    <row r="422" customFormat="false" ht="14.1" hidden="false" customHeight="true" outlineLevel="0" collapsed="false">
      <c r="A422" s="1115" t="n">
        <v>12640</v>
      </c>
      <c r="B422" s="1115" t="s">
        <v>157</v>
      </c>
      <c r="C422" s="1115" t="n">
        <v>12640</v>
      </c>
      <c r="D422" s="1115" t="s">
        <v>1613</v>
      </c>
      <c r="E422" s="1115" t="s">
        <v>158</v>
      </c>
      <c r="F422" s="1115" t="n">
        <v>510</v>
      </c>
      <c r="G422" s="1115" t="n">
        <v>12640</v>
      </c>
      <c r="H422" s="1115" t="s">
        <v>1613</v>
      </c>
      <c r="I422" s="1115" t="n">
        <v>12750</v>
      </c>
      <c r="J422" s="1115" t="s">
        <v>1190</v>
      </c>
      <c r="L422" s="1115" t="n">
        <f aca="false">LOOKUP(M422,$E$6:$F$4002)</f>
        <v>69700</v>
      </c>
      <c r="M422" s="1115" t="s">
        <v>1614</v>
      </c>
      <c r="N422" s="1127" t="n">
        <v>0.99</v>
      </c>
    </row>
    <row r="423" customFormat="false" ht="14.1" hidden="false" customHeight="true" outlineLevel="0" collapsed="false">
      <c r="A423" s="1115" t="n">
        <v>12700</v>
      </c>
      <c r="B423" s="1115" t="s">
        <v>157</v>
      </c>
      <c r="C423" s="1115" t="n">
        <v>12700</v>
      </c>
      <c r="D423" s="1115" t="s">
        <v>1190</v>
      </c>
      <c r="E423" s="1115" t="s">
        <v>158</v>
      </c>
      <c r="F423" s="1115" t="n">
        <v>520</v>
      </c>
      <c r="G423" s="1115" t="n">
        <v>12700</v>
      </c>
      <c r="H423" s="1115" t="s">
        <v>1190</v>
      </c>
      <c r="I423" s="1115" t="n">
        <v>12820</v>
      </c>
      <c r="J423" s="1115" t="s">
        <v>1190</v>
      </c>
      <c r="L423" s="1115" t="n">
        <f aca="false">LOOKUP(M423,$E$6:$F$4002)</f>
        <v>74200</v>
      </c>
      <c r="M423" s="1115" t="s">
        <v>1615</v>
      </c>
      <c r="N423" s="1127" t="n">
        <v>1.03</v>
      </c>
    </row>
    <row r="424" customFormat="false" ht="14.1" hidden="false" customHeight="true" outlineLevel="0" collapsed="false">
      <c r="A424" s="1115" t="n">
        <v>12750</v>
      </c>
      <c r="B424" s="1115" t="s">
        <v>157</v>
      </c>
      <c r="C424" s="1115" t="n">
        <v>12750</v>
      </c>
      <c r="D424" s="1115" t="s">
        <v>1616</v>
      </c>
      <c r="E424" s="1115" t="s">
        <v>158</v>
      </c>
      <c r="F424" s="1115" t="n">
        <v>530</v>
      </c>
      <c r="G424" s="1115" t="n">
        <v>12750</v>
      </c>
      <c r="H424" s="1115" t="s">
        <v>1616</v>
      </c>
      <c r="I424" s="1115" t="n">
        <v>12920</v>
      </c>
      <c r="J424" s="1115" t="s">
        <v>1190</v>
      </c>
      <c r="L424" s="1115" t="n">
        <f aca="false">LOOKUP(M424,$E$6:$F$4002)</f>
        <v>86400</v>
      </c>
      <c r="M424" s="1115" t="s">
        <v>1617</v>
      </c>
      <c r="N424" s="1127" t="n">
        <v>0.98</v>
      </c>
    </row>
    <row r="425" customFormat="false" ht="14.1" hidden="false" customHeight="true" outlineLevel="0" collapsed="false">
      <c r="A425" s="1115" t="n">
        <v>12820</v>
      </c>
      <c r="B425" s="1115" t="s">
        <v>157</v>
      </c>
      <c r="C425" s="1115" t="n">
        <v>12820</v>
      </c>
      <c r="D425" s="1115" t="s">
        <v>1618</v>
      </c>
      <c r="E425" s="1115" t="s">
        <v>158</v>
      </c>
      <c r="F425" s="1115" t="n">
        <v>540</v>
      </c>
      <c r="G425" s="1115" t="n">
        <v>12820</v>
      </c>
      <c r="H425" s="1115" t="s">
        <v>1618</v>
      </c>
      <c r="I425" s="1115" t="n">
        <v>12950</v>
      </c>
      <c r="J425" s="1115" t="s">
        <v>1190</v>
      </c>
      <c r="L425" s="1115" t="n">
        <f aca="false">LOOKUP(M425,$E$6:$F$4002)</f>
        <v>3400</v>
      </c>
      <c r="M425" s="1115" t="s">
        <v>1166</v>
      </c>
      <c r="N425" s="1127" t="n">
        <v>0.95</v>
      </c>
    </row>
    <row r="426" customFormat="false" ht="14.1" hidden="false" customHeight="true" outlineLevel="0" collapsed="false">
      <c r="A426" s="1115" t="n">
        <v>12920</v>
      </c>
      <c r="B426" s="1115" t="s">
        <v>157</v>
      </c>
      <c r="C426" s="1115" t="n">
        <v>12920</v>
      </c>
      <c r="D426" s="1115" t="s">
        <v>1619</v>
      </c>
      <c r="E426" s="1115" t="s">
        <v>158</v>
      </c>
      <c r="F426" s="1115" t="n">
        <v>550</v>
      </c>
      <c r="G426" s="1115" t="n">
        <v>12920</v>
      </c>
      <c r="H426" s="1115" t="s">
        <v>1619</v>
      </c>
      <c r="I426" s="1115" t="n">
        <v>12980</v>
      </c>
      <c r="J426" s="1115" t="s">
        <v>1547</v>
      </c>
      <c r="L426" s="1115" t="n">
        <f aca="false">LOOKUP(M426,$E$6:$F$4002)</f>
        <v>44500</v>
      </c>
      <c r="M426" s="1115" t="s">
        <v>1620</v>
      </c>
      <c r="N426" s="1127" t="n">
        <v>1.01</v>
      </c>
    </row>
    <row r="427" customFormat="false" ht="14.1" hidden="false" customHeight="true" outlineLevel="0" collapsed="false">
      <c r="A427" s="1115" t="n">
        <v>12950</v>
      </c>
      <c r="B427" s="1115" t="s">
        <v>157</v>
      </c>
      <c r="C427" s="1115" t="n">
        <v>12950</v>
      </c>
      <c r="D427" s="1115" t="s">
        <v>1621</v>
      </c>
      <c r="E427" s="1115" t="s">
        <v>158</v>
      </c>
      <c r="F427" s="1115" t="n">
        <v>560</v>
      </c>
      <c r="G427" s="1115" t="n">
        <v>12950</v>
      </c>
      <c r="H427" s="1115" t="s">
        <v>1621</v>
      </c>
      <c r="I427" s="1115" t="n">
        <v>13007</v>
      </c>
      <c r="J427" s="1115" t="s">
        <v>870</v>
      </c>
      <c r="L427" s="1115" t="n">
        <f aca="false">LOOKUP(M427,$E$6:$F$4002)</f>
        <v>39310</v>
      </c>
      <c r="M427" s="1115" t="s">
        <v>1622</v>
      </c>
      <c r="N427" s="1127" t="n">
        <v>0.96</v>
      </c>
    </row>
    <row r="428" customFormat="false" ht="14.1" hidden="false" customHeight="true" outlineLevel="0" collapsed="false">
      <c r="A428" s="1115" t="n">
        <v>12980</v>
      </c>
      <c r="B428" s="1115" t="s">
        <v>157</v>
      </c>
      <c r="C428" s="1115" t="n">
        <v>12980</v>
      </c>
      <c r="D428" s="1115" t="s">
        <v>1623</v>
      </c>
      <c r="E428" s="1115" t="s">
        <v>158</v>
      </c>
      <c r="F428" s="1115" t="n">
        <v>570</v>
      </c>
      <c r="G428" s="1115" t="n">
        <v>12980</v>
      </c>
      <c r="H428" s="1115" t="s">
        <v>1623</v>
      </c>
      <c r="I428" s="1115" t="n">
        <v>13100</v>
      </c>
      <c r="J428" s="1115" t="s">
        <v>870</v>
      </c>
      <c r="L428" s="1115" t="n">
        <f aca="false">LOOKUP(M428,$E$6:$F$4002)</f>
        <v>35700</v>
      </c>
      <c r="M428" s="1115" t="s">
        <v>1624</v>
      </c>
      <c r="N428" s="1127" t="n">
        <v>1.03</v>
      </c>
    </row>
    <row r="429" customFormat="false" ht="14.1" hidden="false" customHeight="true" outlineLevel="0" collapsed="false">
      <c r="A429" s="1115" t="n">
        <v>13007</v>
      </c>
      <c r="B429" s="1115" t="s">
        <v>162</v>
      </c>
      <c r="C429" s="1115" t="n">
        <v>13007</v>
      </c>
      <c r="D429" s="1115" t="s">
        <v>870</v>
      </c>
      <c r="E429" s="1115" t="s">
        <v>158</v>
      </c>
      <c r="F429" s="1115" t="n">
        <v>580</v>
      </c>
      <c r="G429" s="1115" t="n">
        <v>13007</v>
      </c>
      <c r="H429" s="1115" t="s">
        <v>870</v>
      </c>
      <c r="I429" s="1115" t="n">
        <v>13130</v>
      </c>
      <c r="J429" s="1115" t="s">
        <v>870</v>
      </c>
      <c r="L429" s="1115" t="n">
        <f aca="false">LOOKUP(M429,$E$6:$F$4002)</f>
        <v>62800</v>
      </c>
      <c r="M429" s="1115" t="s">
        <v>1625</v>
      </c>
      <c r="N429" s="1127" t="n">
        <v>0.99</v>
      </c>
    </row>
    <row r="430" customFormat="false" ht="14.1" hidden="false" customHeight="true" outlineLevel="0" collapsed="false">
      <c r="A430" s="1115" t="n">
        <v>13100</v>
      </c>
      <c r="B430" s="1115" t="s">
        <v>162</v>
      </c>
      <c r="C430" s="1115" t="n">
        <v>13100</v>
      </c>
      <c r="D430" s="1115" t="s">
        <v>870</v>
      </c>
      <c r="E430" s="1115" t="s">
        <v>158</v>
      </c>
      <c r="F430" s="1115" t="n">
        <v>590</v>
      </c>
      <c r="G430" s="1115" t="n">
        <v>13100</v>
      </c>
      <c r="H430" s="1115" t="s">
        <v>870</v>
      </c>
      <c r="I430" s="1115" t="n">
        <v>13200</v>
      </c>
      <c r="J430" s="1115" t="s">
        <v>870</v>
      </c>
      <c r="L430" s="1115" t="n">
        <f aca="false">LOOKUP(M430,$E$6:$F$4002)</f>
        <v>49950</v>
      </c>
      <c r="M430" s="1115" t="s">
        <v>1626</v>
      </c>
      <c r="N430" s="1127" t="n">
        <v>1.06</v>
      </c>
    </row>
    <row r="431" customFormat="false" ht="14.1" hidden="false" customHeight="true" outlineLevel="0" collapsed="false">
      <c r="A431" s="1115" t="n">
        <v>13130</v>
      </c>
      <c r="B431" s="1115" t="s">
        <v>162</v>
      </c>
      <c r="C431" s="1115" t="n">
        <v>13130</v>
      </c>
      <c r="D431" s="1115" t="s">
        <v>870</v>
      </c>
      <c r="E431" s="1115" t="s">
        <v>158</v>
      </c>
      <c r="F431" s="1115" t="n">
        <v>600</v>
      </c>
      <c r="G431" s="1115" t="n">
        <v>13130</v>
      </c>
      <c r="H431" s="1115" t="s">
        <v>870</v>
      </c>
      <c r="I431" s="1115" t="n">
        <v>13210</v>
      </c>
      <c r="J431" s="1115" t="s">
        <v>870</v>
      </c>
      <c r="L431" s="1115" t="n">
        <f aca="false">LOOKUP(M431,$E$6:$F$4002)</f>
        <v>34800</v>
      </c>
      <c r="M431" s="1115" t="s">
        <v>1627</v>
      </c>
      <c r="N431" s="1127" t="n">
        <v>1.01</v>
      </c>
    </row>
    <row r="432" customFormat="false" ht="14.1" hidden="false" customHeight="true" outlineLevel="0" collapsed="false">
      <c r="A432" s="1115" t="n">
        <v>13200</v>
      </c>
      <c r="B432" s="1115" t="s">
        <v>162</v>
      </c>
      <c r="C432" s="1115" t="n">
        <v>13200</v>
      </c>
      <c r="D432" s="1115" t="s">
        <v>870</v>
      </c>
      <c r="E432" s="1115" t="s">
        <v>158</v>
      </c>
      <c r="F432" s="1115" t="n">
        <v>610</v>
      </c>
      <c r="G432" s="1115" t="n">
        <v>13200</v>
      </c>
      <c r="H432" s="1115" t="s">
        <v>870</v>
      </c>
      <c r="I432" s="1115" t="n">
        <v>13230</v>
      </c>
      <c r="J432" s="1115" t="s">
        <v>870</v>
      </c>
      <c r="L432" s="1115" t="n">
        <f aca="false">LOOKUP(M432,$E$6:$F$4002)</f>
        <v>88270</v>
      </c>
      <c r="M432" s="1115" t="s">
        <v>1628</v>
      </c>
      <c r="N432" s="1127" t="n">
        <v>1.01</v>
      </c>
    </row>
    <row r="433" customFormat="false" ht="14.1" hidden="false" customHeight="true" outlineLevel="0" collapsed="false">
      <c r="A433" s="1115" t="n">
        <v>13210</v>
      </c>
      <c r="B433" s="1115" t="s">
        <v>162</v>
      </c>
      <c r="C433" s="1115" t="n">
        <v>13210</v>
      </c>
      <c r="D433" s="1115" t="s">
        <v>870</v>
      </c>
      <c r="E433" s="1115" t="s">
        <v>158</v>
      </c>
      <c r="F433" s="1115" t="n">
        <v>620</v>
      </c>
      <c r="G433" s="1115" t="n">
        <v>13210</v>
      </c>
      <c r="H433" s="1115" t="s">
        <v>870</v>
      </c>
      <c r="I433" s="1115" t="n">
        <v>13270</v>
      </c>
      <c r="J433" s="1115" t="s">
        <v>870</v>
      </c>
      <c r="L433" s="1115" t="n">
        <f aca="false">LOOKUP(M433,$E$6:$F$4002)</f>
        <v>66500</v>
      </c>
      <c r="M433" s="1115" t="s">
        <v>1629</v>
      </c>
      <c r="N433" s="1127" t="n">
        <v>0.98</v>
      </c>
    </row>
    <row r="434" customFormat="false" ht="14.1" hidden="false" customHeight="true" outlineLevel="0" collapsed="false">
      <c r="A434" s="1115" t="n">
        <v>13230</v>
      </c>
      <c r="B434" s="1115" t="s">
        <v>162</v>
      </c>
      <c r="C434" s="1115" t="n">
        <v>13230</v>
      </c>
      <c r="D434" s="1115" t="s">
        <v>944</v>
      </c>
      <c r="E434" s="1115" t="s">
        <v>158</v>
      </c>
      <c r="F434" s="1115" t="n">
        <v>630</v>
      </c>
      <c r="G434" s="1115" t="n">
        <v>13230</v>
      </c>
      <c r="H434" s="1115" t="s">
        <v>944</v>
      </c>
      <c r="I434" s="1115" t="n">
        <v>13300</v>
      </c>
      <c r="J434" s="1115" t="s">
        <v>870</v>
      </c>
      <c r="L434" s="1115" t="n">
        <f aca="false">LOOKUP(M434,$E$6:$F$4002)</f>
        <v>25910</v>
      </c>
      <c r="M434" s="1115" t="s">
        <v>1630</v>
      </c>
      <c r="N434" s="1127" t="n">
        <v>1.03</v>
      </c>
    </row>
    <row r="435" customFormat="false" ht="14.1" hidden="false" customHeight="true" outlineLevel="0" collapsed="false">
      <c r="A435" s="1115" t="n">
        <v>13270</v>
      </c>
      <c r="B435" s="1115" t="s">
        <v>162</v>
      </c>
      <c r="C435" s="1115" t="n">
        <v>13270</v>
      </c>
      <c r="D435" s="1115" t="s">
        <v>870</v>
      </c>
      <c r="E435" s="1115" t="s">
        <v>158</v>
      </c>
      <c r="F435" s="1115" t="n">
        <v>640</v>
      </c>
      <c r="G435" s="1115" t="n">
        <v>13270</v>
      </c>
      <c r="H435" s="1115" t="s">
        <v>870</v>
      </c>
      <c r="I435" s="1115" t="n">
        <v>13330</v>
      </c>
      <c r="J435" s="1115" t="s">
        <v>870</v>
      </c>
      <c r="L435" s="1115" t="n">
        <f aca="false">LOOKUP(M435,$E$6:$F$4002)</f>
        <v>25830</v>
      </c>
      <c r="M435" s="1115" t="s">
        <v>1631</v>
      </c>
      <c r="N435" s="1127" t="n">
        <v>0.97</v>
      </c>
    </row>
    <row r="436" customFormat="false" ht="14.1" hidden="false" customHeight="true" outlineLevel="0" collapsed="false">
      <c r="A436" s="1115" t="n">
        <v>13300</v>
      </c>
      <c r="B436" s="1115" t="s">
        <v>162</v>
      </c>
      <c r="C436" s="1115" t="n">
        <v>13300</v>
      </c>
      <c r="D436" s="1115" t="s">
        <v>870</v>
      </c>
      <c r="E436" s="1115" t="s">
        <v>158</v>
      </c>
      <c r="F436" s="1115" t="n">
        <v>650</v>
      </c>
      <c r="G436" s="1115" t="n">
        <v>13300</v>
      </c>
      <c r="H436" s="1115" t="s">
        <v>870</v>
      </c>
      <c r="I436" s="1115" t="n">
        <v>13400</v>
      </c>
      <c r="J436" s="1115" t="s">
        <v>870</v>
      </c>
      <c r="L436" s="1115" t="n">
        <f aca="false">LOOKUP(M436,$E$6:$F$4002)</f>
        <v>66600</v>
      </c>
      <c r="M436" s="1115" t="s">
        <v>1632</v>
      </c>
      <c r="N436" s="1127" t="n">
        <v>0.97</v>
      </c>
    </row>
    <row r="437" customFormat="false" ht="14.1" hidden="false" customHeight="true" outlineLevel="0" collapsed="false">
      <c r="A437" s="1115" t="n">
        <v>13330</v>
      </c>
      <c r="B437" s="1115" t="s">
        <v>162</v>
      </c>
      <c r="C437" s="1115" t="n">
        <v>13330</v>
      </c>
      <c r="D437" s="1115" t="s">
        <v>1443</v>
      </c>
      <c r="E437" s="1115" t="s">
        <v>158</v>
      </c>
      <c r="F437" s="1115" t="n">
        <v>660</v>
      </c>
      <c r="G437" s="1115" t="n">
        <v>13330</v>
      </c>
      <c r="H437" s="1115" t="s">
        <v>1443</v>
      </c>
      <c r="I437" s="1115" t="n">
        <v>13430</v>
      </c>
      <c r="J437" s="1115" t="s">
        <v>870</v>
      </c>
      <c r="L437" s="1115" t="n">
        <f aca="false">LOOKUP(M437,$E$6:$F$4002)</f>
        <v>91200</v>
      </c>
      <c r="M437" s="1115" t="s">
        <v>1633</v>
      </c>
      <c r="N437" s="1127" t="n">
        <v>0.94</v>
      </c>
    </row>
    <row r="438" customFormat="false" ht="14.1" hidden="false" customHeight="true" outlineLevel="0" collapsed="false">
      <c r="A438" s="1115" t="n">
        <v>13400</v>
      </c>
      <c r="B438" s="1115" t="s">
        <v>162</v>
      </c>
      <c r="C438" s="1115" t="n">
        <v>13400</v>
      </c>
      <c r="D438" s="1115" t="s">
        <v>870</v>
      </c>
      <c r="E438" s="1115" t="s">
        <v>158</v>
      </c>
      <c r="F438" s="1115" t="n">
        <v>670</v>
      </c>
      <c r="G438" s="1115" t="n">
        <v>13400</v>
      </c>
      <c r="H438" s="1115" t="s">
        <v>870</v>
      </c>
      <c r="I438" s="1115" t="n">
        <v>13500</v>
      </c>
      <c r="J438" s="1115" t="s">
        <v>870</v>
      </c>
      <c r="L438" s="1115" t="n">
        <f aca="false">LOOKUP(M438,$E$6:$F$4002)</f>
        <v>62375</v>
      </c>
      <c r="M438" s="1115" t="s">
        <v>1634</v>
      </c>
      <c r="N438" s="1127" t="n">
        <v>0.96</v>
      </c>
    </row>
    <row r="439" customFormat="false" ht="14.1" hidden="false" customHeight="true" outlineLevel="0" collapsed="false">
      <c r="A439" s="1115" t="n">
        <v>13430</v>
      </c>
      <c r="B439" s="1115" t="s">
        <v>162</v>
      </c>
      <c r="C439" s="1115" t="n">
        <v>13430</v>
      </c>
      <c r="D439" s="1115" t="s">
        <v>870</v>
      </c>
      <c r="E439" s="1115" t="s">
        <v>158</v>
      </c>
      <c r="F439" s="1115" t="n">
        <v>680</v>
      </c>
      <c r="G439" s="1115" t="n">
        <v>13430</v>
      </c>
      <c r="H439" s="1115" t="s">
        <v>870</v>
      </c>
      <c r="I439" s="1115" t="n">
        <v>13530</v>
      </c>
      <c r="J439" s="1115" t="s">
        <v>870</v>
      </c>
      <c r="L439" s="1115" t="n">
        <f aca="false">LOOKUP(M439,$E$6:$F$4002)</f>
        <v>91300</v>
      </c>
      <c r="M439" s="1115" t="s">
        <v>1635</v>
      </c>
      <c r="N439" s="1127" t="n">
        <v>0.95</v>
      </c>
    </row>
    <row r="440" customFormat="false" ht="14.1" hidden="false" customHeight="true" outlineLevel="0" collapsed="false">
      <c r="A440" s="1115" t="n">
        <v>13500</v>
      </c>
      <c r="B440" s="1115" t="s">
        <v>162</v>
      </c>
      <c r="C440" s="1115" t="n">
        <v>13500</v>
      </c>
      <c r="D440" s="1115" t="s">
        <v>870</v>
      </c>
      <c r="E440" s="1115" t="s">
        <v>158</v>
      </c>
      <c r="F440" s="1115" t="n">
        <v>690</v>
      </c>
      <c r="G440" s="1115" t="n">
        <v>13500</v>
      </c>
      <c r="H440" s="1115" t="s">
        <v>870</v>
      </c>
      <c r="I440" s="1115" t="n">
        <v>13600</v>
      </c>
      <c r="J440" s="1115" t="s">
        <v>870</v>
      </c>
      <c r="L440" s="1115" t="n">
        <f aca="false">LOOKUP(M440,$E$6:$F$4002)</f>
        <v>61410</v>
      </c>
      <c r="M440" s="1115" t="s">
        <v>1636</v>
      </c>
      <c r="N440" s="1127" t="n">
        <v>0.97</v>
      </c>
    </row>
    <row r="441" customFormat="false" ht="14.1" hidden="false" customHeight="true" outlineLevel="0" collapsed="false">
      <c r="A441" s="1115" t="n">
        <v>13530</v>
      </c>
      <c r="B441" s="1115" t="s">
        <v>162</v>
      </c>
      <c r="C441" s="1115" t="n">
        <v>13530</v>
      </c>
      <c r="D441" s="1115" t="s">
        <v>870</v>
      </c>
      <c r="E441" s="1115" t="s">
        <v>158</v>
      </c>
      <c r="F441" s="1115" t="n">
        <v>700</v>
      </c>
      <c r="G441" s="1115" t="n">
        <v>13530</v>
      </c>
      <c r="H441" s="1115" t="s">
        <v>870</v>
      </c>
      <c r="I441" s="1115" t="n">
        <v>13700</v>
      </c>
      <c r="J441" s="1115" t="s">
        <v>831</v>
      </c>
      <c r="L441" s="1115" t="n">
        <f aca="false">LOOKUP(M441,$E$6:$F$4002)</f>
        <v>95600</v>
      </c>
      <c r="M441" s="1115" t="s">
        <v>1637</v>
      </c>
      <c r="N441" s="1127" t="n">
        <v>1.08</v>
      </c>
    </row>
    <row r="442" customFormat="false" ht="14.1" hidden="false" customHeight="true" outlineLevel="0" collapsed="false">
      <c r="A442" s="1115" t="n">
        <v>13600</v>
      </c>
      <c r="B442" s="1115" t="s">
        <v>162</v>
      </c>
      <c r="C442" s="1115" t="n">
        <v>13600</v>
      </c>
      <c r="D442" s="1115" t="s">
        <v>870</v>
      </c>
      <c r="E442" s="1115" t="s">
        <v>158</v>
      </c>
      <c r="F442" s="1115" t="n">
        <v>710</v>
      </c>
      <c r="G442" s="1115" t="n">
        <v>13600</v>
      </c>
      <c r="H442" s="1115" t="s">
        <v>870</v>
      </c>
      <c r="I442" s="1115" t="n">
        <v>13720</v>
      </c>
      <c r="J442" s="1115" t="s">
        <v>870</v>
      </c>
      <c r="L442" s="1115" t="n">
        <f aca="false">LOOKUP(M442,$E$6:$F$4002)</f>
        <v>84880</v>
      </c>
      <c r="M442" s="1115" t="s">
        <v>1638</v>
      </c>
      <c r="N442" s="1127" t="n">
        <v>1</v>
      </c>
    </row>
    <row r="443" customFormat="false" ht="14.1" hidden="false" customHeight="true" outlineLevel="0" collapsed="false">
      <c r="A443" s="1115" t="n">
        <v>13700</v>
      </c>
      <c r="B443" s="1115" t="s">
        <v>162</v>
      </c>
      <c r="C443" s="1115" t="n">
        <v>13700</v>
      </c>
      <c r="D443" s="1115" t="s">
        <v>1639</v>
      </c>
      <c r="E443" s="1115" t="s">
        <v>158</v>
      </c>
      <c r="F443" s="1115" t="n">
        <v>720</v>
      </c>
      <c r="G443" s="1115" t="n">
        <v>13700</v>
      </c>
      <c r="H443" s="1115" t="s">
        <v>1639</v>
      </c>
      <c r="I443" s="1115" t="n">
        <v>13800</v>
      </c>
      <c r="J443" s="1115" t="s">
        <v>831</v>
      </c>
      <c r="L443" s="1115" t="n">
        <f aca="false">LOOKUP(M443,$E$6:$F$4002)</f>
        <v>54410</v>
      </c>
      <c r="M443" s="1115" t="s">
        <v>1640</v>
      </c>
      <c r="N443" s="1127" t="n">
        <v>1.02</v>
      </c>
    </row>
    <row r="444" customFormat="false" ht="14.1" hidden="false" customHeight="true" outlineLevel="0" collapsed="false">
      <c r="A444" s="1115" t="n">
        <v>13720</v>
      </c>
      <c r="B444" s="1115" t="s">
        <v>162</v>
      </c>
      <c r="C444" s="1115" t="n">
        <v>13720</v>
      </c>
      <c r="D444" s="1115" t="s">
        <v>1641</v>
      </c>
      <c r="E444" s="1115" t="s">
        <v>158</v>
      </c>
      <c r="F444" s="1115" t="n">
        <v>730</v>
      </c>
      <c r="G444" s="1115" t="n">
        <v>13720</v>
      </c>
      <c r="H444" s="1115" t="s">
        <v>1641</v>
      </c>
      <c r="I444" s="1115" t="n">
        <v>13880</v>
      </c>
      <c r="J444" s="1115" t="s">
        <v>831</v>
      </c>
      <c r="L444" s="1115" t="n">
        <f aca="false">LOOKUP(M444,$E$6:$F$4002)</f>
        <v>21900</v>
      </c>
      <c r="M444" s="1115" t="s">
        <v>1642</v>
      </c>
      <c r="N444" s="1127" t="n">
        <v>0.96</v>
      </c>
    </row>
    <row r="445" customFormat="false" ht="14.1" hidden="false" customHeight="true" outlineLevel="0" collapsed="false">
      <c r="A445" s="1115" t="n">
        <v>13800</v>
      </c>
      <c r="B445" s="1115" t="s">
        <v>162</v>
      </c>
      <c r="C445" s="1115" t="n">
        <v>13800</v>
      </c>
      <c r="D445" s="1115" t="s">
        <v>1643</v>
      </c>
      <c r="E445" s="1115" t="s">
        <v>158</v>
      </c>
      <c r="F445" s="1115" t="n">
        <v>740</v>
      </c>
      <c r="G445" s="1115" t="n">
        <v>13800</v>
      </c>
      <c r="H445" s="1115" t="s">
        <v>1643</v>
      </c>
      <c r="I445" s="1115" t="n">
        <v>13900</v>
      </c>
      <c r="J445" s="1115" t="s">
        <v>831</v>
      </c>
      <c r="L445" s="1115" t="n">
        <f aca="false">LOOKUP(M445,$E$6:$F$4002)</f>
        <v>33480</v>
      </c>
      <c r="M445" s="1115" t="s">
        <v>1644</v>
      </c>
      <c r="N445" s="1127" t="n">
        <v>0.99</v>
      </c>
    </row>
    <row r="446" customFormat="false" ht="14.1" hidden="false" customHeight="true" outlineLevel="0" collapsed="false">
      <c r="A446" s="1115" t="n">
        <v>13880</v>
      </c>
      <c r="B446" s="1115" t="s">
        <v>162</v>
      </c>
      <c r="C446" s="1115" t="n">
        <v>13880</v>
      </c>
      <c r="D446" s="1115" t="s">
        <v>831</v>
      </c>
      <c r="E446" s="1115" t="s">
        <v>158</v>
      </c>
      <c r="F446" s="1115" t="n">
        <v>750</v>
      </c>
      <c r="G446" s="1115" t="n">
        <v>13880</v>
      </c>
      <c r="H446" s="1115" t="s">
        <v>831</v>
      </c>
      <c r="I446" s="1115" t="n">
        <v>13930</v>
      </c>
      <c r="J446" s="1115" t="s">
        <v>831</v>
      </c>
      <c r="L446" s="1115" t="n">
        <f aca="false">LOOKUP(M446,$E$6:$F$4002)</f>
        <v>32140</v>
      </c>
      <c r="M446" s="1115" t="s">
        <v>1645</v>
      </c>
      <c r="N446" s="1127" t="n">
        <v>1.03</v>
      </c>
    </row>
    <row r="447" customFormat="false" ht="14.1" hidden="false" customHeight="true" outlineLevel="0" collapsed="false">
      <c r="A447" s="1115" t="n">
        <v>13900</v>
      </c>
      <c r="B447" s="1115" t="s">
        <v>162</v>
      </c>
      <c r="C447" s="1115" t="n">
        <v>13900</v>
      </c>
      <c r="D447" s="1115" t="s">
        <v>1646</v>
      </c>
      <c r="E447" s="1115" t="s">
        <v>158</v>
      </c>
      <c r="F447" s="1115" t="n">
        <v>760</v>
      </c>
      <c r="G447" s="1115" t="n">
        <v>13900</v>
      </c>
      <c r="H447" s="1115" t="s">
        <v>1646</v>
      </c>
      <c r="I447" s="1115" t="n">
        <v>14140</v>
      </c>
      <c r="J447" s="1115" t="s">
        <v>831</v>
      </c>
      <c r="L447" s="1115" t="n">
        <f aca="false">LOOKUP(M447,$E$6:$F$4002)</f>
        <v>32740</v>
      </c>
      <c r="M447" s="1115" t="s">
        <v>1647</v>
      </c>
      <c r="N447" s="1127" t="n">
        <v>1</v>
      </c>
    </row>
    <row r="448" customFormat="false" ht="14.1" hidden="false" customHeight="true" outlineLevel="0" collapsed="false">
      <c r="A448" s="1115" t="n">
        <v>13930</v>
      </c>
      <c r="B448" s="1115" t="s">
        <v>162</v>
      </c>
      <c r="C448" s="1115" t="n">
        <v>13930</v>
      </c>
      <c r="D448" s="1115" t="s">
        <v>1648</v>
      </c>
      <c r="E448" s="1115" t="s">
        <v>158</v>
      </c>
      <c r="F448" s="1115" t="n">
        <v>770</v>
      </c>
      <c r="G448" s="1115" t="n">
        <v>13930</v>
      </c>
      <c r="H448" s="1115" t="s">
        <v>1648</v>
      </c>
      <c r="I448" s="1115" t="n">
        <v>14180</v>
      </c>
      <c r="J448" s="1115" t="s">
        <v>831</v>
      </c>
      <c r="L448" s="1115" t="n">
        <f aca="false">LOOKUP(M448,$E$6:$F$4002)</f>
        <v>63700</v>
      </c>
      <c r="M448" s="1115" t="s">
        <v>1649</v>
      </c>
      <c r="N448" s="1127" t="n">
        <v>0.98</v>
      </c>
    </row>
    <row r="449" customFormat="false" ht="14.1" hidden="false" customHeight="true" outlineLevel="0" collapsed="false">
      <c r="A449" s="1115" t="n">
        <v>14140</v>
      </c>
      <c r="B449" s="1115" t="s">
        <v>162</v>
      </c>
      <c r="C449" s="1115" t="n">
        <v>14140</v>
      </c>
      <c r="D449" s="1115" t="s">
        <v>1650</v>
      </c>
      <c r="E449" s="1115" t="s">
        <v>158</v>
      </c>
      <c r="F449" s="1115" t="n">
        <v>780</v>
      </c>
      <c r="G449" s="1115" t="n">
        <v>14140</v>
      </c>
      <c r="H449" s="1115" t="s">
        <v>1650</v>
      </c>
      <c r="I449" s="1115" t="n">
        <v>14200</v>
      </c>
      <c r="J449" s="1115" t="s">
        <v>831</v>
      </c>
      <c r="L449" s="1115" t="n">
        <f aca="false">LOOKUP(M449,$E$6:$F$4002)</f>
        <v>44120</v>
      </c>
      <c r="M449" s="1115" t="s">
        <v>1651</v>
      </c>
      <c r="N449" s="1127" t="n">
        <v>0.99</v>
      </c>
    </row>
    <row r="450" customFormat="false" ht="14.1" hidden="false" customHeight="true" outlineLevel="0" collapsed="false">
      <c r="A450" s="1115" t="n">
        <v>14180</v>
      </c>
      <c r="B450" s="1115" t="s">
        <v>162</v>
      </c>
      <c r="C450" s="1115" t="n">
        <v>14180</v>
      </c>
      <c r="D450" s="1115" t="s">
        <v>1652</v>
      </c>
      <c r="E450" s="1115" t="s">
        <v>158</v>
      </c>
      <c r="F450" s="1115" t="n">
        <v>790</v>
      </c>
      <c r="G450" s="1115" t="n">
        <v>14180</v>
      </c>
      <c r="H450" s="1115" t="s">
        <v>1652</v>
      </c>
      <c r="I450" s="1115" t="n">
        <v>14240</v>
      </c>
      <c r="J450" s="1115" t="s">
        <v>831</v>
      </c>
      <c r="N450" s="1127"/>
    </row>
    <row r="451" customFormat="false" ht="14.1" hidden="false" customHeight="true" outlineLevel="0" collapsed="false">
      <c r="A451" s="1115" t="n">
        <v>14200</v>
      </c>
      <c r="B451" s="1115" t="s">
        <v>162</v>
      </c>
      <c r="C451" s="1115" t="n">
        <v>14200</v>
      </c>
      <c r="D451" s="1115" t="s">
        <v>1653</v>
      </c>
      <c r="E451" s="1115" t="s">
        <v>158</v>
      </c>
      <c r="F451" s="1115" t="n">
        <v>800</v>
      </c>
      <c r="G451" s="1115" t="n">
        <v>14200</v>
      </c>
      <c r="H451" s="1115" t="s">
        <v>1653</v>
      </c>
      <c r="I451" s="1115" t="n">
        <v>14300</v>
      </c>
      <c r="J451" s="1115" t="s">
        <v>831</v>
      </c>
      <c r="N451" s="1127"/>
    </row>
    <row r="452" customFormat="false" ht="14.1" hidden="false" customHeight="true" outlineLevel="0" collapsed="false">
      <c r="A452" s="1115" t="n">
        <v>14240</v>
      </c>
      <c r="B452" s="1115" t="s">
        <v>162</v>
      </c>
      <c r="C452" s="1115" t="n">
        <v>14240</v>
      </c>
      <c r="D452" s="1115" t="s">
        <v>899</v>
      </c>
      <c r="E452" s="1115" t="s">
        <v>158</v>
      </c>
      <c r="F452" s="1115" t="n">
        <v>810</v>
      </c>
      <c r="G452" s="1115" t="n">
        <v>14240</v>
      </c>
      <c r="H452" s="1115" t="s">
        <v>899</v>
      </c>
      <c r="I452" s="1115" t="n">
        <v>14330</v>
      </c>
      <c r="J452" s="1115" t="s">
        <v>831</v>
      </c>
    </row>
    <row r="453" customFormat="false" ht="14.1" hidden="false" customHeight="true" outlineLevel="0" collapsed="false">
      <c r="A453" s="1115" t="n">
        <v>14300</v>
      </c>
      <c r="B453" s="1115" t="s">
        <v>162</v>
      </c>
      <c r="C453" s="1115" t="n">
        <v>14300</v>
      </c>
      <c r="D453" s="1115" t="s">
        <v>1434</v>
      </c>
      <c r="E453" s="1115" t="s">
        <v>158</v>
      </c>
      <c r="F453" s="1115" t="n">
        <v>820</v>
      </c>
      <c r="G453" s="1115" t="n">
        <v>14300</v>
      </c>
      <c r="H453" s="1115" t="s">
        <v>1434</v>
      </c>
      <c r="I453" s="1115" t="n">
        <v>14370</v>
      </c>
      <c r="J453" s="1115" t="s">
        <v>831</v>
      </c>
    </row>
    <row r="454" customFormat="false" ht="14.1" hidden="false" customHeight="true" outlineLevel="0" collapsed="false">
      <c r="A454" s="1115" t="n">
        <v>14330</v>
      </c>
      <c r="B454" s="1115" t="s">
        <v>162</v>
      </c>
      <c r="C454" s="1115" t="n">
        <v>14330</v>
      </c>
      <c r="D454" s="1115" t="s">
        <v>1654</v>
      </c>
      <c r="E454" s="1115" t="s">
        <v>158</v>
      </c>
      <c r="F454" s="1115" t="n">
        <v>830</v>
      </c>
      <c r="G454" s="1115" t="n">
        <v>14330</v>
      </c>
      <c r="H454" s="1115" t="s">
        <v>1654</v>
      </c>
      <c r="I454" s="1115" t="n">
        <v>14430</v>
      </c>
      <c r="J454" s="1115" t="s">
        <v>831</v>
      </c>
    </row>
    <row r="455" customFormat="false" ht="14.1" hidden="false" customHeight="true" outlineLevel="0" collapsed="false">
      <c r="A455" s="1115" t="n">
        <v>14370</v>
      </c>
      <c r="B455" s="1115" t="s">
        <v>162</v>
      </c>
      <c r="C455" s="1115" t="n">
        <v>14370</v>
      </c>
      <c r="D455" s="1115" t="s">
        <v>1655</v>
      </c>
      <c r="E455" s="1115" t="s">
        <v>158</v>
      </c>
      <c r="F455" s="1115" t="n">
        <v>840</v>
      </c>
      <c r="G455" s="1115" t="n">
        <v>14370</v>
      </c>
      <c r="H455" s="1115" t="s">
        <v>1655</v>
      </c>
      <c r="I455" s="1115" t="n">
        <v>14450</v>
      </c>
      <c r="J455" s="1115" t="s">
        <v>831</v>
      </c>
    </row>
    <row r="456" customFormat="false" ht="14.1" hidden="false" customHeight="true" outlineLevel="0" collapsed="false">
      <c r="A456" s="1115" t="n">
        <v>14430</v>
      </c>
      <c r="B456" s="1115" t="s">
        <v>162</v>
      </c>
      <c r="C456" s="1115" t="n">
        <v>14430</v>
      </c>
      <c r="D456" s="1115" t="s">
        <v>1656</v>
      </c>
      <c r="E456" s="1115" t="s">
        <v>158</v>
      </c>
      <c r="F456" s="1115" t="n">
        <v>850</v>
      </c>
      <c r="G456" s="1115" t="n">
        <v>14430</v>
      </c>
      <c r="H456" s="1115" t="s">
        <v>1656</v>
      </c>
      <c r="I456" s="1115" t="n">
        <v>14500</v>
      </c>
      <c r="J456" s="1115" t="s">
        <v>831</v>
      </c>
    </row>
    <row r="457" customFormat="false" ht="14.1" hidden="false" customHeight="true" outlineLevel="0" collapsed="false">
      <c r="A457" s="1115" t="n">
        <v>14450</v>
      </c>
      <c r="B457" s="1115" t="s">
        <v>162</v>
      </c>
      <c r="C457" s="1115" t="n">
        <v>14450</v>
      </c>
      <c r="D457" s="1115" t="s">
        <v>1657</v>
      </c>
      <c r="E457" s="1115" t="s">
        <v>158</v>
      </c>
      <c r="F457" s="1115" t="n">
        <v>860</v>
      </c>
      <c r="G457" s="1115" t="n">
        <v>14450</v>
      </c>
      <c r="H457" s="1115" t="s">
        <v>1657</v>
      </c>
      <c r="I457" s="1115" t="n">
        <v>14530</v>
      </c>
      <c r="J457" s="1115" t="s">
        <v>831</v>
      </c>
    </row>
    <row r="458" customFormat="false" ht="14.1" hidden="false" customHeight="true" outlineLevel="0" collapsed="false">
      <c r="A458" s="1115" t="n">
        <v>14500</v>
      </c>
      <c r="B458" s="1115" t="s">
        <v>162</v>
      </c>
      <c r="C458" s="1115" t="n">
        <v>14500</v>
      </c>
      <c r="D458" s="1115" t="s">
        <v>1658</v>
      </c>
      <c r="E458" s="1115" t="s">
        <v>158</v>
      </c>
      <c r="F458" s="1115" t="n">
        <v>870</v>
      </c>
      <c r="G458" s="1115" t="n">
        <v>14500</v>
      </c>
      <c r="H458" s="1115" t="s">
        <v>1658</v>
      </c>
      <c r="I458" s="1115" t="n">
        <v>14580</v>
      </c>
      <c r="J458" s="1115" t="s">
        <v>1591</v>
      </c>
    </row>
    <row r="459" customFormat="false" ht="14.1" hidden="false" customHeight="true" outlineLevel="0" collapsed="false">
      <c r="A459" s="1115" t="n">
        <v>14530</v>
      </c>
      <c r="B459" s="1115" t="s">
        <v>162</v>
      </c>
      <c r="C459" s="1115" t="n">
        <v>14530</v>
      </c>
      <c r="D459" s="1115" t="s">
        <v>1659</v>
      </c>
      <c r="E459" s="1115" t="s">
        <v>158</v>
      </c>
      <c r="F459" s="1115" t="n">
        <v>880</v>
      </c>
      <c r="G459" s="1115" t="n">
        <v>14530</v>
      </c>
      <c r="H459" s="1115" t="s">
        <v>1659</v>
      </c>
      <c r="I459" s="1115" t="n">
        <v>14610</v>
      </c>
      <c r="J459" s="1115" t="s">
        <v>1591</v>
      </c>
    </row>
    <row r="460" customFormat="false" ht="14.1" hidden="false" customHeight="true" outlineLevel="0" collapsed="false">
      <c r="A460" s="1115" t="n">
        <v>14580</v>
      </c>
      <c r="B460" s="1115" t="s">
        <v>162</v>
      </c>
      <c r="C460" s="1115" t="n">
        <v>14580</v>
      </c>
      <c r="D460" s="1115" t="s">
        <v>1660</v>
      </c>
      <c r="E460" s="1115" t="s">
        <v>158</v>
      </c>
      <c r="F460" s="1115" t="n">
        <v>890</v>
      </c>
      <c r="G460" s="1115" t="n">
        <v>14580</v>
      </c>
      <c r="H460" s="1115" t="s">
        <v>1660</v>
      </c>
      <c r="I460" s="1115" t="n">
        <v>14620</v>
      </c>
      <c r="J460" s="1115" t="s">
        <v>1591</v>
      </c>
    </row>
    <row r="461" customFormat="false" ht="14.1" hidden="false" customHeight="true" outlineLevel="0" collapsed="false">
      <c r="A461" s="1115" t="n">
        <v>14610</v>
      </c>
      <c r="B461" s="1115" t="s">
        <v>162</v>
      </c>
      <c r="C461" s="1115" t="n">
        <v>14610</v>
      </c>
      <c r="D461" s="1115" t="s">
        <v>1661</v>
      </c>
      <c r="E461" s="1115" t="s">
        <v>158</v>
      </c>
      <c r="F461" s="1115" t="n">
        <v>900</v>
      </c>
      <c r="G461" s="1115" t="n">
        <v>14610</v>
      </c>
      <c r="H461" s="1115" t="s">
        <v>1661</v>
      </c>
      <c r="I461" s="1115" t="n">
        <v>14630</v>
      </c>
      <c r="J461" s="1115" t="s">
        <v>1591</v>
      </c>
    </row>
    <row r="462" customFormat="false" ht="14.1" hidden="false" customHeight="true" outlineLevel="0" collapsed="false">
      <c r="A462" s="1115" t="n">
        <v>14620</v>
      </c>
      <c r="B462" s="1115" t="s">
        <v>162</v>
      </c>
      <c r="C462" s="1115" t="n">
        <v>14620</v>
      </c>
      <c r="D462" s="1115" t="s">
        <v>1662</v>
      </c>
      <c r="E462" s="1115" t="s">
        <v>158</v>
      </c>
      <c r="F462" s="1115" t="n">
        <v>910</v>
      </c>
      <c r="G462" s="1115" t="n">
        <v>14620</v>
      </c>
      <c r="H462" s="1115" t="s">
        <v>1662</v>
      </c>
      <c r="I462" s="1115" t="n">
        <v>14680</v>
      </c>
      <c r="J462" s="1115" t="s">
        <v>1591</v>
      </c>
    </row>
    <row r="463" customFormat="false" ht="14.1" hidden="false" customHeight="true" outlineLevel="0" collapsed="false">
      <c r="A463" s="1115" t="n">
        <v>14630</v>
      </c>
      <c r="B463" s="1115" t="s">
        <v>162</v>
      </c>
      <c r="C463" s="1115" t="n">
        <v>14630</v>
      </c>
      <c r="D463" s="1115" t="s">
        <v>1663</v>
      </c>
      <c r="E463" s="1115" t="s">
        <v>158</v>
      </c>
      <c r="F463" s="1115" t="n">
        <v>920</v>
      </c>
      <c r="G463" s="1115" t="n">
        <v>14630</v>
      </c>
      <c r="H463" s="1115" t="s">
        <v>1663</v>
      </c>
      <c r="I463" s="1115" t="n">
        <v>14690</v>
      </c>
      <c r="J463" s="1115" t="s">
        <v>1591</v>
      </c>
    </row>
    <row r="464" customFormat="false" ht="14.1" hidden="false" customHeight="true" outlineLevel="0" collapsed="false">
      <c r="A464" s="1115" t="n">
        <v>14680</v>
      </c>
      <c r="B464" s="1115" t="s">
        <v>162</v>
      </c>
      <c r="C464" s="1115" t="n">
        <v>14680</v>
      </c>
      <c r="D464" s="1115" t="s">
        <v>890</v>
      </c>
      <c r="E464" s="1115" t="s">
        <v>158</v>
      </c>
      <c r="F464" s="1115" t="n">
        <v>930</v>
      </c>
      <c r="G464" s="1115" t="n">
        <v>14680</v>
      </c>
      <c r="H464" s="1115" t="s">
        <v>890</v>
      </c>
      <c r="I464" s="1115" t="n">
        <v>14700</v>
      </c>
      <c r="J464" s="1115" t="s">
        <v>1591</v>
      </c>
    </row>
    <row r="465" customFormat="false" ht="14.1" hidden="false" customHeight="true" outlineLevel="0" collapsed="false">
      <c r="A465" s="1115" t="n">
        <v>14690</v>
      </c>
      <c r="B465" s="1115" t="s">
        <v>162</v>
      </c>
      <c r="C465" s="1115" t="n">
        <v>14690</v>
      </c>
      <c r="D465" s="1115" t="s">
        <v>1664</v>
      </c>
      <c r="E465" s="1115" t="s">
        <v>158</v>
      </c>
      <c r="F465" s="1115" t="n">
        <v>940</v>
      </c>
      <c r="G465" s="1115" t="n">
        <v>14690</v>
      </c>
      <c r="H465" s="1115" t="s">
        <v>1664</v>
      </c>
      <c r="I465" s="1115" t="n">
        <v>14760</v>
      </c>
      <c r="J465" s="1115" t="s">
        <v>1591</v>
      </c>
    </row>
    <row r="466" customFormat="false" ht="14.1" hidden="false" customHeight="true" outlineLevel="0" collapsed="false">
      <c r="A466" s="1115" t="n">
        <v>14700</v>
      </c>
      <c r="B466" s="1115" t="s">
        <v>162</v>
      </c>
      <c r="C466" s="1115" t="n">
        <v>14700</v>
      </c>
      <c r="D466" s="1115" t="s">
        <v>833</v>
      </c>
      <c r="E466" s="1115" t="s">
        <v>158</v>
      </c>
      <c r="F466" s="1115" t="n">
        <v>950</v>
      </c>
      <c r="G466" s="1115" t="n">
        <v>14700</v>
      </c>
      <c r="H466" s="1115" t="s">
        <v>833</v>
      </c>
      <c r="I466" s="1115" t="n">
        <v>14770</v>
      </c>
      <c r="J466" s="1115" t="s">
        <v>1591</v>
      </c>
    </row>
    <row r="467" customFormat="false" ht="14.1" hidden="false" customHeight="true" outlineLevel="0" collapsed="false">
      <c r="A467" s="1115" t="n">
        <v>14760</v>
      </c>
      <c r="B467" s="1115" t="s">
        <v>162</v>
      </c>
      <c r="C467" s="1115" t="n">
        <v>14760</v>
      </c>
      <c r="D467" s="1115" t="s">
        <v>1665</v>
      </c>
      <c r="E467" s="1115" t="s">
        <v>158</v>
      </c>
      <c r="F467" s="1115" t="n">
        <v>960</v>
      </c>
      <c r="G467" s="1115" t="n">
        <v>14760</v>
      </c>
      <c r="H467" s="1115" t="s">
        <v>1665</v>
      </c>
      <c r="I467" s="1115" t="n">
        <v>14810</v>
      </c>
      <c r="J467" s="1115" t="s">
        <v>1591</v>
      </c>
    </row>
    <row r="468" customFormat="false" ht="14.1" hidden="false" customHeight="true" outlineLevel="0" collapsed="false">
      <c r="A468" s="1115" t="n">
        <v>14770</v>
      </c>
      <c r="B468" s="1115" t="s">
        <v>162</v>
      </c>
      <c r="C468" s="1115" t="n">
        <v>14770</v>
      </c>
      <c r="D468" s="1115" t="s">
        <v>1184</v>
      </c>
      <c r="E468" s="1115" t="s">
        <v>158</v>
      </c>
      <c r="F468" s="1115" t="n">
        <v>970</v>
      </c>
      <c r="G468" s="1115" t="n">
        <v>14770</v>
      </c>
      <c r="H468" s="1115" t="s">
        <v>1184</v>
      </c>
      <c r="I468" s="1115" t="n">
        <v>14820</v>
      </c>
      <c r="J468" s="1115" t="s">
        <v>1591</v>
      </c>
    </row>
    <row r="469" customFormat="false" ht="14.1" hidden="false" customHeight="true" outlineLevel="0" collapsed="false">
      <c r="A469" s="1115" t="n">
        <v>14810</v>
      </c>
      <c r="B469" s="1115" t="s">
        <v>162</v>
      </c>
      <c r="C469" s="1115" t="n">
        <v>14810</v>
      </c>
      <c r="D469" s="1115" t="s">
        <v>1666</v>
      </c>
      <c r="E469" s="1115" t="s">
        <v>158</v>
      </c>
      <c r="F469" s="1115" t="n">
        <v>980</v>
      </c>
      <c r="G469" s="1115" t="n">
        <v>14810</v>
      </c>
      <c r="H469" s="1115" t="s">
        <v>1666</v>
      </c>
      <c r="I469" s="1115" t="n">
        <v>14840</v>
      </c>
      <c r="J469" s="1115" t="s">
        <v>1591</v>
      </c>
    </row>
    <row r="470" customFormat="false" ht="14.1" hidden="false" customHeight="true" outlineLevel="0" collapsed="false">
      <c r="A470" s="1115" t="n">
        <v>14820</v>
      </c>
      <c r="B470" s="1115" t="s">
        <v>162</v>
      </c>
      <c r="C470" s="1115" t="n">
        <v>14820</v>
      </c>
      <c r="D470" s="1115" t="s">
        <v>1570</v>
      </c>
      <c r="E470" s="1115" t="s">
        <v>158</v>
      </c>
      <c r="F470" s="1115" t="n">
        <v>990</v>
      </c>
      <c r="G470" s="1115" t="n">
        <v>14820</v>
      </c>
      <c r="H470" s="1115" t="s">
        <v>1570</v>
      </c>
      <c r="I470" s="1115" t="n">
        <v>14870</v>
      </c>
      <c r="J470" s="1115" t="s">
        <v>1591</v>
      </c>
    </row>
    <row r="471" customFormat="false" ht="14.1" hidden="false" customHeight="true" outlineLevel="0" collapsed="false">
      <c r="A471" s="1115" t="n">
        <v>14840</v>
      </c>
      <c r="B471" s="1115" t="s">
        <v>162</v>
      </c>
      <c r="C471" s="1115" t="n">
        <v>14840</v>
      </c>
      <c r="D471" s="1115" t="s">
        <v>1667</v>
      </c>
      <c r="E471" s="1115" t="s">
        <v>1017</v>
      </c>
      <c r="F471" s="1115" t="n">
        <v>1530</v>
      </c>
      <c r="G471" s="1115" t="n">
        <v>14840</v>
      </c>
      <c r="H471" s="1115" t="s">
        <v>1667</v>
      </c>
      <c r="I471" s="1115" t="n">
        <v>14930</v>
      </c>
      <c r="J471" s="1115" t="s">
        <v>1591</v>
      </c>
    </row>
    <row r="472" customFormat="false" ht="14.1" hidden="false" customHeight="true" outlineLevel="0" collapsed="false">
      <c r="A472" s="1115" t="n">
        <v>14870</v>
      </c>
      <c r="B472" s="1115" t="s">
        <v>162</v>
      </c>
      <c r="C472" s="1115" t="n">
        <v>14870</v>
      </c>
      <c r="D472" s="1115" t="s">
        <v>1668</v>
      </c>
      <c r="E472" s="1115" t="s">
        <v>1669</v>
      </c>
      <c r="F472" s="1115" t="n">
        <v>32460</v>
      </c>
      <c r="G472" s="1115" t="n">
        <v>14870</v>
      </c>
      <c r="H472" s="1115" t="s">
        <v>1668</v>
      </c>
      <c r="I472" s="1115" t="n">
        <v>14960</v>
      </c>
      <c r="J472" s="1115" t="s">
        <v>1402</v>
      </c>
    </row>
    <row r="473" customFormat="false" ht="14.1" hidden="false" customHeight="true" outlineLevel="0" collapsed="false">
      <c r="A473" s="1115" t="n">
        <v>14930</v>
      </c>
      <c r="B473" s="1115" t="s">
        <v>162</v>
      </c>
      <c r="C473" s="1115" t="n">
        <v>14930</v>
      </c>
      <c r="D473" s="1115" t="s">
        <v>1670</v>
      </c>
      <c r="E473" s="1115" t="s">
        <v>1671</v>
      </c>
      <c r="F473" s="1115" t="n">
        <v>81190</v>
      </c>
      <c r="G473" s="1115" t="n">
        <v>14930</v>
      </c>
      <c r="H473" s="1115" t="s">
        <v>1670</v>
      </c>
      <c r="I473" s="1115" t="n">
        <v>14980</v>
      </c>
      <c r="J473" s="1115" t="s">
        <v>1402</v>
      </c>
    </row>
    <row r="474" customFormat="false" ht="14.1" hidden="false" customHeight="true" outlineLevel="0" collapsed="false">
      <c r="A474" s="1115" t="n">
        <v>14960</v>
      </c>
      <c r="B474" s="1115" t="s">
        <v>162</v>
      </c>
      <c r="C474" s="1115" t="n">
        <v>14960</v>
      </c>
      <c r="D474" s="1115" t="s">
        <v>1672</v>
      </c>
      <c r="E474" s="1115" t="s">
        <v>1673</v>
      </c>
      <c r="F474" s="1115" t="n">
        <v>74420</v>
      </c>
      <c r="G474" s="1115" t="n">
        <v>14960</v>
      </c>
      <c r="H474" s="1115" t="s">
        <v>1672</v>
      </c>
      <c r="I474" s="1115" t="n">
        <v>15007</v>
      </c>
      <c r="J474" s="1115" t="s">
        <v>162</v>
      </c>
    </row>
    <row r="475" customFormat="false" ht="14.1" hidden="false" customHeight="true" outlineLevel="0" collapsed="false">
      <c r="A475" s="1115" t="n">
        <v>14980</v>
      </c>
      <c r="B475" s="1115" t="s">
        <v>162</v>
      </c>
      <c r="C475" s="1115" t="n">
        <v>14980</v>
      </c>
      <c r="D475" s="1115" t="s">
        <v>1674</v>
      </c>
      <c r="E475" s="1115" t="s">
        <v>1675</v>
      </c>
      <c r="F475" s="1115" t="n">
        <v>63540</v>
      </c>
      <c r="G475" s="1115" t="n">
        <v>14980</v>
      </c>
      <c r="H475" s="1115" t="s">
        <v>1674</v>
      </c>
      <c r="I475" s="1115" t="n">
        <v>15100</v>
      </c>
      <c r="J475" s="1115" t="s">
        <v>162</v>
      </c>
    </row>
    <row r="476" customFormat="false" ht="14.1" hidden="false" customHeight="true" outlineLevel="0" collapsed="false">
      <c r="A476" s="1115" t="n">
        <v>15007</v>
      </c>
      <c r="B476" s="1115" t="s">
        <v>162</v>
      </c>
      <c r="C476" s="1115" t="n">
        <v>15007</v>
      </c>
      <c r="D476" s="1115" t="s">
        <v>162</v>
      </c>
      <c r="E476" s="1115" t="s">
        <v>1676</v>
      </c>
      <c r="F476" s="1115" t="n">
        <v>16500</v>
      </c>
      <c r="G476" s="1115" t="n">
        <v>15007</v>
      </c>
      <c r="H476" s="1115" t="s">
        <v>162</v>
      </c>
      <c r="I476" s="1115" t="n">
        <v>15110</v>
      </c>
      <c r="J476" s="1115" t="s">
        <v>162</v>
      </c>
    </row>
    <row r="477" customFormat="false" ht="14.1" hidden="false" customHeight="true" outlineLevel="0" collapsed="false">
      <c r="A477" s="1115" t="n">
        <v>15100</v>
      </c>
      <c r="B477" s="1115" t="s">
        <v>162</v>
      </c>
      <c r="C477" s="1115" t="n">
        <v>15100</v>
      </c>
      <c r="D477" s="1115" t="s">
        <v>162</v>
      </c>
      <c r="E477" s="1115" t="s">
        <v>1677</v>
      </c>
      <c r="F477" s="1115" t="n">
        <v>39180</v>
      </c>
      <c r="G477" s="1115" t="n">
        <v>15100</v>
      </c>
      <c r="H477" s="1115" t="s">
        <v>162</v>
      </c>
      <c r="I477" s="1115" t="n">
        <v>15140</v>
      </c>
      <c r="J477" s="1115" t="s">
        <v>162</v>
      </c>
    </row>
    <row r="478" customFormat="false" ht="14.1" hidden="false" customHeight="true" outlineLevel="0" collapsed="false">
      <c r="A478" s="1115" t="n">
        <v>15110</v>
      </c>
      <c r="B478" s="1115" t="s">
        <v>162</v>
      </c>
      <c r="C478" s="1115" t="n">
        <v>15110</v>
      </c>
      <c r="D478" s="1115" t="s">
        <v>162</v>
      </c>
      <c r="E478" s="1115" t="s">
        <v>1678</v>
      </c>
      <c r="F478" s="1115" t="n">
        <v>93160</v>
      </c>
      <c r="G478" s="1115" t="n">
        <v>15110</v>
      </c>
      <c r="H478" s="1115" t="s">
        <v>162</v>
      </c>
      <c r="I478" s="1115" t="n">
        <v>15150</v>
      </c>
      <c r="J478" s="1115" t="s">
        <v>162</v>
      </c>
    </row>
    <row r="479" customFormat="false" ht="14.1" hidden="false" customHeight="true" outlineLevel="0" collapsed="false">
      <c r="A479" s="1115" t="n">
        <v>15140</v>
      </c>
      <c r="B479" s="1115" t="s">
        <v>162</v>
      </c>
      <c r="C479" s="1115" t="n">
        <v>15140</v>
      </c>
      <c r="D479" s="1115" t="s">
        <v>162</v>
      </c>
      <c r="E479" s="1115" t="s">
        <v>1679</v>
      </c>
      <c r="F479" s="1115" t="n">
        <v>79530</v>
      </c>
      <c r="G479" s="1115" t="n">
        <v>15140</v>
      </c>
      <c r="H479" s="1115" t="s">
        <v>162</v>
      </c>
      <c r="I479" s="1115" t="n">
        <v>15170</v>
      </c>
      <c r="J479" s="1115" t="s">
        <v>162</v>
      </c>
    </row>
    <row r="480" customFormat="false" ht="14.1" hidden="false" customHeight="true" outlineLevel="0" collapsed="false">
      <c r="A480" s="1115" t="n">
        <v>15150</v>
      </c>
      <c r="B480" s="1115" t="s">
        <v>162</v>
      </c>
      <c r="C480" s="1115" t="n">
        <v>15150</v>
      </c>
      <c r="D480" s="1115" t="s">
        <v>162</v>
      </c>
      <c r="E480" s="1115" t="s">
        <v>1680</v>
      </c>
      <c r="F480" s="1115" t="n">
        <v>21510</v>
      </c>
      <c r="G480" s="1115" t="n">
        <v>15150</v>
      </c>
      <c r="H480" s="1115" t="s">
        <v>162</v>
      </c>
      <c r="I480" s="1115" t="n">
        <v>15200</v>
      </c>
      <c r="J480" s="1115" t="s">
        <v>162</v>
      </c>
    </row>
    <row r="481" customFormat="false" ht="14.1" hidden="false" customHeight="true" outlineLevel="0" collapsed="false">
      <c r="A481" s="1115" t="n">
        <v>15170</v>
      </c>
      <c r="B481" s="1115" t="s">
        <v>162</v>
      </c>
      <c r="C481" s="1115" t="n">
        <v>15170</v>
      </c>
      <c r="D481" s="1115" t="s">
        <v>162</v>
      </c>
      <c r="E481" s="1115" t="s">
        <v>1681</v>
      </c>
      <c r="F481" s="1115" t="n">
        <v>43210</v>
      </c>
      <c r="G481" s="1115" t="n">
        <v>15170</v>
      </c>
      <c r="H481" s="1115" t="s">
        <v>162</v>
      </c>
      <c r="I481" s="1115" t="n">
        <v>15210</v>
      </c>
      <c r="J481" s="1115" t="s">
        <v>162</v>
      </c>
    </row>
    <row r="482" customFormat="false" ht="14.1" hidden="false" customHeight="true" outlineLevel="0" collapsed="false">
      <c r="A482" s="1115" t="n">
        <v>15200</v>
      </c>
      <c r="B482" s="1115" t="s">
        <v>162</v>
      </c>
      <c r="C482" s="1115" t="n">
        <v>15200</v>
      </c>
      <c r="D482" s="1115" t="s">
        <v>162</v>
      </c>
      <c r="E482" s="1115" t="s">
        <v>1682</v>
      </c>
      <c r="F482" s="1115" t="n">
        <v>77550</v>
      </c>
      <c r="G482" s="1115" t="n">
        <v>15200</v>
      </c>
      <c r="H482" s="1115" t="s">
        <v>162</v>
      </c>
      <c r="I482" s="1115" t="n">
        <v>15230</v>
      </c>
      <c r="J482" s="1115" t="s">
        <v>162</v>
      </c>
    </row>
    <row r="483" customFormat="false" ht="14.1" hidden="false" customHeight="true" outlineLevel="0" collapsed="false">
      <c r="A483" s="1115" t="n">
        <v>15210</v>
      </c>
      <c r="B483" s="1115" t="s">
        <v>162</v>
      </c>
      <c r="C483" s="1115" t="n">
        <v>15210</v>
      </c>
      <c r="D483" s="1115" t="s">
        <v>162</v>
      </c>
      <c r="E483" s="1115" t="s">
        <v>1683</v>
      </c>
      <c r="F483" s="1115" t="n">
        <v>44170</v>
      </c>
      <c r="G483" s="1115" t="n">
        <v>15210</v>
      </c>
      <c r="H483" s="1115" t="s">
        <v>162</v>
      </c>
      <c r="I483" s="1115" t="n">
        <v>15240</v>
      </c>
      <c r="J483" s="1115" t="s">
        <v>162</v>
      </c>
    </row>
    <row r="484" customFormat="false" ht="14.1" hidden="false" customHeight="true" outlineLevel="0" collapsed="false">
      <c r="A484" s="1115" t="n">
        <v>15230</v>
      </c>
      <c r="B484" s="1115" t="s">
        <v>162</v>
      </c>
      <c r="C484" s="1115" t="n">
        <v>15230</v>
      </c>
      <c r="D484" s="1115" t="s">
        <v>162</v>
      </c>
      <c r="E484" s="1115" t="s">
        <v>1684</v>
      </c>
      <c r="F484" s="1115" t="n">
        <v>23140</v>
      </c>
      <c r="G484" s="1115" t="n">
        <v>15230</v>
      </c>
      <c r="H484" s="1115" t="s">
        <v>162</v>
      </c>
      <c r="I484" s="1115" t="n">
        <v>15270</v>
      </c>
      <c r="J484" s="1115" t="s">
        <v>853</v>
      </c>
    </row>
    <row r="485" customFormat="false" ht="14.1" hidden="false" customHeight="true" outlineLevel="0" collapsed="false">
      <c r="A485" s="1115" t="n">
        <v>15240</v>
      </c>
      <c r="B485" s="1115" t="s">
        <v>162</v>
      </c>
      <c r="C485" s="1115" t="n">
        <v>15240</v>
      </c>
      <c r="D485" s="1115" t="s">
        <v>162</v>
      </c>
      <c r="E485" s="1115" t="s">
        <v>1685</v>
      </c>
      <c r="F485" s="1115" t="n">
        <v>16260</v>
      </c>
      <c r="G485" s="1115" t="n">
        <v>15240</v>
      </c>
      <c r="H485" s="1115" t="s">
        <v>162</v>
      </c>
      <c r="I485" s="1115" t="n">
        <v>15300</v>
      </c>
      <c r="J485" s="1115" t="s">
        <v>162</v>
      </c>
    </row>
    <row r="486" customFormat="false" ht="14.1" hidden="false" customHeight="true" outlineLevel="0" collapsed="false">
      <c r="A486" s="1115" t="n">
        <v>15270</v>
      </c>
      <c r="B486" s="1115" t="s">
        <v>162</v>
      </c>
      <c r="C486" s="1115" t="n">
        <v>15270</v>
      </c>
      <c r="D486" s="1115" t="s">
        <v>1686</v>
      </c>
      <c r="E486" s="1115" t="s">
        <v>1687</v>
      </c>
      <c r="F486" s="1115" t="n">
        <v>52510</v>
      </c>
      <c r="G486" s="1115" t="n">
        <v>15270</v>
      </c>
      <c r="H486" s="1115" t="s">
        <v>1686</v>
      </c>
      <c r="I486" s="1115" t="n">
        <v>15320</v>
      </c>
      <c r="J486" s="1115" t="s">
        <v>162</v>
      </c>
    </row>
    <row r="487" customFormat="false" ht="14.1" hidden="false" customHeight="true" outlineLevel="0" collapsed="false">
      <c r="A487" s="1115" t="n">
        <v>15300</v>
      </c>
      <c r="B487" s="1115" t="s">
        <v>162</v>
      </c>
      <c r="C487" s="1115" t="n">
        <v>15300</v>
      </c>
      <c r="D487" s="1115" t="s">
        <v>162</v>
      </c>
      <c r="E487" s="1115" t="s">
        <v>1688</v>
      </c>
      <c r="F487" s="1115" t="n">
        <v>97910</v>
      </c>
      <c r="G487" s="1115" t="n">
        <v>15300</v>
      </c>
      <c r="H487" s="1115" t="s">
        <v>162</v>
      </c>
      <c r="I487" s="1115" t="n">
        <v>15340</v>
      </c>
      <c r="J487" s="1115" t="s">
        <v>162</v>
      </c>
    </row>
    <row r="488" customFormat="false" ht="14.1" hidden="false" customHeight="true" outlineLevel="0" collapsed="false">
      <c r="A488" s="1115" t="n">
        <v>15320</v>
      </c>
      <c r="B488" s="1115" t="s">
        <v>162</v>
      </c>
      <c r="C488" s="1115" t="n">
        <v>15320</v>
      </c>
      <c r="D488" s="1115" t="s">
        <v>162</v>
      </c>
      <c r="E488" s="1115" t="s">
        <v>1592</v>
      </c>
      <c r="F488" s="1115" t="n">
        <v>12170</v>
      </c>
      <c r="G488" s="1115" t="n">
        <v>15320</v>
      </c>
      <c r="H488" s="1115" t="s">
        <v>162</v>
      </c>
      <c r="I488" s="1115" t="n">
        <v>15360</v>
      </c>
      <c r="J488" s="1115" t="s">
        <v>162</v>
      </c>
    </row>
    <row r="489" customFormat="false" ht="14.1" hidden="false" customHeight="true" outlineLevel="0" collapsed="false">
      <c r="A489" s="1115" t="n">
        <v>15340</v>
      </c>
      <c r="B489" s="1115" t="s">
        <v>162</v>
      </c>
      <c r="C489" s="1115" t="n">
        <v>15340</v>
      </c>
      <c r="D489" s="1115" t="s">
        <v>162</v>
      </c>
      <c r="E489" s="1115" t="s">
        <v>1689</v>
      </c>
      <c r="F489" s="1115" t="n">
        <v>86850</v>
      </c>
      <c r="G489" s="1115" t="n">
        <v>15340</v>
      </c>
      <c r="H489" s="1115" t="s">
        <v>162</v>
      </c>
      <c r="I489" s="1115" t="n">
        <v>15460</v>
      </c>
      <c r="J489" s="1115" t="s">
        <v>1260</v>
      </c>
    </row>
    <row r="490" customFormat="false" ht="14.1" hidden="false" customHeight="true" outlineLevel="0" collapsed="false">
      <c r="A490" s="1115" t="n">
        <v>15360</v>
      </c>
      <c r="B490" s="1115" t="s">
        <v>162</v>
      </c>
      <c r="C490" s="1115" t="n">
        <v>15360</v>
      </c>
      <c r="D490" s="1115" t="s">
        <v>162</v>
      </c>
      <c r="E490" s="1115" t="s">
        <v>1690</v>
      </c>
      <c r="F490" s="1115" t="n">
        <v>29620</v>
      </c>
      <c r="G490" s="1115" t="n">
        <v>15360</v>
      </c>
      <c r="H490" s="1115" t="s">
        <v>162</v>
      </c>
      <c r="I490" s="1115" t="n">
        <v>15480</v>
      </c>
      <c r="J490" s="1115" t="s">
        <v>1260</v>
      </c>
    </row>
    <row r="491" customFormat="false" ht="14.1" hidden="false" customHeight="true" outlineLevel="0" collapsed="false">
      <c r="A491" s="1115" t="n">
        <v>15460</v>
      </c>
      <c r="B491" s="1115" t="s">
        <v>162</v>
      </c>
      <c r="C491" s="1115" t="n">
        <v>15460</v>
      </c>
      <c r="D491" s="1115" t="s">
        <v>1691</v>
      </c>
      <c r="E491" s="1115" t="s">
        <v>1692</v>
      </c>
      <c r="F491" s="1115" t="n">
        <v>51550</v>
      </c>
      <c r="G491" s="1115" t="n">
        <v>15460</v>
      </c>
      <c r="H491" s="1115" t="s">
        <v>1691</v>
      </c>
      <c r="I491" s="1115" t="n">
        <v>15500</v>
      </c>
      <c r="J491" s="1115" t="s">
        <v>162</v>
      </c>
    </row>
    <row r="492" customFormat="false" ht="14.1" hidden="false" customHeight="true" outlineLevel="0" collapsed="false">
      <c r="A492" s="1115" t="n">
        <v>15480</v>
      </c>
      <c r="B492" s="1115" t="s">
        <v>162</v>
      </c>
      <c r="C492" s="1115" t="n">
        <v>15480</v>
      </c>
      <c r="D492" s="1115" t="s">
        <v>1693</v>
      </c>
      <c r="E492" s="1115" t="s">
        <v>1694</v>
      </c>
      <c r="F492" s="1115" t="n">
        <v>51520</v>
      </c>
      <c r="G492" s="1115" t="n">
        <v>15480</v>
      </c>
      <c r="H492" s="1115" t="s">
        <v>1693</v>
      </c>
      <c r="I492" s="1115" t="n">
        <v>15520</v>
      </c>
      <c r="J492" s="1115" t="s">
        <v>162</v>
      </c>
    </row>
    <row r="493" customFormat="false" ht="14.1" hidden="false" customHeight="true" outlineLevel="0" collapsed="false">
      <c r="A493" s="1115" t="n">
        <v>15500</v>
      </c>
      <c r="B493" s="1115" t="s">
        <v>162</v>
      </c>
      <c r="C493" s="1115" t="n">
        <v>15500</v>
      </c>
      <c r="D493" s="1115" t="s">
        <v>162</v>
      </c>
      <c r="E493" s="1115" t="s">
        <v>1695</v>
      </c>
      <c r="F493" s="1115" t="n">
        <v>25370</v>
      </c>
      <c r="G493" s="1115" t="n">
        <v>15500</v>
      </c>
      <c r="H493" s="1115" t="s">
        <v>162</v>
      </c>
      <c r="I493" s="1115" t="n">
        <v>15540</v>
      </c>
      <c r="J493" s="1115" t="s">
        <v>162</v>
      </c>
    </row>
    <row r="494" customFormat="false" ht="14.1" hidden="false" customHeight="true" outlineLevel="0" collapsed="false">
      <c r="A494" s="1115" t="n">
        <v>15520</v>
      </c>
      <c r="B494" s="1115" t="s">
        <v>162</v>
      </c>
      <c r="C494" s="1115" t="n">
        <v>15520</v>
      </c>
      <c r="D494" s="1115" t="s">
        <v>162</v>
      </c>
      <c r="E494" s="1115" t="s">
        <v>1696</v>
      </c>
      <c r="F494" s="1115" t="n">
        <v>88460</v>
      </c>
      <c r="G494" s="1115" t="n">
        <v>15520</v>
      </c>
      <c r="H494" s="1115" t="s">
        <v>162</v>
      </c>
      <c r="I494" s="1115" t="n">
        <v>15560</v>
      </c>
      <c r="J494" s="1115" t="s">
        <v>162</v>
      </c>
    </row>
    <row r="495" customFormat="false" ht="14.1" hidden="false" customHeight="true" outlineLevel="0" collapsed="false">
      <c r="A495" s="1115" t="n">
        <v>15540</v>
      </c>
      <c r="B495" s="1115" t="s">
        <v>162</v>
      </c>
      <c r="C495" s="1115" t="n">
        <v>15540</v>
      </c>
      <c r="D495" s="1115" t="s">
        <v>1697</v>
      </c>
      <c r="E495" s="1115" t="s">
        <v>1698</v>
      </c>
      <c r="F495" s="1115" t="n">
        <v>47460</v>
      </c>
      <c r="G495" s="1115" t="n">
        <v>15540</v>
      </c>
      <c r="H495" s="1115" t="s">
        <v>1697</v>
      </c>
      <c r="I495" s="1115" t="n">
        <v>15580</v>
      </c>
      <c r="J495" s="1115" t="s">
        <v>162</v>
      </c>
    </row>
    <row r="496" customFormat="false" ht="14.1" hidden="false" customHeight="true" outlineLevel="0" collapsed="false">
      <c r="A496" s="1115" t="n">
        <v>15560</v>
      </c>
      <c r="B496" s="1115" t="s">
        <v>162</v>
      </c>
      <c r="C496" s="1115" t="n">
        <v>15560</v>
      </c>
      <c r="D496" s="1115" t="s">
        <v>1260</v>
      </c>
      <c r="E496" s="1115" t="s">
        <v>1699</v>
      </c>
      <c r="F496" s="1115" t="n">
        <v>16210</v>
      </c>
      <c r="G496" s="1115" t="n">
        <v>15560</v>
      </c>
      <c r="H496" s="1115" t="s">
        <v>1260</v>
      </c>
      <c r="I496" s="1115" t="n">
        <v>15610</v>
      </c>
      <c r="J496" s="1115" t="s">
        <v>162</v>
      </c>
    </row>
    <row r="497" customFormat="false" ht="14.1" hidden="false" customHeight="true" outlineLevel="0" collapsed="false">
      <c r="A497" s="1115" t="n">
        <v>15580</v>
      </c>
      <c r="B497" s="1115" t="s">
        <v>162</v>
      </c>
      <c r="C497" s="1115" t="n">
        <v>15580</v>
      </c>
      <c r="D497" s="1115" t="s">
        <v>1700</v>
      </c>
      <c r="E497" s="1115" t="s">
        <v>1701</v>
      </c>
      <c r="F497" s="1115" t="n">
        <v>25940</v>
      </c>
      <c r="G497" s="1115" t="n">
        <v>15580</v>
      </c>
      <c r="H497" s="1115" t="s">
        <v>1700</v>
      </c>
      <c r="I497" s="1115" t="n">
        <v>15680</v>
      </c>
      <c r="J497" s="1115" t="s">
        <v>162</v>
      </c>
    </row>
    <row r="498" customFormat="false" ht="14.1" hidden="false" customHeight="true" outlineLevel="0" collapsed="false">
      <c r="A498" s="1115" t="n">
        <v>15610</v>
      </c>
      <c r="B498" s="1115" t="s">
        <v>162</v>
      </c>
      <c r="C498" s="1115" t="n">
        <v>15610</v>
      </c>
      <c r="D498" s="1115" t="s">
        <v>162</v>
      </c>
      <c r="E498" s="1115" t="s">
        <v>1595</v>
      </c>
      <c r="F498" s="1115" t="n">
        <v>12240</v>
      </c>
      <c r="G498" s="1115" t="n">
        <v>15610</v>
      </c>
      <c r="H498" s="1115" t="s">
        <v>162</v>
      </c>
      <c r="I498" s="1115" t="n">
        <v>15700</v>
      </c>
      <c r="J498" s="1115" t="s">
        <v>162</v>
      </c>
    </row>
    <row r="499" customFormat="false" ht="14.1" hidden="false" customHeight="true" outlineLevel="0" collapsed="false">
      <c r="A499" s="1115" t="n">
        <v>15680</v>
      </c>
      <c r="B499" s="1115" t="s">
        <v>162</v>
      </c>
      <c r="C499" s="1115" t="n">
        <v>15680</v>
      </c>
      <c r="D499" s="1115" t="s">
        <v>162</v>
      </c>
      <c r="E499" s="1115" t="s">
        <v>1702</v>
      </c>
      <c r="F499" s="1115" t="n">
        <v>68150</v>
      </c>
      <c r="G499" s="1115" t="n">
        <v>15680</v>
      </c>
      <c r="H499" s="1115" t="s">
        <v>162</v>
      </c>
      <c r="I499" s="1115" t="n">
        <v>15780</v>
      </c>
      <c r="J499" s="1115" t="s">
        <v>162</v>
      </c>
    </row>
    <row r="500" customFormat="false" ht="14.1" hidden="false" customHeight="true" outlineLevel="0" collapsed="false">
      <c r="A500" s="1115" t="n">
        <v>15700</v>
      </c>
      <c r="B500" s="1115" t="s">
        <v>162</v>
      </c>
      <c r="C500" s="1115" t="n">
        <v>15700</v>
      </c>
      <c r="D500" s="1115" t="s">
        <v>162</v>
      </c>
      <c r="E500" s="1115" t="s">
        <v>1703</v>
      </c>
      <c r="F500" s="1115" t="n">
        <v>49460</v>
      </c>
      <c r="G500" s="1115" t="n">
        <v>15700</v>
      </c>
      <c r="H500" s="1115" t="s">
        <v>162</v>
      </c>
      <c r="I500" s="1115" t="n">
        <v>15800</v>
      </c>
      <c r="J500" s="1115" t="s">
        <v>162</v>
      </c>
    </row>
    <row r="501" customFormat="false" ht="14.1" hidden="false" customHeight="true" outlineLevel="0" collapsed="false">
      <c r="A501" s="1115" t="n">
        <v>15780</v>
      </c>
      <c r="B501" s="1115" t="s">
        <v>162</v>
      </c>
      <c r="C501" s="1115" t="n">
        <v>15780</v>
      </c>
      <c r="D501" s="1115" t="s">
        <v>162</v>
      </c>
      <c r="E501" s="1115" t="s">
        <v>1704</v>
      </c>
      <c r="F501" s="1115" t="n">
        <v>52940</v>
      </c>
      <c r="G501" s="1115" t="n">
        <v>15780</v>
      </c>
      <c r="H501" s="1115" t="s">
        <v>162</v>
      </c>
      <c r="I501" s="1115" t="n">
        <v>15810</v>
      </c>
      <c r="J501" s="1115" t="s">
        <v>162</v>
      </c>
    </row>
    <row r="502" customFormat="false" ht="14.1" hidden="false" customHeight="true" outlineLevel="0" collapsed="false">
      <c r="A502" s="1115" t="n">
        <v>15800</v>
      </c>
      <c r="B502" s="1115" t="s">
        <v>162</v>
      </c>
      <c r="C502" s="1115" t="n">
        <v>15800</v>
      </c>
      <c r="D502" s="1115" t="s">
        <v>162</v>
      </c>
      <c r="E502" s="1115" t="s">
        <v>1705</v>
      </c>
      <c r="F502" s="1115" t="n">
        <v>43370</v>
      </c>
      <c r="G502" s="1115" t="n">
        <v>15800</v>
      </c>
      <c r="H502" s="1115" t="s">
        <v>162</v>
      </c>
      <c r="I502" s="1115" t="n">
        <v>15820</v>
      </c>
      <c r="J502" s="1115" t="s">
        <v>162</v>
      </c>
    </row>
    <row r="503" customFormat="false" ht="14.1" hidden="false" customHeight="true" outlineLevel="0" collapsed="false">
      <c r="A503" s="1115" t="n">
        <v>15810</v>
      </c>
      <c r="B503" s="1115" t="s">
        <v>162</v>
      </c>
      <c r="C503" s="1115" t="n">
        <v>15810</v>
      </c>
      <c r="D503" s="1115" t="s">
        <v>162</v>
      </c>
      <c r="E503" s="1115" t="s">
        <v>1706</v>
      </c>
      <c r="F503" s="1115" t="n">
        <v>58850</v>
      </c>
      <c r="G503" s="1115" t="n">
        <v>15810</v>
      </c>
      <c r="H503" s="1115" t="s">
        <v>162</v>
      </c>
      <c r="I503" s="1115" t="n">
        <v>15830</v>
      </c>
      <c r="J503" s="1115" t="s">
        <v>162</v>
      </c>
    </row>
    <row r="504" customFormat="false" ht="14.1" hidden="false" customHeight="true" outlineLevel="0" collapsed="false">
      <c r="A504" s="1115" t="n">
        <v>15820</v>
      </c>
      <c r="B504" s="1115" t="s">
        <v>162</v>
      </c>
      <c r="C504" s="1115" t="n">
        <v>15820</v>
      </c>
      <c r="D504" s="1115" t="s">
        <v>162</v>
      </c>
      <c r="E504" s="1115" t="s">
        <v>1707</v>
      </c>
      <c r="F504" s="1115" t="n">
        <v>70870</v>
      </c>
      <c r="G504" s="1115" t="n">
        <v>15820</v>
      </c>
      <c r="H504" s="1115" t="s">
        <v>162</v>
      </c>
      <c r="I504" s="1115" t="n">
        <v>15840</v>
      </c>
      <c r="J504" s="1115" t="s">
        <v>162</v>
      </c>
    </row>
    <row r="505" customFormat="false" ht="14.1" hidden="false" customHeight="true" outlineLevel="0" collapsed="false">
      <c r="A505" s="1115" t="n">
        <v>15830</v>
      </c>
      <c r="B505" s="1115" t="s">
        <v>162</v>
      </c>
      <c r="C505" s="1115" t="n">
        <v>15830</v>
      </c>
      <c r="D505" s="1115" t="s">
        <v>162</v>
      </c>
      <c r="E505" s="1115" t="s">
        <v>1708</v>
      </c>
      <c r="F505" s="1115" t="n">
        <v>52460</v>
      </c>
      <c r="G505" s="1115" t="n">
        <v>15830</v>
      </c>
      <c r="H505" s="1115" t="s">
        <v>162</v>
      </c>
      <c r="I505" s="1115" t="n">
        <v>15850</v>
      </c>
      <c r="J505" s="1115" t="s">
        <v>162</v>
      </c>
    </row>
    <row r="506" customFormat="false" ht="14.1" hidden="false" customHeight="true" outlineLevel="0" collapsed="false">
      <c r="A506" s="1115" t="n">
        <v>15840</v>
      </c>
      <c r="B506" s="1115" t="s">
        <v>162</v>
      </c>
      <c r="C506" s="1115" t="n">
        <v>15840</v>
      </c>
      <c r="D506" s="1115" t="s">
        <v>162</v>
      </c>
      <c r="E506" s="1115" t="s">
        <v>848</v>
      </c>
      <c r="F506" s="1115" t="n">
        <v>68100</v>
      </c>
      <c r="G506" s="1115" t="n">
        <v>15840</v>
      </c>
      <c r="H506" s="1115" t="s">
        <v>162</v>
      </c>
      <c r="I506" s="1115" t="n">
        <v>15860</v>
      </c>
      <c r="J506" s="1115" t="s">
        <v>853</v>
      </c>
    </row>
    <row r="507" customFormat="false" ht="14.1" hidden="false" customHeight="true" outlineLevel="0" collapsed="false">
      <c r="A507" s="1115" t="n">
        <v>15850</v>
      </c>
      <c r="B507" s="1115" t="s">
        <v>162</v>
      </c>
      <c r="C507" s="1115" t="n">
        <v>15850</v>
      </c>
      <c r="D507" s="1115" t="s">
        <v>162</v>
      </c>
      <c r="E507" s="1115" t="s">
        <v>1709</v>
      </c>
      <c r="F507" s="1115" t="n">
        <v>23470</v>
      </c>
      <c r="G507" s="1115" t="n">
        <v>15850</v>
      </c>
      <c r="H507" s="1115" t="s">
        <v>162</v>
      </c>
      <c r="I507" s="1115" t="n">
        <v>15870</v>
      </c>
      <c r="J507" s="1115" t="s">
        <v>853</v>
      </c>
    </row>
    <row r="508" customFormat="false" ht="14.1" hidden="false" customHeight="true" outlineLevel="0" collapsed="false">
      <c r="A508" s="1115" t="n">
        <v>15860</v>
      </c>
      <c r="B508" s="1115" t="s">
        <v>162</v>
      </c>
      <c r="C508" s="1115" t="n">
        <v>15860</v>
      </c>
      <c r="D508" s="1115" t="s">
        <v>853</v>
      </c>
      <c r="E508" s="1115" t="s">
        <v>1710</v>
      </c>
      <c r="F508" s="1115" t="n">
        <v>99730</v>
      </c>
      <c r="G508" s="1115" t="n">
        <v>15860</v>
      </c>
      <c r="H508" s="1115" t="s">
        <v>853</v>
      </c>
      <c r="I508" s="1115" t="n">
        <v>15880</v>
      </c>
      <c r="J508" s="1115" t="s">
        <v>853</v>
      </c>
    </row>
    <row r="509" customFormat="false" ht="14.1" hidden="false" customHeight="true" outlineLevel="0" collapsed="false">
      <c r="A509" s="1115" t="n">
        <v>15870</v>
      </c>
      <c r="B509" s="1115" t="s">
        <v>162</v>
      </c>
      <c r="C509" s="1115" t="n">
        <v>15870</v>
      </c>
      <c r="D509" s="1115" t="s">
        <v>853</v>
      </c>
      <c r="E509" s="1115" t="s">
        <v>1711</v>
      </c>
      <c r="F509" s="1115" t="n">
        <v>27600</v>
      </c>
      <c r="G509" s="1115" t="n">
        <v>15870</v>
      </c>
      <c r="H509" s="1115" t="s">
        <v>853</v>
      </c>
      <c r="I509" s="1115" t="n">
        <v>15900</v>
      </c>
      <c r="J509" s="1115" t="s">
        <v>162</v>
      </c>
    </row>
    <row r="510" customFormat="false" ht="14.1" hidden="false" customHeight="true" outlineLevel="0" collapsed="false">
      <c r="A510" s="1115" t="n">
        <v>15880</v>
      </c>
      <c r="B510" s="1115" t="s">
        <v>162</v>
      </c>
      <c r="C510" s="1115" t="n">
        <v>15880</v>
      </c>
      <c r="D510" s="1115" t="s">
        <v>853</v>
      </c>
      <c r="E510" s="1115" t="s">
        <v>1359</v>
      </c>
      <c r="F510" s="1115" t="n">
        <v>7110</v>
      </c>
      <c r="G510" s="1115" t="n">
        <v>15880</v>
      </c>
      <c r="H510" s="1115" t="s">
        <v>853</v>
      </c>
      <c r="I510" s="1115" t="n">
        <v>15950</v>
      </c>
      <c r="J510" s="1115" t="s">
        <v>162</v>
      </c>
    </row>
    <row r="511" customFormat="false" ht="14.1" hidden="false" customHeight="true" outlineLevel="0" collapsed="false">
      <c r="A511" s="1115" t="n">
        <v>15900</v>
      </c>
      <c r="B511" s="1115" t="s">
        <v>162</v>
      </c>
      <c r="C511" s="1115" t="n">
        <v>15900</v>
      </c>
      <c r="D511" s="1115" t="s">
        <v>162</v>
      </c>
      <c r="E511" s="1115" t="s">
        <v>1712</v>
      </c>
      <c r="F511" s="1115" t="n">
        <v>35320</v>
      </c>
      <c r="G511" s="1115" t="n">
        <v>15900</v>
      </c>
      <c r="H511" s="1115" t="s">
        <v>162</v>
      </c>
      <c r="I511" s="1115" t="n">
        <v>15980</v>
      </c>
      <c r="J511" s="1115" t="s">
        <v>162</v>
      </c>
    </row>
    <row r="512" customFormat="false" ht="14.1" hidden="false" customHeight="true" outlineLevel="0" collapsed="false">
      <c r="A512" s="1115" t="n">
        <v>15950</v>
      </c>
      <c r="B512" s="1115" t="s">
        <v>162</v>
      </c>
      <c r="C512" s="1115" t="n">
        <v>15950</v>
      </c>
      <c r="D512" s="1115" t="s">
        <v>162</v>
      </c>
      <c r="E512" s="1115" t="s">
        <v>1713</v>
      </c>
      <c r="F512" s="1115" t="n">
        <v>31460</v>
      </c>
      <c r="G512" s="1115" t="n">
        <v>15950</v>
      </c>
      <c r="H512" s="1115" t="s">
        <v>162</v>
      </c>
      <c r="I512" s="1115" t="n">
        <v>16100</v>
      </c>
      <c r="J512" s="1115" t="s">
        <v>162</v>
      </c>
    </row>
    <row r="513" customFormat="false" ht="14.1" hidden="false" customHeight="true" outlineLevel="0" collapsed="false">
      <c r="A513" s="1115" t="n">
        <v>15980</v>
      </c>
      <c r="B513" s="1115" t="s">
        <v>162</v>
      </c>
      <c r="C513" s="1115" t="n">
        <v>15980</v>
      </c>
      <c r="D513" s="1115" t="s">
        <v>1714</v>
      </c>
      <c r="E513" s="1115" t="s">
        <v>1715</v>
      </c>
      <c r="F513" s="1115" t="n">
        <v>97130</v>
      </c>
      <c r="G513" s="1115" t="n">
        <v>15980</v>
      </c>
      <c r="H513" s="1115" t="s">
        <v>1714</v>
      </c>
      <c r="I513" s="1115" t="n">
        <v>16160</v>
      </c>
      <c r="J513" s="1115" t="s">
        <v>162</v>
      </c>
    </row>
    <row r="514" customFormat="false" ht="14.1" hidden="false" customHeight="true" outlineLevel="0" collapsed="false">
      <c r="A514" s="1115" t="n">
        <v>16100</v>
      </c>
      <c r="B514" s="1115" t="s">
        <v>162</v>
      </c>
      <c r="C514" s="1115" t="n">
        <v>16100</v>
      </c>
      <c r="D514" s="1115" t="s">
        <v>1716</v>
      </c>
      <c r="E514" s="1115" t="s">
        <v>1717</v>
      </c>
      <c r="F514" s="1115" t="n">
        <v>93310</v>
      </c>
      <c r="G514" s="1115" t="n">
        <v>16100</v>
      </c>
      <c r="H514" s="1115" t="s">
        <v>1716</v>
      </c>
      <c r="I514" s="1115" t="n">
        <v>16200</v>
      </c>
      <c r="J514" s="1115" t="s">
        <v>731</v>
      </c>
    </row>
    <row r="515" customFormat="false" ht="14.1" hidden="false" customHeight="true" outlineLevel="0" collapsed="false">
      <c r="A515" s="1115" t="n">
        <v>16160</v>
      </c>
      <c r="B515" s="1115" t="s">
        <v>162</v>
      </c>
      <c r="C515" s="1115" t="n">
        <v>16160</v>
      </c>
      <c r="D515" s="1115" t="s">
        <v>1718</v>
      </c>
      <c r="E515" s="1115" t="s">
        <v>1719</v>
      </c>
      <c r="F515" s="1115" t="n">
        <v>98760</v>
      </c>
      <c r="G515" s="1115" t="n">
        <v>16160</v>
      </c>
      <c r="H515" s="1115" t="s">
        <v>1718</v>
      </c>
      <c r="I515" s="1115" t="n">
        <v>16210</v>
      </c>
      <c r="J515" s="1115" t="s">
        <v>731</v>
      </c>
    </row>
    <row r="516" customFormat="false" ht="14.1" hidden="false" customHeight="true" outlineLevel="0" collapsed="false">
      <c r="A516" s="1115" t="n">
        <v>16200</v>
      </c>
      <c r="B516" s="1115" t="s">
        <v>162</v>
      </c>
      <c r="C516" s="1115" t="n">
        <v>16200</v>
      </c>
      <c r="D516" s="1115" t="s">
        <v>731</v>
      </c>
      <c r="E516" s="1115" t="s">
        <v>1720</v>
      </c>
      <c r="F516" s="1115" t="n">
        <v>25385</v>
      </c>
      <c r="G516" s="1115" t="n">
        <v>16200</v>
      </c>
      <c r="H516" s="1115" t="s">
        <v>731</v>
      </c>
      <c r="I516" s="1115" t="n">
        <v>16230</v>
      </c>
      <c r="J516" s="1115" t="s">
        <v>731</v>
      </c>
    </row>
    <row r="517" customFormat="false" ht="14.1" hidden="false" customHeight="true" outlineLevel="0" collapsed="false">
      <c r="A517" s="1115" t="n">
        <v>16210</v>
      </c>
      <c r="B517" s="1115" t="s">
        <v>162</v>
      </c>
      <c r="C517" s="1115" t="n">
        <v>16210</v>
      </c>
      <c r="D517" s="1115" t="s">
        <v>1699</v>
      </c>
      <c r="E517" s="1115" t="s">
        <v>1721</v>
      </c>
      <c r="F517" s="1115" t="n">
        <v>46610</v>
      </c>
      <c r="G517" s="1115" t="n">
        <v>16210</v>
      </c>
      <c r="H517" s="1115" t="s">
        <v>1699</v>
      </c>
      <c r="I517" s="1115" t="n">
        <v>16240</v>
      </c>
      <c r="J517" s="1115" t="s">
        <v>731</v>
      </c>
    </row>
    <row r="518" customFormat="false" ht="14.1" hidden="false" customHeight="true" outlineLevel="0" collapsed="false">
      <c r="A518" s="1115" t="n">
        <v>16230</v>
      </c>
      <c r="B518" s="1115" t="s">
        <v>162</v>
      </c>
      <c r="C518" s="1115" t="n">
        <v>16230</v>
      </c>
      <c r="D518" s="1115" t="s">
        <v>731</v>
      </c>
      <c r="E518" s="1115" t="s">
        <v>1722</v>
      </c>
      <c r="F518" s="1115" t="n">
        <v>52630</v>
      </c>
      <c r="G518" s="1115" t="n">
        <v>16230</v>
      </c>
      <c r="H518" s="1115" t="s">
        <v>731</v>
      </c>
      <c r="I518" s="1115" t="n">
        <v>16260</v>
      </c>
      <c r="J518" s="1115" t="s">
        <v>731</v>
      </c>
    </row>
    <row r="519" customFormat="false" ht="14.1" hidden="false" customHeight="true" outlineLevel="0" collapsed="false">
      <c r="A519" s="1115" t="n">
        <v>16240</v>
      </c>
      <c r="B519" s="1115" t="s">
        <v>162</v>
      </c>
      <c r="C519" s="1115" t="n">
        <v>16240</v>
      </c>
      <c r="D519" s="1115" t="s">
        <v>1723</v>
      </c>
      <c r="E519" s="1115" t="s">
        <v>850</v>
      </c>
      <c r="F519" s="1115" t="n">
        <v>52550</v>
      </c>
      <c r="G519" s="1115" t="n">
        <v>16240</v>
      </c>
      <c r="H519" s="1115" t="s">
        <v>1723</v>
      </c>
      <c r="I519" s="1115" t="n">
        <v>16270</v>
      </c>
      <c r="J519" s="1115" t="s">
        <v>731</v>
      </c>
    </row>
    <row r="520" customFormat="false" ht="14.1" hidden="false" customHeight="true" outlineLevel="0" collapsed="false">
      <c r="A520" s="1115" t="n">
        <v>16260</v>
      </c>
      <c r="B520" s="1115" t="s">
        <v>162</v>
      </c>
      <c r="C520" s="1115" t="n">
        <v>16260</v>
      </c>
      <c r="D520" s="1115" t="s">
        <v>1685</v>
      </c>
      <c r="E520" s="1115" t="s">
        <v>1266</v>
      </c>
      <c r="F520" s="1115" t="n">
        <v>4680</v>
      </c>
      <c r="G520" s="1115" t="n">
        <v>16260</v>
      </c>
      <c r="H520" s="1115" t="s">
        <v>1685</v>
      </c>
      <c r="I520" s="1115" t="n">
        <v>16280</v>
      </c>
      <c r="J520" s="1115" t="s">
        <v>1294</v>
      </c>
    </row>
    <row r="521" customFormat="false" ht="14.1" hidden="false" customHeight="true" outlineLevel="0" collapsed="false">
      <c r="A521" s="1115" t="n">
        <v>16270</v>
      </c>
      <c r="B521" s="1115" t="s">
        <v>162</v>
      </c>
      <c r="C521" s="1115" t="n">
        <v>16270</v>
      </c>
      <c r="D521" s="1115" t="s">
        <v>1724</v>
      </c>
      <c r="E521" s="1115" t="s">
        <v>1725</v>
      </c>
      <c r="F521" s="1115" t="n">
        <v>62260</v>
      </c>
      <c r="G521" s="1115" t="n">
        <v>16270</v>
      </c>
      <c r="H521" s="1115" t="s">
        <v>1724</v>
      </c>
      <c r="I521" s="1115" t="n">
        <v>16290</v>
      </c>
      <c r="J521" s="1115" t="s">
        <v>1294</v>
      </c>
    </row>
    <row r="522" customFormat="false" ht="14.1" hidden="false" customHeight="true" outlineLevel="0" collapsed="false">
      <c r="A522" s="1115" t="n">
        <v>16280</v>
      </c>
      <c r="B522" s="1115" t="s">
        <v>162</v>
      </c>
      <c r="C522" s="1115" t="n">
        <v>16280</v>
      </c>
      <c r="D522" s="1115" t="s">
        <v>1726</v>
      </c>
      <c r="E522" s="1115" t="s">
        <v>1727</v>
      </c>
      <c r="F522" s="1115" t="n">
        <v>61630</v>
      </c>
      <c r="G522" s="1115" t="n">
        <v>16280</v>
      </c>
      <c r="H522" s="1115" t="s">
        <v>1726</v>
      </c>
      <c r="I522" s="1115" t="n">
        <v>16300</v>
      </c>
      <c r="J522" s="1115" t="s">
        <v>1294</v>
      </c>
    </row>
    <row r="523" customFormat="false" ht="14.1" hidden="false" customHeight="true" outlineLevel="0" collapsed="false">
      <c r="A523" s="1115" t="n">
        <v>16290</v>
      </c>
      <c r="B523" s="1115" t="s">
        <v>162</v>
      </c>
      <c r="C523" s="1115" t="n">
        <v>16290</v>
      </c>
      <c r="D523" s="1115" t="s">
        <v>1728</v>
      </c>
      <c r="E523" s="1115" t="s">
        <v>1729</v>
      </c>
      <c r="F523" s="1115" t="n">
        <v>75810</v>
      </c>
      <c r="G523" s="1115" t="n">
        <v>16290</v>
      </c>
      <c r="H523" s="1115" t="s">
        <v>1728</v>
      </c>
      <c r="I523" s="1115" t="n">
        <v>16305</v>
      </c>
      <c r="J523" s="1115" t="s">
        <v>1294</v>
      </c>
    </row>
    <row r="524" customFormat="false" ht="14.1" hidden="false" customHeight="true" outlineLevel="0" collapsed="false">
      <c r="A524" s="1115" t="n">
        <v>16300</v>
      </c>
      <c r="B524" s="1115" t="s">
        <v>162</v>
      </c>
      <c r="C524" s="1115" t="n">
        <v>16300</v>
      </c>
      <c r="D524" s="1115" t="s">
        <v>1294</v>
      </c>
      <c r="E524" s="1115" t="s">
        <v>1730</v>
      </c>
      <c r="F524" s="1115" t="n">
        <v>62290</v>
      </c>
      <c r="G524" s="1115" t="n">
        <v>16300</v>
      </c>
      <c r="H524" s="1115" t="s">
        <v>1294</v>
      </c>
      <c r="I524" s="1115" t="n">
        <v>16310</v>
      </c>
      <c r="J524" s="1115" t="s">
        <v>1294</v>
      </c>
    </row>
    <row r="525" customFormat="false" ht="14.1" hidden="false" customHeight="true" outlineLevel="0" collapsed="false">
      <c r="A525" s="1115" t="n">
        <v>16305</v>
      </c>
      <c r="B525" s="1115" t="s">
        <v>162</v>
      </c>
      <c r="C525" s="1115" t="n">
        <v>16305</v>
      </c>
      <c r="D525" s="1115" t="s">
        <v>1731</v>
      </c>
      <c r="E525" s="1115" t="s">
        <v>1732</v>
      </c>
      <c r="F525" s="1115" t="n">
        <v>71650</v>
      </c>
      <c r="G525" s="1115" t="n">
        <v>16305</v>
      </c>
      <c r="H525" s="1115" t="s">
        <v>1731</v>
      </c>
      <c r="I525" s="1115" t="n">
        <v>16320</v>
      </c>
      <c r="J525" s="1115" t="s">
        <v>1294</v>
      </c>
    </row>
    <row r="526" customFormat="false" ht="14.1" hidden="false" customHeight="true" outlineLevel="0" collapsed="false">
      <c r="A526" s="1115" t="n">
        <v>16310</v>
      </c>
      <c r="B526" s="1115" t="s">
        <v>162</v>
      </c>
      <c r="C526" s="1115" t="n">
        <v>16310</v>
      </c>
      <c r="D526" s="1115" t="s">
        <v>1733</v>
      </c>
      <c r="E526" s="1115" t="s">
        <v>1734</v>
      </c>
      <c r="F526" s="1115" t="n">
        <v>72920</v>
      </c>
      <c r="G526" s="1115" t="n">
        <v>16310</v>
      </c>
      <c r="H526" s="1115" t="s">
        <v>1733</v>
      </c>
      <c r="I526" s="1115" t="n">
        <v>16330</v>
      </c>
      <c r="J526" s="1115" t="s">
        <v>1294</v>
      </c>
    </row>
    <row r="527" customFormat="false" ht="14.1" hidden="false" customHeight="true" outlineLevel="0" collapsed="false">
      <c r="A527" s="1115" t="n">
        <v>16320</v>
      </c>
      <c r="B527" s="1115" t="s">
        <v>162</v>
      </c>
      <c r="C527" s="1115" t="n">
        <v>16320</v>
      </c>
      <c r="D527" s="1115" t="s">
        <v>1735</v>
      </c>
      <c r="E527" s="1115" t="s">
        <v>1736</v>
      </c>
      <c r="F527" s="1115" t="n">
        <v>73570</v>
      </c>
      <c r="G527" s="1115" t="n">
        <v>16320</v>
      </c>
      <c r="H527" s="1115" t="s">
        <v>1735</v>
      </c>
      <c r="I527" s="1115" t="n">
        <v>16350</v>
      </c>
      <c r="J527" s="1115" t="s">
        <v>1294</v>
      </c>
    </row>
    <row r="528" customFormat="false" ht="14.1" hidden="false" customHeight="true" outlineLevel="0" collapsed="false">
      <c r="A528" s="1115" t="n">
        <v>16330</v>
      </c>
      <c r="B528" s="1115" t="s">
        <v>162</v>
      </c>
      <c r="C528" s="1115" t="n">
        <v>16330</v>
      </c>
      <c r="D528" s="1115" t="s">
        <v>1540</v>
      </c>
      <c r="E528" s="1115" t="s">
        <v>1737</v>
      </c>
      <c r="F528" s="1115" t="n">
        <v>29850</v>
      </c>
      <c r="G528" s="1115" t="n">
        <v>16330</v>
      </c>
      <c r="H528" s="1115" t="s">
        <v>1540</v>
      </c>
      <c r="I528" s="1115" t="n">
        <v>16380</v>
      </c>
      <c r="J528" s="1115" t="s">
        <v>1294</v>
      </c>
    </row>
    <row r="529" customFormat="false" ht="14.1" hidden="false" customHeight="true" outlineLevel="0" collapsed="false">
      <c r="A529" s="1115" t="n">
        <v>16350</v>
      </c>
      <c r="B529" s="1115" t="s">
        <v>162</v>
      </c>
      <c r="C529" s="1115" t="n">
        <v>16350</v>
      </c>
      <c r="D529" s="1115" t="s">
        <v>1738</v>
      </c>
      <c r="E529" s="1115" t="s">
        <v>1739</v>
      </c>
      <c r="F529" s="1115" t="n">
        <v>58520</v>
      </c>
      <c r="G529" s="1115" t="n">
        <v>16350</v>
      </c>
      <c r="H529" s="1115" t="s">
        <v>1738</v>
      </c>
      <c r="I529" s="1115" t="n">
        <v>16390</v>
      </c>
      <c r="J529" s="1115" t="s">
        <v>1294</v>
      </c>
    </row>
    <row r="530" customFormat="false" ht="14.1" hidden="false" customHeight="true" outlineLevel="0" collapsed="false">
      <c r="A530" s="1115" t="n">
        <v>16380</v>
      </c>
      <c r="B530" s="1115" t="s">
        <v>162</v>
      </c>
      <c r="C530" s="1115" t="n">
        <v>16380</v>
      </c>
      <c r="D530" s="1115" t="s">
        <v>1740</v>
      </c>
      <c r="E530" s="1115" t="s">
        <v>1741</v>
      </c>
      <c r="F530" s="1115" t="n">
        <v>41260</v>
      </c>
      <c r="G530" s="1115" t="n">
        <v>16380</v>
      </c>
      <c r="H530" s="1115" t="s">
        <v>1740</v>
      </c>
      <c r="I530" s="1115" t="n">
        <v>16450</v>
      </c>
      <c r="J530" s="1115" t="s">
        <v>1294</v>
      </c>
    </row>
    <row r="531" customFormat="false" ht="14.1" hidden="false" customHeight="true" outlineLevel="0" collapsed="false">
      <c r="A531" s="1115" t="n">
        <v>16390</v>
      </c>
      <c r="B531" s="1115" t="s">
        <v>162</v>
      </c>
      <c r="C531" s="1115" t="n">
        <v>16390</v>
      </c>
      <c r="D531" s="1115" t="s">
        <v>1740</v>
      </c>
      <c r="E531" s="1115" t="s">
        <v>1742</v>
      </c>
      <c r="F531" s="1115" t="n">
        <v>89430</v>
      </c>
      <c r="G531" s="1115" t="n">
        <v>16390</v>
      </c>
      <c r="H531" s="1115" t="s">
        <v>1740</v>
      </c>
      <c r="I531" s="1115" t="n">
        <v>16470</v>
      </c>
      <c r="J531" s="1115" t="s">
        <v>1294</v>
      </c>
    </row>
    <row r="532" customFormat="false" ht="14.1" hidden="false" customHeight="true" outlineLevel="0" collapsed="false">
      <c r="A532" s="1115" t="n">
        <v>16450</v>
      </c>
      <c r="B532" s="1115" t="s">
        <v>162</v>
      </c>
      <c r="C532" s="1115" t="n">
        <v>16450</v>
      </c>
      <c r="D532" s="1115" t="s">
        <v>1743</v>
      </c>
      <c r="E532" s="1115" t="s">
        <v>1744</v>
      </c>
      <c r="F532" s="1115" t="n">
        <v>82760</v>
      </c>
      <c r="G532" s="1115" t="n">
        <v>16450</v>
      </c>
      <c r="H532" s="1115" t="s">
        <v>1743</v>
      </c>
      <c r="I532" s="1115" t="n">
        <v>16500</v>
      </c>
      <c r="J532" s="1115" t="s">
        <v>1294</v>
      </c>
    </row>
    <row r="533" customFormat="false" ht="14.1" hidden="false" customHeight="true" outlineLevel="0" collapsed="false">
      <c r="A533" s="1115" t="n">
        <v>16470</v>
      </c>
      <c r="B533" s="1115" t="s">
        <v>162</v>
      </c>
      <c r="C533" s="1115" t="n">
        <v>16470</v>
      </c>
      <c r="D533" s="1115" t="s">
        <v>1745</v>
      </c>
      <c r="E533" s="1115" t="s">
        <v>1746</v>
      </c>
      <c r="F533" s="1115" t="n">
        <v>62940</v>
      </c>
      <c r="G533" s="1115" t="n">
        <v>16470</v>
      </c>
      <c r="H533" s="1115" t="s">
        <v>1745</v>
      </c>
      <c r="I533" s="1115" t="n">
        <v>16510</v>
      </c>
      <c r="J533" s="1115" t="s">
        <v>1294</v>
      </c>
    </row>
    <row r="534" customFormat="false" ht="14.1" hidden="false" customHeight="true" outlineLevel="0" collapsed="false">
      <c r="A534" s="1115" t="n">
        <v>16500</v>
      </c>
      <c r="B534" s="1115" t="s">
        <v>162</v>
      </c>
      <c r="C534" s="1115" t="n">
        <v>16500</v>
      </c>
      <c r="D534" s="1115" t="s">
        <v>1676</v>
      </c>
      <c r="E534" s="1115" t="s">
        <v>1747</v>
      </c>
      <c r="F534" s="1115" t="n">
        <v>35260</v>
      </c>
      <c r="G534" s="1115" t="n">
        <v>16500</v>
      </c>
      <c r="H534" s="1115" t="s">
        <v>1676</v>
      </c>
      <c r="I534" s="1115" t="n">
        <v>16520</v>
      </c>
      <c r="J534" s="1115" t="s">
        <v>1294</v>
      </c>
    </row>
    <row r="535" customFormat="false" ht="14.1" hidden="false" customHeight="true" outlineLevel="0" collapsed="false">
      <c r="A535" s="1115" t="n">
        <v>16510</v>
      </c>
      <c r="B535" s="1115" t="s">
        <v>162</v>
      </c>
      <c r="C535" s="1115" t="n">
        <v>16510</v>
      </c>
      <c r="D535" s="1115" t="s">
        <v>1748</v>
      </c>
      <c r="E535" s="1115" t="s">
        <v>853</v>
      </c>
      <c r="F535" s="1115" t="n">
        <v>15860</v>
      </c>
      <c r="G535" s="1115" t="n">
        <v>16510</v>
      </c>
      <c r="H535" s="1115" t="s">
        <v>1748</v>
      </c>
      <c r="I535" s="1115" t="n">
        <v>16540</v>
      </c>
      <c r="J535" s="1115" t="s">
        <v>1142</v>
      </c>
    </row>
    <row r="536" customFormat="false" ht="14.1" hidden="false" customHeight="true" outlineLevel="0" collapsed="false">
      <c r="A536" s="1115" t="n">
        <v>16520</v>
      </c>
      <c r="B536" s="1115" t="s">
        <v>162</v>
      </c>
      <c r="C536" s="1115" t="n">
        <v>16520</v>
      </c>
      <c r="D536" s="1115" t="s">
        <v>1749</v>
      </c>
      <c r="E536" s="1115" t="s">
        <v>853</v>
      </c>
      <c r="F536" s="1115" t="n">
        <v>15870</v>
      </c>
      <c r="G536" s="1115" t="n">
        <v>16520</v>
      </c>
      <c r="H536" s="1115" t="s">
        <v>1749</v>
      </c>
      <c r="I536" s="1115" t="n">
        <v>16550</v>
      </c>
      <c r="J536" s="1115" t="s">
        <v>1142</v>
      </c>
    </row>
    <row r="537" customFormat="false" ht="14.1" hidden="false" customHeight="true" outlineLevel="0" collapsed="false">
      <c r="A537" s="1115" t="n">
        <v>16540</v>
      </c>
      <c r="B537" s="1115" t="s">
        <v>162</v>
      </c>
      <c r="C537" s="1115" t="n">
        <v>16540</v>
      </c>
      <c r="D537" s="1115" t="s">
        <v>1750</v>
      </c>
      <c r="E537" s="1115" t="s">
        <v>853</v>
      </c>
      <c r="F537" s="1115" t="n">
        <v>15880</v>
      </c>
      <c r="G537" s="1115" t="n">
        <v>16540</v>
      </c>
      <c r="H537" s="1115" t="s">
        <v>1750</v>
      </c>
      <c r="I537" s="1115" t="n">
        <v>16560</v>
      </c>
      <c r="J537" s="1115" t="s">
        <v>1142</v>
      </c>
    </row>
    <row r="538" customFormat="false" ht="14.1" hidden="false" customHeight="true" outlineLevel="0" collapsed="false">
      <c r="A538" s="1115" t="n">
        <v>16550</v>
      </c>
      <c r="B538" s="1115" t="s">
        <v>162</v>
      </c>
      <c r="C538" s="1115" t="n">
        <v>16550</v>
      </c>
      <c r="D538" s="1115" t="s">
        <v>1751</v>
      </c>
      <c r="E538" s="1115" t="s">
        <v>853</v>
      </c>
      <c r="F538" s="1115" t="n">
        <v>16710</v>
      </c>
      <c r="G538" s="1115" t="n">
        <v>16550</v>
      </c>
      <c r="H538" s="1115" t="s">
        <v>1751</v>
      </c>
      <c r="I538" s="1115" t="n">
        <v>16600</v>
      </c>
      <c r="J538" s="1115" t="s">
        <v>1142</v>
      </c>
    </row>
    <row r="539" customFormat="false" ht="14.1" hidden="false" customHeight="true" outlineLevel="0" collapsed="false">
      <c r="A539" s="1115" t="n">
        <v>16560</v>
      </c>
      <c r="B539" s="1115" t="s">
        <v>162</v>
      </c>
      <c r="C539" s="1115" t="n">
        <v>16560</v>
      </c>
      <c r="D539" s="1115" t="s">
        <v>1752</v>
      </c>
      <c r="E539" s="1115" t="s">
        <v>1753</v>
      </c>
      <c r="F539" s="1115" t="n">
        <v>25970</v>
      </c>
      <c r="G539" s="1115" t="n">
        <v>16560</v>
      </c>
      <c r="H539" s="1115" t="s">
        <v>1752</v>
      </c>
      <c r="I539" s="1115" t="n">
        <v>16610</v>
      </c>
      <c r="J539" s="1115" t="s">
        <v>1142</v>
      </c>
    </row>
    <row r="540" customFormat="false" ht="14.1" hidden="false" customHeight="true" outlineLevel="0" collapsed="false">
      <c r="A540" s="1115" t="n">
        <v>16600</v>
      </c>
      <c r="B540" s="1115" t="s">
        <v>162</v>
      </c>
      <c r="C540" s="1115" t="n">
        <v>16600</v>
      </c>
      <c r="D540" s="1115" t="s">
        <v>1754</v>
      </c>
      <c r="E540" s="1115" t="s">
        <v>1755</v>
      </c>
      <c r="F540" s="1115" t="n">
        <v>31360</v>
      </c>
      <c r="G540" s="1115" t="n">
        <v>16600</v>
      </c>
      <c r="H540" s="1115" t="s">
        <v>1754</v>
      </c>
      <c r="I540" s="1115" t="n">
        <v>16630</v>
      </c>
      <c r="J540" s="1115" t="s">
        <v>1142</v>
      </c>
    </row>
    <row r="541" customFormat="false" ht="14.1" hidden="false" customHeight="true" outlineLevel="0" collapsed="false">
      <c r="A541" s="1115" t="n">
        <v>16610</v>
      </c>
      <c r="B541" s="1115" t="s">
        <v>162</v>
      </c>
      <c r="C541" s="1115" t="n">
        <v>16610</v>
      </c>
      <c r="D541" s="1115" t="s">
        <v>1142</v>
      </c>
      <c r="E541" s="1115" t="s">
        <v>855</v>
      </c>
      <c r="F541" s="1115" t="n">
        <v>38950</v>
      </c>
      <c r="G541" s="1115" t="n">
        <v>16610</v>
      </c>
      <c r="H541" s="1115" t="s">
        <v>1142</v>
      </c>
      <c r="I541" s="1115" t="n">
        <v>16650</v>
      </c>
      <c r="J541" s="1115" t="s">
        <v>1142</v>
      </c>
    </row>
    <row r="542" customFormat="false" ht="14.1" hidden="false" customHeight="true" outlineLevel="0" collapsed="false">
      <c r="A542" s="1115" t="n">
        <v>16630</v>
      </c>
      <c r="B542" s="1115" t="s">
        <v>162</v>
      </c>
      <c r="C542" s="1115" t="n">
        <v>16630</v>
      </c>
      <c r="D542" s="1115" t="s">
        <v>1756</v>
      </c>
      <c r="E542" s="1115" t="s">
        <v>1757</v>
      </c>
      <c r="F542" s="1115" t="n">
        <v>29950</v>
      </c>
      <c r="G542" s="1115" t="n">
        <v>16630</v>
      </c>
      <c r="H542" s="1115" t="s">
        <v>1756</v>
      </c>
      <c r="I542" s="1115" t="n">
        <v>16670</v>
      </c>
      <c r="J542" s="1115" t="s">
        <v>1142</v>
      </c>
    </row>
    <row r="543" customFormat="false" ht="14.1" hidden="false" customHeight="true" outlineLevel="0" collapsed="false">
      <c r="A543" s="1115" t="n">
        <v>16650</v>
      </c>
      <c r="B543" s="1115" t="s">
        <v>162</v>
      </c>
      <c r="C543" s="1115" t="n">
        <v>16650</v>
      </c>
      <c r="D543" s="1115" t="s">
        <v>1758</v>
      </c>
      <c r="E543" s="1115" t="s">
        <v>1759</v>
      </c>
      <c r="F543" s="1115" t="n">
        <v>29640</v>
      </c>
      <c r="G543" s="1115" t="n">
        <v>16650</v>
      </c>
      <c r="H543" s="1115" t="s">
        <v>1758</v>
      </c>
      <c r="I543" s="1115" t="n">
        <v>16710</v>
      </c>
      <c r="J543" s="1115" t="s">
        <v>1142</v>
      </c>
    </row>
    <row r="544" customFormat="false" ht="14.1" hidden="false" customHeight="true" outlineLevel="0" collapsed="false">
      <c r="A544" s="1115" t="n">
        <v>16670</v>
      </c>
      <c r="B544" s="1115" t="s">
        <v>162</v>
      </c>
      <c r="C544" s="1115" t="n">
        <v>16670</v>
      </c>
      <c r="D544" s="1115" t="s">
        <v>1760</v>
      </c>
      <c r="E544" s="1115" t="s">
        <v>1761</v>
      </c>
      <c r="F544" s="1115" t="n">
        <v>80420</v>
      </c>
      <c r="G544" s="1115" t="n">
        <v>16670</v>
      </c>
      <c r="H544" s="1115" t="s">
        <v>1760</v>
      </c>
      <c r="I544" s="1115" t="n">
        <v>16730</v>
      </c>
      <c r="J544" s="1115" t="s">
        <v>1142</v>
      </c>
    </row>
    <row r="545" customFormat="false" ht="14.1" hidden="false" customHeight="true" outlineLevel="0" collapsed="false">
      <c r="A545" s="1115" t="n">
        <v>16710</v>
      </c>
      <c r="B545" s="1115" t="s">
        <v>162</v>
      </c>
      <c r="C545" s="1115" t="n">
        <v>16710</v>
      </c>
      <c r="D545" s="1115" t="s">
        <v>853</v>
      </c>
      <c r="E545" s="1115" t="s">
        <v>1762</v>
      </c>
      <c r="F545" s="1115" t="n">
        <v>74610</v>
      </c>
      <c r="G545" s="1115" t="n">
        <v>16710</v>
      </c>
      <c r="H545" s="1115" t="s">
        <v>853</v>
      </c>
      <c r="I545" s="1115" t="n">
        <v>16740</v>
      </c>
      <c r="J545" s="1115" t="s">
        <v>1142</v>
      </c>
    </row>
    <row r="546" customFormat="false" ht="14.1" hidden="false" customHeight="true" outlineLevel="0" collapsed="false">
      <c r="A546" s="1115" t="n">
        <v>16730</v>
      </c>
      <c r="B546" s="1115" t="s">
        <v>162</v>
      </c>
      <c r="C546" s="1115" t="n">
        <v>16730</v>
      </c>
      <c r="D546" s="1115" t="s">
        <v>1763</v>
      </c>
      <c r="E546" s="1115" t="s">
        <v>1764</v>
      </c>
      <c r="F546" s="1115" t="n">
        <v>27640</v>
      </c>
      <c r="G546" s="1115" t="n">
        <v>16730</v>
      </c>
      <c r="H546" s="1115" t="s">
        <v>1763</v>
      </c>
      <c r="I546" s="1115" t="n">
        <v>16750</v>
      </c>
      <c r="J546" s="1115" t="s">
        <v>1142</v>
      </c>
    </row>
    <row r="547" customFormat="false" ht="14.1" hidden="false" customHeight="true" outlineLevel="0" collapsed="false">
      <c r="A547" s="1115" t="n">
        <v>16740</v>
      </c>
      <c r="B547" s="1115" t="s">
        <v>162</v>
      </c>
      <c r="C547" s="1115" t="n">
        <v>16740</v>
      </c>
      <c r="D547" s="1115" t="s">
        <v>1765</v>
      </c>
      <c r="E547" s="1115" t="s">
        <v>1764</v>
      </c>
      <c r="F547" s="1115" t="n">
        <v>27650</v>
      </c>
      <c r="G547" s="1115" t="n">
        <v>16740</v>
      </c>
      <c r="H547" s="1115" t="s">
        <v>1765</v>
      </c>
      <c r="I547" s="1115" t="n">
        <v>16770</v>
      </c>
      <c r="J547" s="1115" t="s">
        <v>1142</v>
      </c>
    </row>
    <row r="548" customFormat="false" ht="14.1" hidden="false" customHeight="true" outlineLevel="0" collapsed="false">
      <c r="A548" s="1115" t="n">
        <v>16750</v>
      </c>
      <c r="B548" s="1115" t="s">
        <v>162</v>
      </c>
      <c r="C548" s="1115" t="n">
        <v>16750</v>
      </c>
      <c r="D548" s="1115" t="s">
        <v>1766</v>
      </c>
      <c r="E548" s="1115" t="s">
        <v>1767</v>
      </c>
      <c r="F548" s="1115" t="n">
        <v>31730</v>
      </c>
      <c r="G548" s="1115" t="n">
        <v>16750</v>
      </c>
      <c r="H548" s="1115" t="s">
        <v>1766</v>
      </c>
      <c r="I548" s="1115" t="n">
        <v>16780</v>
      </c>
      <c r="J548" s="1115" t="s">
        <v>1142</v>
      </c>
    </row>
    <row r="549" customFormat="false" ht="14.1" hidden="false" customHeight="true" outlineLevel="0" collapsed="false">
      <c r="A549" s="1115" t="n">
        <v>16770</v>
      </c>
      <c r="B549" s="1115" t="s">
        <v>162</v>
      </c>
      <c r="C549" s="1115" t="n">
        <v>16770</v>
      </c>
      <c r="D549" s="1115" t="s">
        <v>1448</v>
      </c>
      <c r="E549" s="1115" t="s">
        <v>1768</v>
      </c>
      <c r="F549" s="1115" t="n">
        <v>99270</v>
      </c>
      <c r="G549" s="1115" t="n">
        <v>16770</v>
      </c>
      <c r="H549" s="1115" t="s">
        <v>1448</v>
      </c>
      <c r="I549" s="1115" t="n">
        <v>16790</v>
      </c>
      <c r="J549" s="1115" t="s">
        <v>1142</v>
      </c>
    </row>
    <row r="550" customFormat="false" ht="14.1" hidden="false" customHeight="true" outlineLevel="0" collapsed="false">
      <c r="A550" s="1115" t="n">
        <v>16780</v>
      </c>
      <c r="B550" s="1115" t="s">
        <v>162</v>
      </c>
      <c r="C550" s="1115" t="n">
        <v>16780</v>
      </c>
      <c r="D550" s="1115" t="s">
        <v>1769</v>
      </c>
      <c r="E550" s="1115" t="s">
        <v>1770</v>
      </c>
      <c r="F550" s="1115" t="n">
        <v>29270</v>
      </c>
      <c r="G550" s="1115" t="n">
        <v>16780</v>
      </c>
      <c r="H550" s="1115" t="s">
        <v>1769</v>
      </c>
      <c r="I550" s="1115" t="n">
        <v>16800</v>
      </c>
      <c r="J550" s="1115" t="s">
        <v>866</v>
      </c>
    </row>
    <row r="551" customFormat="false" ht="14.1" hidden="false" customHeight="true" outlineLevel="0" collapsed="false">
      <c r="A551" s="1115" t="n">
        <v>16790</v>
      </c>
      <c r="B551" s="1115" t="s">
        <v>162</v>
      </c>
      <c r="C551" s="1115" t="n">
        <v>16790</v>
      </c>
      <c r="D551" s="1115" t="s">
        <v>1771</v>
      </c>
      <c r="E551" s="1115" t="s">
        <v>1772</v>
      </c>
      <c r="F551" s="1115" t="n">
        <v>64740</v>
      </c>
      <c r="G551" s="1115" t="n">
        <v>16790</v>
      </c>
      <c r="H551" s="1115" t="s">
        <v>1771</v>
      </c>
      <c r="I551" s="1115" t="n">
        <v>16830</v>
      </c>
      <c r="J551" s="1115" t="s">
        <v>866</v>
      </c>
    </row>
    <row r="552" customFormat="false" ht="14.1" hidden="false" customHeight="true" outlineLevel="0" collapsed="false">
      <c r="A552" s="1115" t="n">
        <v>16800</v>
      </c>
      <c r="B552" s="1115" t="s">
        <v>162</v>
      </c>
      <c r="C552" s="1115" t="n">
        <v>16800</v>
      </c>
      <c r="D552" s="1115" t="s">
        <v>1773</v>
      </c>
      <c r="E552" s="1115" t="s">
        <v>1774</v>
      </c>
      <c r="F552" s="1115" t="n">
        <v>72380</v>
      </c>
      <c r="G552" s="1115" t="n">
        <v>16800</v>
      </c>
      <c r="H552" s="1115" t="s">
        <v>1773</v>
      </c>
      <c r="I552" s="1115" t="n">
        <v>16880</v>
      </c>
      <c r="J552" s="1115" t="s">
        <v>866</v>
      </c>
    </row>
    <row r="553" customFormat="false" ht="14.1" hidden="false" customHeight="true" outlineLevel="0" collapsed="false">
      <c r="A553" s="1115" t="n">
        <v>16830</v>
      </c>
      <c r="B553" s="1115" t="s">
        <v>162</v>
      </c>
      <c r="C553" s="1115" t="n">
        <v>16830</v>
      </c>
      <c r="D553" s="1115" t="s">
        <v>1775</v>
      </c>
      <c r="E553" s="1115" t="s">
        <v>1776</v>
      </c>
      <c r="F553" s="1115" t="n">
        <v>83780</v>
      </c>
      <c r="G553" s="1115" t="n">
        <v>16830</v>
      </c>
      <c r="H553" s="1115" t="s">
        <v>1775</v>
      </c>
      <c r="I553" s="1115" t="n">
        <v>16900</v>
      </c>
      <c r="J553" s="1115" t="s">
        <v>866</v>
      </c>
    </row>
    <row r="554" customFormat="false" ht="14.1" hidden="false" customHeight="true" outlineLevel="0" collapsed="false">
      <c r="A554" s="1115" t="n">
        <v>16880</v>
      </c>
      <c r="B554" s="1115" t="s">
        <v>162</v>
      </c>
      <c r="C554" s="1115" t="n">
        <v>16880</v>
      </c>
      <c r="D554" s="1115" t="s">
        <v>1777</v>
      </c>
      <c r="E554" s="1115" t="s">
        <v>1778</v>
      </c>
      <c r="F554" s="1115" t="n">
        <v>73160</v>
      </c>
      <c r="G554" s="1115" t="n">
        <v>16880</v>
      </c>
      <c r="H554" s="1115" t="s">
        <v>1777</v>
      </c>
      <c r="I554" s="1115" t="n">
        <v>16930</v>
      </c>
      <c r="J554" s="1115" t="s">
        <v>866</v>
      </c>
    </row>
    <row r="555" customFormat="false" ht="14.1" hidden="false" customHeight="true" outlineLevel="0" collapsed="false">
      <c r="A555" s="1115" t="n">
        <v>16900</v>
      </c>
      <c r="B555" s="1115" t="s">
        <v>162</v>
      </c>
      <c r="C555" s="1115" t="n">
        <v>16900</v>
      </c>
      <c r="D555" s="1115" t="s">
        <v>1149</v>
      </c>
      <c r="E555" s="1115" t="s">
        <v>857</v>
      </c>
      <c r="F555" s="1115" t="n">
        <v>21760</v>
      </c>
      <c r="G555" s="1115" t="n">
        <v>16900</v>
      </c>
      <c r="H555" s="1115" t="s">
        <v>1149</v>
      </c>
      <c r="I555" s="1115" t="n">
        <v>16940</v>
      </c>
      <c r="J555" s="1115" t="s">
        <v>866</v>
      </c>
    </row>
    <row r="556" customFormat="false" ht="14.1" hidden="false" customHeight="true" outlineLevel="0" collapsed="false">
      <c r="A556" s="1115" t="n">
        <v>16930</v>
      </c>
      <c r="B556" s="1115" t="s">
        <v>162</v>
      </c>
      <c r="C556" s="1115" t="n">
        <v>16930</v>
      </c>
      <c r="D556" s="1115" t="s">
        <v>1779</v>
      </c>
      <c r="E556" s="1115" t="s">
        <v>1780</v>
      </c>
      <c r="F556" s="1115" t="n">
        <v>81140</v>
      </c>
      <c r="G556" s="1115" t="n">
        <v>16930</v>
      </c>
      <c r="H556" s="1115" t="s">
        <v>1779</v>
      </c>
      <c r="I556" s="1115" t="n">
        <v>16960</v>
      </c>
      <c r="J556" s="1115" t="s">
        <v>866</v>
      </c>
    </row>
    <row r="557" customFormat="false" ht="14.1" hidden="false" customHeight="true" outlineLevel="0" collapsed="false">
      <c r="A557" s="1115" t="n">
        <v>16940</v>
      </c>
      <c r="B557" s="1115" t="s">
        <v>162</v>
      </c>
      <c r="C557" s="1115" t="n">
        <v>16940</v>
      </c>
      <c r="D557" s="1115" t="s">
        <v>1781</v>
      </c>
      <c r="E557" s="1115" t="s">
        <v>1782</v>
      </c>
      <c r="F557" s="1115" t="n">
        <v>71780</v>
      </c>
      <c r="G557" s="1115" t="n">
        <v>16940</v>
      </c>
      <c r="H557" s="1115" t="s">
        <v>1781</v>
      </c>
      <c r="I557" s="1115" t="n">
        <v>16970</v>
      </c>
      <c r="J557" s="1115" t="s">
        <v>866</v>
      </c>
    </row>
    <row r="558" customFormat="false" ht="14.1" hidden="false" customHeight="true" outlineLevel="0" collapsed="false">
      <c r="A558" s="1115" t="n">
        <v>16960</v>
      </c>
      <c r="B558" s="1115" t="s">
        <v>162</v>
      </c>
      <c r="C558" s="1115" t="n">
        <v>16960</v>
      </c>
      <c r="D558" s="1115" t="s">
        <v>1783</v>
      </c>
      <c r="E558" s="1115" t="s">
        <v>1784</v>
      </c>
      <c r="F558" s="1115" t="n">
        <v>47760</v>
      </c>
      <c r="G558" s="1115" t="n">
        <v>16960</v>
      </c>
      <c r="H558" s="1115" t="s">
        <v>1783</v>
      </c>
      <c r="I558" s="1115" t="n">
        <v>16980</v>
      </c>
      <c r="J558" s="1115" t="s">
        <v>866</v>
      </c>
    </row>
    <row r="559" customFormat="false" ht="14.1" hidden="false" customHeight="true" outlineLevel="0" collapsed="false">
      <c r="A559" s="1115" t="n">
        <v>16970</v>
      </c>
      <c r="B559" s="1115" t="s">
        <v>162</v>
      </c>
      <c r="C559" s="1115" t="n">
        <v>16970</v>
      </c>
      <c r="D559" s="1115" t="s">
        <v>1203</v>
      </c>
      <c r="E559" s="1115" t="s">
        <v>1171</v>
      </c>
      <c r="F559" s="1115" t="n">
        <v>3150</v>
      </c>
      <c r="G559" s="1115" t="n">
        <v>16970</v>
      </c>
      <c r="H559" s="1115" t="s">
        <v>1203</v>
      </c>
      <c r="I559" s="1115" t="n">
        <v>17110</v>
      </c>
      <c r="J559" s="1115" t="s">
        <v>866</v>
      </c>
    </row>
    <row r="560" customFormat="false" ht="14.1" hidden="false" customHeight="true" outlineLevel="0" collapsed="false">
      <c r="A560" s="1115" t="n">
        <v>16980</v>
      </c>
      <c r="B560" s="1115" t="s">
        <v>162</v>
      </c>
      <c r="C560" s="1115" t="n">
        <v>16980</v>
      </c>
      <c r="D560" s="1115" t="s">
        <v>1785</v>
      </c>
      <c r="E560" s="1115" t="s">
        <v>1786</v>
      </c>
      <c r="F560" s="1115" t="n">
        <v>62240</v>
      </c>
      <c r="G560" s="1115" t="n">
        <v>16980</v>
      </c>
      <c r="H560" s="1115" t="s">
        <v>1785</v>
      </c>
      <c r="I560" s="1115" t="n">
        <v>17120</v>
      </c>
      <c r="J560" s="1115" t="s">
        <v>866</v>
      </c>
    </row>
    <row r="561" customFormat="false" ht="14.1" hidden="false" customHeight="true" outlineLevel="0" collapsed="false">
      <c r="A561" s="1115" t="n">
        <v>17110</v>
      </c>
      <c r="B561" s="1115" t="s">
        <v>162</v>
      </c>
      <c r="C561" s="1115" t="n">
        <v>17110</v>
      </c>
      <c r="D561" s="1115" t="s">
        <v>1787</v>
      </c>
      <c r="E561" s="1115" t="s">
        <v>1788</v>
      </c>
      <c r="F561" s="1115" t="n">
        <v>32770</v>
      </c>
      <c r="G561" s="1115" t="n">
        <v>17110</v>
      </c>
      <c r="H561" s="1115" t="s">
        <v>1787</v>
      </c>
      <c r="I561" s="1115" t="n">
        <v>17130</v>
      </c>
      <c r="J561" s="1115" t="s">
        <v>734</v>
      </c>
    </row>
    <row r="562" customFormat="false" ht="14.1" hidden="false" customHeight="true" outlineLevel="0" collapsed="false">
      <c r="A562" s="1115" t="n">
        <v>17120</v>
      </c>
      <c r="B562" s="1115" t="s">
        <v>162</v>
      </c>
      <c r="C562" s="1115" t="n">
        <v>17120</v>
      </c>
      <c r="D562" s="1115" t="s">
        <v>1789</v>
      </c>
      <c r="E562" s="1115" t="s">
        <v>1788</v>
      </c>
      <c r="F562" s="1115" t="n">
        <v>32770</v>
      </c>
      <c r="G562" s="1115" t="n">
        <v>17120</v>
      </c>
      <c r="H562" s="1115" t="s">
        <v>1789</v>
      </c>
      <c r="I562" s="1115" t="n">
        <v>17150</v>
      </c>
      <c r="J562" s="1115" t="s">
        <v>734</v>
      </c>
    </row>
    <row r="563" customFormat="false" ht="14.1" hidden="false" customHeight="true" outlineLevel="0" collapsed="false">
      <c r="A563" s="1115" t="n">
        <v>17130</v>
      </c>
      <c r="B563" s="1115" t="s">
        <v>162</v>
      </c>
      <c r="C563" s="1115" t="n">
        <v>17130</v>
      </c>
      <c r="D563" s="1115" t="s">
        <v>1790</v>
      </c>
      <c r="E563" s="1115" t="s">
        <v>1791</v>
      </c>
      <c r="F563" s="1115" t="n">
        <v>42420</v>
      </c>
      <c r="G563" s="1115" t="n">
        <v>17130</v>
      </c>
      <c r="H563" s="1115" t="s">
        <v>1790</v>
      </c>
      <c r="I563" s="1115" t="n">
        <v>17200</v>
      </c>
      <c r="J563" s="1115" t="s">
        <v>734</v>
      </c>
    </row>
    <row r="564" customFormat="false" ht="14.1" hidden="false" customHeight="true" outlineLevel="0" collapsed="false">
      <c r="A564" s="1115" t="n">
        <v>17150</v>
      </c>
      <c r="B564" s="1115" t="s">
        <v>162</v>
      </c>
      <c r="C564" s="1115" t="n">
        <v>17150</v>
      </c>
      <c r="D564" s="1115" t="s">
        <v>1792</v>
      </c>
      <c r="E564" s="1115" t="s">
        <v>1793</v>
      </c>
      <c r="F564" s="1115" t="n">
        <v>35910</v>
      </c>
      <c r="G564" s="1115" t="n">
        <v>17150</v>
      </c>
      <c r="H564" s="1115" t="s">
        <v>1792</v>
      </c>
      <c r="I564" s="1115" t="n">
        <v>17210</v>
      </c>
      <c r="J564" s="1115" t="s">
        <v>734</v>
      </c>
    </row>
    <row r="565" customFormat="false" ht="14.1" hidden="false" customHeight="true" outlineLevel="0" collapsed="false">
      <c r="A565" s="1115" t="n">
        <v>17200</v>
      </c>
      <c r="B565" s="1115" t="s">
        <v>162</v>
      </c>
      <c r="C565" s="1115" t="n">
        <v>17200</v>
      </c>
      <c r="D565" s="1115" t="s">
        <v>1794</v>
      </c>
      <c r="E565" s="1115" t="s">
        <v>1795</v>
      </c>
      <c r="F565" s="1115" t="n">
        <v>82180</v>
      </c>
      <c r="G565" s="1115" t="n">
        <v>17200</v>
      </c>
      <c r="H565" s="1115" t="s">
        <v>1794</v>
      </c>
      <c r="I565" s="1115" t="n">
        <v>17220</v>
      </c>
      <c r="J565" s="1115" t="s">
        <v>734</v>
      </c>
    </row>
    <row r="566" customFormat="false" ht="14.1" hidden="false" customHeight="true" outlineLevel="0" collapsed="false">
      <c r="A566" s="1115" t="n">
        <v>17210</v>
      </c>
      <c r="B566" s="1115" t="s">
        <v>162</v>
      </c>
      <c r="C566" s="1115" t="n">
        <v>17210</v>
      </c>
      <c r="D566" s="1115" t="s">
        <v>1796</v>
      </c>
      <c r="E566" s="1115" t="s">
        <v>1797</v>
      </c>
      <c r="F566" s="1115" t="n">
        <v>81450</v>
      </c>
      <c r="G566" s="1115" t="n">
        <v>17210</v>
      </c>
      <c r="H566" s="1115" t="s">
        <v>1796</v>
      </c>
      <c r="I566" s="1115" t="n">
        <v>17240</v>
      </c>
      <c r="J566" s="1115" t="s">
        <v>734</v>
      </c>
    </row>
    <row r="567" customFormat="false" ht="14.1" hidden="false" customHeight="true" outlineLevel="0" collapsed="false">
      <c r="A567" s="1115" t="n">
        <v>17220</v>
      </c>
      <c r="B567" s="1115" t="s">
        <v>162</v>
      </c>
      <c r="C567" s="1115" t="n">
        <v>17220</v>
      </c>
      <c r="D567" s="1115" t="s">
        <v>1798</v>
      </c>
      <c r="E567" s="1115" t="s">
        <v>1799</v>
      </c>
      <c r="F567" s="1115" t="n">
        <v>61350</v>
      </c>
      <c r="G567" s="1115" t="n">
        <v>17220</v>
      </c>
      <c r="H567" s="1115" t="s">
        <v>1798</v>
      </c>
      <c r="I567" s="1115" t="n">
        <v>17320</v>
      </c>
      <c r="J567" s="1115" t="s">
        <v>734</v>
      </c>
    </row>
    <row r="568" customFormat="false" ht="14.1" hidden="false" customHeight="true" outlineLevel="0" collapsed="false">
      <c r="A568" s="1115" t="n">
        <v>17240</v>
      </c>
      <c r="B568" s="1115" t="s">
        <v>162</v>
      </c>
      <c r="C568" s="1115" t="n">
        <v>17240</v>
      </c>
      <c r="D568" s="1115" t="s">
        <v>1800</v>
      </c>
      <c r="E568" s="1115" t="s">
        <v>859</v>
      </c>
      <c r="F568" s="1115" t="n">
        <v>32700</v>
      </c>
      <c r="G568" s="1115" t="n">
        <v>17240</v>
      </c>
      <c r="H568" s="1115" t="s">
        <v>1800</v>
      </c>
      <c r="I568" s="1115" t="n">
        <v>17410</v>
      </c>
      <c r="J568" s="1115" t="s">
        <v>734</v>
      </c>
    </row>
    <row r="569" customFormat="false" ht="14.1" hidden="false" customHeight="true" outlineLevel="0" collapsed="false">
      <c r="A569" s="1115" t="n">
        <v>17320</v>
      </c>
      <c r="B569" s="1115" t="s">
        <v>162</v>
      </c>
      <c r="C569" s="1115" t="n">
        <v>17320</v>
      </c>
      <c r="D569" s="1115" t="s">
        <v>734</v>
      </c>
      <c r="E569" s="1115" t="s">
        <v>1801</v>
      </c>
      <c r="F569" s="1115" t="n">
        <v>54430</v>
      </c>
      <c r="G569" s="1115" t="n">
        <v>17320</v>
      </c>
      <c r="H569" s="1115" t="s">
        <v>734</v>
      </c>
      <c r="I569" s="1115" t="n">
        <v>17430</v>
      </c>
      <c r="J569" s="1115" t="s">
        <v>734</v>
      </c>
    </row>
    <row r="570" customFormat="false" ht="14.1" hidden="false" customHeight="true" outlineLevel="0" collapsed="false">
      <c r="A570" s="1115" t="n">
        <v>17410</v>
      </c>
      <c r="B570" s="1115" t="s">
        <v>162</v>
      </c>
      <c r="C570" s="1115" t="n">
        <v>17410</v>
      </c>
      <c r="D570" s="1115" t="s">
        <v>1802</v>
      </c>
      <c r="E570" s="1115" t="s">
        <v>1803</v>
      </c>
      <c r="F570" s="1115" t="n">
        <v>83830</v>
      </c>
      <c r="G570" s="1115" t="n">
        <v>17410</v>
      </c>
      <c r="H570" s="1115" t="s">
        <v>1802</v>
      </c>
      <c r="I570" s="1115" t="n">
        <v>17440</v>
      </c>
      <c r="J570" s="1115" t="s">
        <v>734</v>
      </c>
    </row>
    <row r="571" customFormat="false" ht="14.1" hidden="false" customHeight="true" outlineLevel="0" collapsed="false">
      <c r="A571" s="1115" t="n">
        <v>17430</v>
      </c>
      <c r="B571" s="1115" t="s">
        <v>162</v>
      </c>
      <c r="C571" s="1115" t="n">
        <v>17430</v>
      </c>
      <c r="D571" s="1115" t="s">
        <v>1804</v>
      </c>
      <c r="E571" s="1115" t="s">
        <v>1805</v>
      </c>
      <c r="F571" s="1115" t="n">
        <v>86610</v>
      </c>
      <c r="G571" s="1115" t="n">
        <v>17430</v>
      </c>
      <c r="H571" s="1115" t="s">
        <v>1804</v>
      </c>
      <c r="I571" s="1115" t="n">
        <v>17450</v>
      </c>
      <c r="J571" s="1115" t="s">
        <v>734</v>
      </c>
    </row>
    <row r="572" customFormat="false" ht="14.1" hidden="false" customHeight="true" outlineLevel="0" collapsed="false">
      <c r="A572" s="1115" t="n">
        <v>17440</v>
      </c>
      <c r="B572" s="1115" t="s">
        <v>162</v>
      </c>
      <c r="C572" s="1115" t="n">
        <v>17440</v>
      </c>
      <c r="D572" s="1115" t="s">
        <v>1806</v>
      </c>
      <c r="E572" s="1115" t="s">
        <v>1807</v>
      </c>
      <c r="F572" s="1115" t="n">
        <v>82460</v>
      </c>
      <c r="G572" s="1115" t="n">
        <v>17440</v>
      </c>
      <c r="H572" s="1115" t="s">
        <v>1806</v>
      </c>
      <c r="I572" s="1115" t="n">
        <v>17470</v>
      </c>
      <c r="J572" s="1115" t="s">
        <v>1313</v>
      </c>
    </row>
    <row r="573" customFormat="false" ht="14.1" hidden="false" customHeight="true" outlineLevel="0" collapsed="false">
      <c r="A573" s="1115" t="n">
        <v>17450</v>
      </c>
      <c r="B573" s="1115" t="s">
        <v>162</v>
      </c>
      <c r="C573" s="1115" t="n">
        <v>17450</v>
      </c>
      <c r="D573" s="1115" t="s">
        <v>1808</v>
      </c>
      <c r="E573" s="1115" t="s">
        <v>1809</v>
      </c>
      <c r="F573" s="1115" t="n">
        <v>43640</v>
      </c>
      <c r="G573" s="1115" t="n">
        <v>17450</v>
      </c>
      <c r="H573" s="1115" t="s">
        <v>1808</v>
      </c>
      <c r="I573" s="1115" t="n">
        <v>17500</v>
      </c>
      <c r="J573" s="1115" t="s">
        <v>1313</v>
      </c>
    </row>
    <row r="574" customFormat="false" ht="14.1" hidden="false" customHeight="true" outlineLevel="0" collapsed="false">
      <c r="A574" s="1115" t="n">
        <v>17470</v>
      </c>
      <c r="B574" s="1115" t="s">
        <v>162</v>
      </c>
      <c r="C574" s="1115" t="n">
        <v>17470</v>
      </c>
      <c r="D574" s="1115" t="s">
        <v>1810</v>
      </c>
      <c r="E574" s="1115" t="s">
        <v>861</v>
      </c>
      <c r="F574" s="1115" t="n">
        <v>31640</v>
      </c>
      <c r="G574" s="1115" t="n">
        <v>17470</v>
      </c>
      <c r="H574" s="1115" t="s">
        <v>1810</v>
      </c>
      <c r="I574" s="1115" t="n">
        <v>17510</v>
      </c>
      <c r="J574" s="1115" t="s">
        <v>1313</v>
      </c>
    </row>
    <row r="575" customFormat="false" ht="14.1" hidden="false" customHeight="true" outlineLevel="0" collapsed="false">
      <c r="A575" s="1115" t="n">
        <v>17500</v>
      </c>
      <c r="B575" s="1115" t="s">
        <v>162</v>
      </c>
      <c r="C575" s="1115" t="n">
        <v>17500</v>
      </c>
      <c r="D575" s="1115" t="s">
        <v>1313</v>
      </c>
      <c r="E575" s="1115" t="s">
        <v>1811</v>
      </c>
      <c r="F575" s="1115" t="n">
        <v>44570</v>
      </c>
      <c r="G575" s="1115" t="n">
        <v>17500</v>
      </c>
      <c r="H575" s="1115" t="s">
        <v>1313</v>
      </c>
      <c r="I575" s="1115" t="n">
        <v>17530</v>
      </c>
      <c r="J575" s="1115" t="s">
        <v>1313</v>
      </c>
    </row>
    <row r="576" customFormat="false" ht="14.1" hidden="false" customHeight="true" outlineLevel="0" collapsed="false">
      <c r="A576" s="1115" t="n">
        <v>17510</v>
      </c>
      <c r="B576" s="1115" t="s">
        <v>162</v>
      </c>
      <c r="C576" s="1115" t="n">
        <v>17510</v>
      </c>
      <c r="D576" s="1115" t="s">
        <v>1812</v>
      </c>
      <c r="E576" s="1115" t="s">
        <v>1813</v>
      </c>
      <c r="F576" s="1115" t="n">
        <v>44580</v>
      </c>
      <c r="G576" s="1115" t="n">
        <v>17510</v>
      </c>
      <c r="H576" s="1115" t="s">
        <v>1812</v>
      </c>
      <c r="I576" s="1115" t="n">
        <v>17540</v>
      </c>
      <c r="J576" s="1115" t="s">
        <v>1313</v>
      </c>
    </row>
    <row r="577" customFormat="false" ht="14.1" hidden="false" customHeight="true" outlineLevel="0" collapsed="false">
      <c r="A577" s="1115" t="n">
        <v>17530</v>
      </c>
      <c r="B577" s="1115" t="s">
        <v>162</v>
      </c>
      <c r="C577" s="1115" t="n">
        <v>17530</v>
      </c>
      <c r="D577" s="1115" t="s">
        <v>921</v>
      </c>
      <c r="E577" s="1115" t="s">
        <v>1814</v>
      </c>
      <c r="F577" s="1115" t="n">
        <v>79340</v>
      </c>
      <c r="G577" s="1115" t="n">
        <v>17530</v>
      </c>
      <c r="H577" s="1115" t="s">
        <v>921</v>
      </c>
      <c r="I577" s="1115" t="n">
        <v>17610</v>
      </c>
      <c r="J577" s="1115" t="s">
        <v>1313</v>
      </c>
    </row>
    <row r="578" customFormat="false" ht="14.1" hidden="false" customHeight="true" outlineLevel="0" collapsed="false">
      <c r="A578" s="1115" t="n">
        <v>17540</v>
      </c>
      <c r="B578" s="1115" t="s">
        <v>162</v>
      </c>
      <c r="C578" s="1115" t="n">
        <v>17540</v>
      </c>
      <c r="D578" s="1115" t="s">
        <v>1815</v>
      </c>
      <c r="E578" s="1115" t="s">
        <v>1816</v>
      </c>
      <c r="F578" s="1115" t="n">
        <v>27910</v>
      </c>
      <c r="G578" s="1115" t="n">
        <v>17540</v>
      </c>
      <c r="H578" s="1115" t="s">
        <v>1815</v>
      </c>
      <c r="I578" s="1115" t="n">
        <v>17630</v>
      </c>
      <c r="J578" s="1115" t="s">
        <v>1313</v>
      </c>
    </row>
    <row r="579" customFormat="false" ht="14.1" hidden="false" customHeight="true" outlineLevel="0" collapsed="false">
      <c r="A579" s="1115" t="n">
        <v>17610</v>
      </c>
      <c r="B579" s="1115" t="s">
        <v>162</v>
      </c>
      <c r="C579" s="1115" t="n">
        <v>17610</v>
      </c>
      <c r="D579" s="1115" t="s">
        <v>965</v>
      </c>
      <c r="E579" s="1115" t="s">
        <v>1817</v>
      </c>
      <c r="F579" s="1115" t="n">
        <v>52230</v>
      </c>
      <c r="G579" s="1115" t="n">
        <v>17610</v>
      </c>
      <c r="H579" s="1115" t="s">
        <v>965</v>
      </c>
      <c r="I579" s="1115" t="n">
        <v>17710</v>
      </c>
      <c r="J579" s="1115" t="s">
        <v>1313</v>
      </c>
    </row>
    <row r="580" customFormat="false" ht="14.1" hidden="false" customHeight="true" outlineLevel="0" collapsed="false">
      <c r="A580" s="1115" t="n">
        <v>17630</v>
      </c>
      <c r="B580" s="1115" t="s">
        <v>162</v>
      </c>
      <c r="C580" s="1115" t="n">
        <v>17630</v>
      </c>
      <c r="D580" s="1115" t="s">
        <v>1818</v>
      </c>
      <c r="E580" s="1115" t="s">
        <v>1819</v>
      </c>
      <c r="F580" s="1115" t="n">
        <v>77320</v>
      </c>
      <c r="G580" s="1115" t="n">
        <v>17630</v>
      </c>
      <c r="H580" s="1115" t="s">
        <v>1818</v>
      </c>
      <c r="I580" s="1115" t="n">
        <v>17740</v>
      </c>
      <c r="J580" s="1115" t="s">
        <v>1313</v>
      </c>
    </row>
    <row r="581" customFormat="false" ht="14.1" hidden="false" customHeight="true" outlineLevel="0" collapsed="false">
      <c r="A581" s="1115" t="n">
        <v>17710</v>
      </c>
      <c r="B581" s="1115" t="s">
        <v>162</v>
      </c>
      <c r="C581" s="1115" t="n">
        <v>17710</v>
      </c>
      <c r="D581" s="1115" t="s">
        <v>1820</v>
      </c>
      <c r="E581" s="1115" t="s">
        <v>1821</v>
      </c>
      <c r="F581" s="1115" t="n">
        <v>49720</v>
      </c>
      <c r="G581" s="1115" t="n">
        <v>17710</v>
      </c>
      <c r="H581" s="1115" t="s">
        <v>1820</v>
      </c>
      <c r="I581" s="1115" t="n">
        <v>17745</v>
      </c>
      <c r="J581" s="1115" t="s">
        <v>1313</v>
      </c>
    </row>
    <row r="582" customFormat="false" ht="14.1" hidden="false" customHeight="true" outlineLevel="0" collapsed="false">
      <c r="A582" s="1115" t="n">
        <v>17740</v>
      </c>
      <c r="B582" s="1115" t="s">
        <v>162</v>
      </c>
      <c r="C582" s="1115" t="n">
        <v>17740</v>
      </c>
      <c r="D582" s="1115" t="s">
        <v>1822</v>
      </c>
      <c r="E582" s="1115" t="s">
        <v>1823</v>
      </c>
      <c r="F582" s="1115" t="n">
        <v>46930</v>
      </c>
      <c r="G582" s="1115" t="n">
        <v>17740</v>
      </c>
      <c r="H582" s="1115" t="s">
        <v>1822</v>
      </c>
      <c r="I582" s="1115" t="n">
        <v>17780</v>
      </c>
      <c r="J582" s="1115" t="s">
        <v>1118</v>
      </c>
    </row>
    <row r="583" customFormat="false" ht="14.1" hidden="false" customHeight="true" outlineLevel="0" collapsed="false">
      <c r="A583" s="1115" t="n">
        <v>17745</v>
      </c>
      <c r="B583" s="1115" t="s">
        <v>162</v>
      </c>
      <c r="C583" s="1115" t="n">
        <v>17745</v>
      </c>
      <c r="D583" s="1115" t="s">
        <v>1824</v>
      </c>
      <c r="E583" s="1115" t="s">
        <v>1825</v>
      </c>
      <c r="F583" s="1115" t="n">
        <v>49510</v>
      </c>
      <c r="G583" s="1115" t="n">
        <v>17745</v>
      </c>
      <c r="H583" s="1115" t="s">
        <v>1824</v>
      </c>
      <c r="I583" s="1115" t="n">
        <v>17800</v>
      </c>
      <c r="J583" s="1115" t="s">
        <v>1118</v>
      </c>
    </row>
    <row r="584" customFormat="false" ht="14.1" hidden="false" customHeight="true" outlineLevel="0" collapsed="false">
      <c r="A584" s="1115" t="n">
        <v>17780</v>
      </c>
      <c r="B584" s="1115" t="s">
        <v>162</v>
      </c>
      <c r="C584" s="1115" t="n">
        <v>17780</v>
      </c>
      <c r="D584" s="1115" t="s">
        <v>1428</v>
      </c>
      <c r="E584" s="1115" t="s">
        <v>1826</v>
      </c>
      <c r="F584" s="1115" t="n">
        <v>41970</v>
      </c>
      <c r="G584" s="1115" t="n">
        <v>17780</v>
      </c>
      <c r="H584" s="1115" t="s">
        <v>1428</v>
      </c>
      <c r="I584" s="1115" t="n">
        <v>17810</v>
      </c>
      <c r="J584" s="1115" t="s">
        <v>1118</v>
      </c>
    </row>
    <row r="585" customFormat="false" ht="14.1" hidden="false" customHeight="true" outlineLevel="0" collapsed="false">
      <c r="A585" s="1115" t="n">
        <v>17800</v>
      </c>
      <c r="B585" s="1115" t="s">
        <v>162</v>
      </c>
      <c r="C585" s="1115" t="n">
        <v>17800</v>
      </c>
      <c r="D585" s="1115" t="s">
        <v>1118</v>
      </c>
      <c r="E585" s="1115" t="s">
        <v>1827</v>
      </c>
      <c r="F585" s="1115" t="n">
        <v>81250</v>
      </c>
      <c r="G585" s="1115" t="n">
        <v>17800</v>
      </c>
      <c r="H585" s="1115" t="s">
        <v>1118</v>
      </c>
      <c r="I585" s="1115" t="n">
        <v>17840</v>
      </c>
      <c r="J585" s="1115" t="s">
        <v>1118</v>
      </c>
    </row>
    <row r="586" customFormat="false" ht="14.1" hidden="false" customHeight="true" outlineLevel="0" collapsed="false">
      <c r="A586" s="1115" t="n">
        <v>17810</v>
      </c>
      <c r="B586" s="1115" t="s">
        <v>162</v>
      </c>
      <c r="C586" s="1115" t="n">
        <v>17810</v>
      </c>
      <c r="D586" s="1115" t="s">
        <v>1828</v>
      </c>
      <c r="E586" s="1115" t="s">
        <v>1829</v>
      </c>
      <c r="F586" s="1115" t="n">
        <v>76820</v>
      </c>
      <c r="G586" s="1115" t="n">
        <v>17810</v>
      </c>
      <c r="H586" s="1115" t="s">
        <v>1828</v>
      </c>
      <c r="I586" s="1115" t="n">
        <v>17850</v>
      </c>
      <c r="J586" s="1115" t="s">
        <v>1118</v>
      </c>
    </row>
    <row r="587" customFormat="false" ht="14.1" hidden="false" customHeight="true" outlineLevel="0" collapsed="false">
      <c r="A587" s="1115" t="n">
        <v>17840</v>
      </c>
      <c r="B587" s="1115" t="s">
        <v>162</v>
      </c>
      <c r="C587" s="1115" t="n">
        <v>17840</v>
      </c>
      <c r="D587" s="1115" t="s">
        <v>1423</v>
      </c>
      <c r="E587" s="1115" t="s">
        <v>1830</v>
      </c>
      <c r="F587" s="1115" t="n">
        <v>51740</v>
      </c>
      <c r="G587" s="1115" t="n">
        <v>17840</v>
      </c>
      <c r="H587" s="1115" t="s">
        <v>1423</v>
      </c>
      <c r="I587" s="1115" t="n">
        <v>17870</v>
      </c>
      <c r="J587" s="1115" t="s">
        <v>1118</v>
      </c>
    </row>
    <row r="588" customFormat="false" ht="14.1" hidden="false" customHeight="true" outlineLevel="0" collapsed="false">
      <c r="A588" s="1115" t="n">
        <v>17850</v>
      </c>
      <c r="B588" s="1115" t="s">
        <v>162</v>
      </c>
      <c r="C588" s="1115" t="n">
        <v>17850</v>
      </c>
      <c r="D588" s="1115" t="s">
        <v>1831</v>
      </c>
      <c r="E588" s="1115" t="s">
        <v>1832</v>
      </c>
      <c r="F588" s="1115" t="n">
        <v>77140</v>
      </c>
      <c r="G588" s="1115" t="n">
        <v>17850</v>
      </c>
      <c r="H588" s="1115" t="s">
        <v>1831</v>
      </c>
      <c r="I588" s="1115" t="n">
        <v>17930</v>
      </c>
      <c r="J588" s="1115" t="s">
        <v>1118</v>
      </c>
    </row>
    <row r="589" customFormat="false" ht="14.1" hidden="false" customHeight="true" outlineLevel="0" collapsed="false">
      <c r="A589" s="1115" t="n">
        <v>17870</v>
      </c>
      <c r="B589" s="1115" t="s">
        <v>162</v>
      </c>
      <c r="C589" s="1115" t="n">
        <v>17870</v>
      </c>
      <c r="D589" s="1115" t="s">
        <v>1833</v>
      </c>
      <c r="E589" s="1115" t="s">
        <v>1834</v>
      </c>
      <c r="F589" s="1115" t="n">
        <v>49210</v>
      </c>
      <c r="G589" s="1115" t="n">
        <v>17870</v>
      </c>
      <c r="H589" s="1115" t="s">
        <v>1833</v>
      </c>
      <c r="I589" s="1115" t="n">
        <v>17950</v>
      </c>
      <c r="J589" s="1115" t="s">
        <v>1118</v>
      </c>
    </row>
    <row r="590" customFormat="false" ht="14.1" hidden="false" customHeight="true" outlineLevel="0" collapsed="false">
      <c r="A590" s="1115" t="n">
        <v>17930</v>
      </c>
      <c r="B590" s="1115" t="s">
        <v>162</v>
      </c>
      <c r="C590" s="1115" t="n">
        <v>17930</v>
      </c>
      <c r="D590" s="1115" t="s">
        <v>1835</v>
      </c>
      <c r="E590" s="1115" t="s">
        <v>1836</v>
      </c>
      <c r="F590" s="1115" t="n">
        <v>79620</v>
      </c>
      <c r="G590" s="1115" t="n">
        <v>17930</v>
      </c>
      <c r="H590" s="1115" t="s">
        <v>1835</v>
      </c>
      <c r="I590" s="1115" t="n">
        <v>17970</v>
      </c>
      <c r="J590" s="1115" t="s">
        <v>1118</v>
      </c>
    </row>
    <row r="591" customFormat="false" ht="14.1" hidden="false" customHeight="true" outlineLevel="0" collapsed="false">
      <c r="A591" s="1115" t="n">
        <v>17950</v>
      </c>
      <c r="B591" s="1115" t="s">
        <v>162</v>
      </c>
      <c r="C591" s="1115" t="n">
        <v>17950</v>
      </c>
      <c r="D591" s="1115" t="s">
        <v>1837</v>
      </c>
      <c r="E591" s="1115" t="s">
        <v>1838</v>
      </c>
      <c r="F591" s="1115" t="n">
        <v>44160</v>
      </c>
      <c r="G591" s="1115" t="n">
        <v>17950</v>
      </c>
      <c r="H591" s="1115" t="s">
        <v>1837</v>
      </c>
      <c r="I591" s="1115" t="n">
        <v>18100</v>
      </c>
      <c r="J591" s="1115" t="s">
        <v>843</v>
      </c>
    </row>
    <row r="592" customFormat="false" ht="14.1" hidden="false" customHeight="true" outlineLevel="0" collapsed="false">
      <c r="A592" s="1115" t="n">
        <v>17970</v>
      </c>
      <c r="B592" s="1115" t="s">
        <v>162</v>
      </c>
      <c r="C592" s="1115" t="n">
        <v>17970</v>
      </c>
      <c r="D592" s="1115" t="s">
        <v>1839</v>
      </c>
      <c r="E592" s="1115" t="s">
        <v>1840</v>
      </c>
      <c r="F592" s="1115" t="n">
        <v>19160</v>
      </c>
      <c r="G592" s="1115" t="n">
        <v>17970</v>
      </c>
      <c r="H592" s="1115" t="s">
        <v>1839</v>
      </c>
      <c r="I592" s="1115" t="n">
        <v>18120</v>
      </c>
      <c r="J592" s="1115" t="s">
        <v>843</v>
      </c>
    </row>
    <row r="593" customFormat="false" ht="14.1" hidden="false" customHeight="true" outlineLevel="0" collapsed="false">
      <c r="A593" s="1115" t="n">
        <v>18100</v>
      </c>
      <c r="B593" s="1115" t="s">
        <v>162</v>
      </c>
      <c r="C593" s="1115" t="n">
        <v>18100</v>
      </c>
      <c r="D593" s="1115" t="s">
        <v>843</v>
      </c>
      <c r="E593" s="1115" t="s">
        <v>1422</v>
      </c>
      <c r="F593" s="1115" t="n">
        <v>7590</v>
      </c>
      <c r="G593" s="1115" t="n">
        <v>18100</v>
      </c>
      <c r="H593" s="1115" t="s">
        <v>843</v>
      </c>
      <c r="I593" s="1115" t="n">
        <v>18130</v>
      </c>
      <c r="J593" s="1115" t="s">
        <v>843</v>
      </c>
    </row>
    <row r="594" customFormat="false" ht="14.1" hidden="false" customHeight="true" outlineLevel="0" collapsed="false">
      <c r="A594" s="1115" t="n">
        <v>18120</v>
      </c>
      <c r="B594" s="1115" t="s">
        <v>162</v>
      </c>
      <c r="C594" s="1115" t="n">
        <v>18120</v>
      </c>
      <c r="D594" s="1115" t="s">
        <v>843</v>
      </c>
      <c r="E594" s="1115" t="s">
        <v>1841</v>
      </c>
      <c r="F594" s="1115" t="n">
        <v>60510</v>
      </c>
      <c r="G594" s="1115" t="n">
        <v>18120</v>
      </c>
      <c r="H594" s="1115" t="s">
        <v>843</v>
      </c>
      <c r="I594" s="1115" t="n">
        <v>18150</v>
      </c>
      <c r="J594" s="1115" t="s">
        <v>843</v>
      </c>
    </row>
    <row r="595" customFormat="false" ht="14.1" hidden="false" customHeight="true" outlineLevel="0" collapsed="false">
      <c r="A595" s="1115" t="n">
        <v>18130</v>
      </c>
      <c r="B595" s="1115" t="s">
        <v>162</v>
      </c>
      <c r="C595" s="1115" t="n">
        <v>18130</v>
      </c>
      <c r="D595" s="1115" t="s">
        <v>843</v>
      </c>
      <c r="E595" s="1115" t="s">
        <v>1842</v>
      </c>
      <c r="F595" s="1115" t="n">
        <v>83220</v>
      </c>
      <c r="G595" s="1115" t="n">
        <v>18130</v>
      </c>
      <c r="H595" s="1115" t="s">
        <v>843</v>
      </c>
      <c r="I595" s="1115" t="n">
        <v>18200</v>
      </c>
      <c r="J595" s="1115" t="s">
        <v>843</v>
      </c>
    </row>
    <row r="596" customFormat="false" ht="14.1" hidden="false" customHeight="true" outlineLevel="0" collapsed="false">
      <c r="A596" s="1115" t="n">
        <v>18150</v>
      </c>
      <c r="B596" s="1115" t="s">
        <v>162</v>
      </c>
      <c r="C596" s="1115" t="n">
        <v>18150</v>
      </c>
      <c r="D596" s="1115" t="s">
        <v>843</v>
      </c>
      <c r="E596" s="1115" t="s">
        <v>1843</v>
      </c>
      <c r="F596" s="1115" t="n">
        <v>91540</v>
      </c>
      <c r="G596" s="1115" t="n">
        <v>18150</v>
      </c>
      <c r="H596" s="1115" t="s">
        <v>843</v>
      </c>
      <c r="I596" s="1115" t="n">
        <v>18300</v>
      </c>
      <c r="J596" s="1115" t="s">
        <v>843</v>
      </c>
    </row>
    <row r="597" customFormat="false" ht="14.1" hidden="false" customHeight="true" outlineLevel="0" collapsed="false">
      <c r="A597" s="1115" t="n">
        <v>18200</v>
      </c>
      <c r="B597" s="1115" t="s">
        <v>162</v>
      </c>
      <c r="C597" s="1115" t="n">
        <v>18200</v>
      </c>
      <c r="D597" s="1115" t="s">
        <v>843</v>
      </c>
      <c r="E597" s="1115" t="s">
        <v>1522</v>
      </c>
      <c r="F597" s="1115" t="n">
        <v>9710</v>
      </c>
      <c r="G597" s="1115" t="n">
        <v>18200</v>
      </c>
      <c r="H597" s="1115" t="s">
        <v>843</v>
      </c>
      <c r="I597" s="1115" t="n">
        <v>18600</v>
      </c>
      <c r="J597" s="1115" t="s">
        <v>843</v>
      </c>
    </row>
    <row r="598" customFormat="false" ht="14.1" hidden="false" customHeight="true" outlineLevel="0" collapsed="false">
      <c r="A598" s="1115" t="n">
        <v>18300</v>
      </c>
      <c r="B598" s="1115" t="s">
        <v>162</v>
      </c>
      <c r="C598" s="1115" t="n">
        <v>18300</v>
      </c>
      <c r="D598" s="1115" t="s">
        <v>843</v>
      </c>
      <c r="E598" s="1115" t="s">
        <v>1844</v>
      </c>
      <c r="F598" s="1115" t="n">
        <v>32320</v>
      </c>
      <c r="G598" s="1115" t="n">
        <v>18300</v>
      </c>
      <c r="H598" s="1115" t="s">
        <v>843</v>
      </c>
      <c r="I598" s="1115" t="n">
        <v>19110</v>
      </c>
      <c r="J598" s="1115" t="s">
        <v>843</v>
      </c>
    </row>
    <row r="599" customFormat="false" ht="14.1" hidden="false" customHeight="true" outlineLevel="0" collapsed="false">
      <c r="A599" s="1115" t="n">
        <v>18600</v>
      </c>
      <c r="B599" s="1115" t="s">
        <v>162</v>
      </c>
      <c r="C599" s="1115" t="n">
        <v>18600</v>
      </c>
      <c r="D599" s="1115" t="s">
        <v>1845</v>
      </c>
      <c r="E599" s="1115" t="s">
        <v>863</v>
      </c>
      <c r="F599" s="1115" t="n">
        <v>89400</v>
      </c>
      <c r="G599" s="1115" t="n">
        <v>18600</v>
      </c>
      <c r="H599" s="1115" t="s">
        <v>1845</v>
      </c>
      <c r="I599" s="1115" t="n">
        <v>19120</v>
      </c>
      <c r="J599" s="1115" t="s">
        <v>843</v>
      </c>
    </row>
    <row r="600" customFormat="false" ht="14.1" hidden="false" customHeight="true" outlineLevel="0" collapsed="false">
      <c r="A600" s="1115" t="n">
        <v>19110</v>
      </c>
      <c r="B600" s="1115" t="s">
        <v>162</v>
      </c>
      <c r="C600" s="1115" t="n">
        <v>19110</v>
      </c>
      <c r="D600" s="1115" t="s">
        <v>1846</v>
      </c>
      <c r="E600" s="1115" t="s">
        <v>1847</v>
      </c>
      <c r="F600" s="1115" t="n">
        <v>95130</v>
      </c>
      <c r="G600" s="1115" t="n">
        <v>19110</v>
      </c>
      <c r="H600" s="1115" t="s">
        <v>1846</v>
      </c>
      <c r="I600" s="1115" t="n">
        <v>19150</v>
      </c>
      <c r="J600" s="1115" t="s">
        <v>875</v>
      </c>
    </row>
    <row r="601" customFormat="false" ht="14.1" hidden="false" customHeight="true" outlineLevel="0" collapsed="false">
      <c r="A601" s="1115" t="n">
        <v>19120</v>
      </c>
      <c r="B601" s="1115" t="s">
        <v>162</v>
      </c>
      <c r="C601" s="1115" t="n">
        <v>19120</v>
      </c>
      <c r="D601" s="1115" t="s">
        <v>1846</v>
      </c>
      <c r="E601" s="1115" t="s">
        <v>1848</v>
      </c>
      <c r="F601" s="1115" t="n">
        <v>54310</v>
      </c>
      <c r="G601" s="1115" t="n">
        <v>19120</v>
      </c>
      <c r="H601" s="1115" t="s">
        <v>1846</v>
      </c>
      <c r="I601" s="1115" t="n">
        <v>19160</v>
      </c>
      <c r="J601" s="1115" t="s">
        <v>875</v>
      </c>
    </row>
    <row r="602" customFormat="false" ht="14.1" hidden="false" customHeight="true" outlineLevel="0" collapsed="false">
      <c r="A602" s="1115" t="n">
        <v>19150</v>
      </c>
      <c r="B602" s="1115" t="s">
        <v>162</v>
      </c>
      <c r="C602" s="1115" t="n">
        <v>19150</v>
      </c>
      <c r="D602" s="1115" t="s">
        <v>1849</v>
      </c>
      <c r="E602" s="1115" t="s">
        <v>1850</v>
      </c>
      <c r="F602" s="1115" t="n">
        <v>44330</v>
      </c>
      <c r="G602" s="1115" t="n">
        <v>19150</v>
      </c>
      <c r="H602" s="1115" t="s">
        <v>1849</v>
      </c>
      <c r="I602" s="1115" t="n">
        <v>19210</v>
      </c>
      <c r="J602" s="1115" t="s">
        <v>875</v>
      </c>
    </row>
    <row r="603" customFormat="false" ht="14.1" hidden="false" customHeight="true" outlineLevel="0" collapsed="false">
      <c r="A603" s="1115" t="n">
        <v>19160</v>
      </c>
      <c r="B603" s="1115" t="s">
        <v>162</v>
      </c>
      <c r="C603" s="1115" t="n">
        <v>19160</v>
      </c>
      <c r="D603" s="1115" t="s">
        <v>1840</v>
      </c>
      <c r="E603" s="1115" t="s">
        <v>864</v>
      </c>
      <c r="F603" s="1115" t="n">
        <v>5460</v>
      </c>
      <c r="G603" s="1115" t="n">
        <v>19160</v>
      </c>
      <c r="H603" s="1115" t="s">
        <v>1840</v>
      </c>
      <c r="I603" s="1115" t="n">
        <v>19220</v>
      </c>
      <c r="J603" s="1115" t="s">
        <v>875</v>
      </c>
    </row>
    <row r="604" customFormat="false" ht="14.1" hidden="false" customHeight="true" outlineLevel="0" collapsed="false">
      <c r="A604" s="1115" t="n">
        <v>19210</v>
      </c>
      <c r="B604" s="1115" t="s">
        <v>162</v>
      </c>
      <c r="C604" s="1115" t="n">
        <v>19210</v>
      </c>
      <c r="D604" s="1115" t="s">
        <v>1851</v>
      </c>
      <c r="E604" s="1115" t="s">
        <v>864</v>
      </c>
      <c r="F604" s="1115" t="n">
        <v>5470</v>
      </c>
      <c r="G604" s="1115" t="n">
        <v>19210</v>
      </c>
      <c r="H604" s="1115" t="s">
        <v>1851</v>
      </c>
      <c r="I604" s="1115" t="n">
        <v>19230</v>
      </c>
      <c r="J604" s="1115" t="s">
        <v>1537</v>
      </c>
    </row>
    <row r="605" customFormat="false" ht="14.1" hidden="false" customHeight="true" outlineLevel="0" collapsed="false">
      <c r="A605" s="1115" t="n">
        <v>19220</v>
      </c>
      <c r="B605" s="1115" t="s">
        <v>162</v>
      </c>
      <c r="C605" s="1115" t="n">
        <v>19220</v>
      </c>
      <c r="D605" s="1115" t="s">
        <v>1852</v>
      </c>
      <c r="E605" s="1115" t="s">
        <v>864</v>
      </c>
      <c r="F605" s="1115" t="n">
        <v>5510</v>
      </c>
      <c r="G605" s="1115" t="n">
        <v>19220</v>
      </c>
      <c r="H605" s="1115" t="s">
        <v>1852</v>
      </c>
      <c r="I605" s="1115" t="n">
        <v>19250</v>
      </c>
      <c r="J605" s="1115" t="s">
        <v>1537</v>
      </c>
    </row>
    <row r="606" customFormat="false" ht="14.1" hidden="false" customHeight="true" outlineLevel="0" collapsed="false">
      <c r="A606" s="1115" t="n">
        <v>19230</v>
      </c>
      <c r="B606" s="1115" t="s">
        <v>162</v>
      </c>
      <c r="C606" s="1115" t="n">
        <v>19230</v>
      </c>
      <c r="D606" s="1115" t="s">
        <v>1853</v>
      </c>
      <c r="E606" s="1115" t="s">
        <v>864</v>
      </c>
      <c r="F606" s="1115" t="n">
        <v>5620</v>
      </c>
      <c r="G606" s="1115" t="n">
        <v>19230</v>
      </c>
      <c r="H606" s="1115" t="s">
        <v>1853</v>
      </c>
      <c r="I606" s="1115" t="n">
        <v>19260</v>
      </c>
      <c r="J606" s="1115" t="s">
        <v>1537</v>
      </c>
    </row>
    <row r="607" customFormat="false" ht="14.1" hidden="false" customHeight="true" outlineLevel="0" collapsed="false">
      <c r="A607" s="1115" t="n">
        <v>19250</v>
      </c>
      <c r="B607" s="1115" t="s">
        <v>162</v>
      </c>
      <c r="C607" s="1115" t="n">
        <v>19250</v>
      </c>
      <c r="D607" s="1115" t="s">
        <v>1854</v>
      </c>
      <c r="E607" s="1115" t="s">
        <v>864</v>
      </c>
      <c r="F607" s="1115" t="n">
        <v>5720</v>
      </c>
      <c r="G607" s="1115" t="n">
        <v>19250</v>
      </c>
      <c r="H607" s="1115" t="s">
        <v>1854</v>
      </c>
      <c r="I607" s="1115" t="n">
        <v>19310</v>
      </c>
      <c r="J607" s="1115" t="s">
        <v>1537</v>
      </c>
    </row>
    <row r="608" customFormat="false" ht="14.1" hidden="false" customHeight="true" outlineLevel="0" collapsed="false">
      <c r="A608" s="1115" t="n">
        <v>19260</v>
      </c>
      <c r="B608" s="1115" t="s">
        <v>162</v>
      </c>
      <c r="C608" s="1115" t="n">
        <v>19260</v>
      </c>
      <c r="D608" s="1115" t="s">
        <v>1855</v>
      </c>
      <c r="E608" s="1115" t="s">
        <v>864</v>
      </c>
      <c r="F608" s="1115" t="n">
        <v>5800</v>
      </c>
      <c r="G608" s="1115" t="n">
        <v>19260</v>
      </c>
      <c r="H608" s="1115" t="s">
        <v>1855</v>
      </c>
      <c r="I608" s="1115" t="n">
        <v>19320</v>
      </c>
      <c r="J608" s="1115" t="s">
        <v>1537</v>
      </c>
    </row>
    <row r="609" customFormat="false" ht="14.1" hidden="false" customHeight="true" outlineLevel="0" collapsed="false">
      <c r="A609" s="1115" t="n">
        <v>19310</v>
      </c>
      <c r="B609" s="1115" t="s">
        <v>162</v>
      </c>
      <c r="C609" s="1115" t="n">
        <v>19310</v>
      </c>
      <c r="D609" s="1115" t="s">
        <v>1856</v>
      </c>
      <c r="E609" s="1115" t="s">
        <v>864</v>
      </c>
      <c r="F609" s="1115" t="n">
        <v>5810</v>
      </c>
      <c r="G609" s="1115" t="n">
        <v>19310</v>
      </c>
      <c r="H609" s="1115" t="s">
        <v>1856</v>
      </c>
      <c r="I609" s="1115" t="n">
        <v>19340</v>
      </c>
      <c r="J609" s="1115" t="s">
        <v>1537</v>
      </c>
    </row>
    <row r="610" customFormat="false" ht="14.1" hidden="false" customHeight="true" outlineLevel="0" collapsed="false">
      <c r="A610" s="1115" t="n">
        <v>19320</v>
      </c>
      <c r="B610" s="1115" t="s">
        <v>162</v>
      </c>
      <c r="C610" s="1115" t="n">
        <v>19320</v>
      </c>
      <c r="D610" s="1115" t="s">
        <v>1857</v>
      </c>
      <c r="E610" s="1115" t="s">
        <v>864</v>
      </c>
      <c r="F610" s="1115" t="n">
        <v>5820</v>
      </c>
      <c r="G610" s="1115" t="n">
        <v>19320</v>
      </c>
      <c r="H610" s="1115" t="s">
        <v>1857</v>
      </c>
      <c r="I610" s="1115" t="n">
        <v>19350</v>
      </c>
      <c r="J610" s="1115" t="s">
        <v>1537</v>
      </c>
    </row>
    <row r="611" customFormat="false" ht="14.1" hidden="false" customHeight="true" outlineLevel="0" collapsed="false">
      <c r="A611" s="1115" t="n">
        <v>19340</v>
      </c>
      <c r="B611" s="1115" t="s">
        <v>162</v>
      </c>
      <c r="C611" s="1115" t="n">
        <v>19340</v>
      </c>
      <c r="D611" s="1115" t="s">
        <v>1858</v>
      </c>
      <c r="E611" s="1115" t="s">
        <v>864</v>
      </c>
      <c r="F611" s="1115" t="n">
        <v>5830</v>
      </c>
      <c r="G611" s="1115" t="n">
        <v>19340</v>
      </c>
      <c r="H611" s="1115" t="s">
        <v>1858</v>
      </c>
      <c r="I611" s="1115" t="n">
        <v>19370</v>
      </c>
      <c r="J611" s="1115" t="s">
        <v>1537</v>
      </c>
    </row>
    <row r="612" customFormat="false" ht="14.1" hidden="false" customHeight="true" outlineLevel="0" collapsed="false">
      <c r="A612" s="1115" t="n">
        <v>19350</v>
      </c>
      <c r="B612" s="1115" t="s">
        <v>162</v>
      </c>
      <c r="C612" s="1115" t="n">
        <v>19350</v>
      </c>
      <c r="D612" s="1115" t="s">
        <v>1859</v>
      </c>
      <c r="E612" s="1115" t="s">
        <v>864</v>
      </c>
      <c r="F612" s="1115" t="n">
        <v>5840</v>
      </c>
      <c r="G612" s="1115" t="n">
        <v>19350</v>
      </c>
      <c r="H612" s="1115" t="s">
        <v>1859</v>
      </c>
      <c r="I612" s="1115" t="n">
        <v>19380</v>
      </c>
      <c r="J612" s="1115" t="s">
        <v>1537</v>
      </c>
    </row>
    <row r="613" customFormat="false" ht="14.1" hidden="false" customHeight="true" outlineLevel="0" collapsed="false">
      <c r="A613" s="1115" t="n">
        <v>19370</v>
      </c>
      <c r="B613" s="1115" t="s">
        <v>162</v>
      </c>
      <c r="C613" s="1115" t="n">
        <v>19370</v>
      </c>
      <c r="D613" s="1115" t="s">
        <v>1860</v>
      </c>
      <c r="E613" s="1115" t="s">
        <v>864</v>
      </c>
      <c r="F613" s="1115" t="n">
        <v>5850</v>
      </c>
      <c r="G613" s="1115" t="n">
        <v>19370</v>
      </c>
      <c r="H613" s="1115" t="s">
        <v>1860</v>
      </c>
      <c r="I613" s="1115" t="n">
        <v>19410</v>
      </c>
      <c r="J613" s="1115" t="s">
        <v>1336</v>
      </c>
    </row>
    <row r="614" customFormat="false" ht="14.1" hidden="false" customHeight="true" outlineLevel="0" collapsed="false">
      <c r="A614" s="1115" t="n">
        <v>19380</v>
      </c>
      <c r="B614" s="1115" t="s">
        <v>162</v>
      </c>
      <c r="C614" s="1115" t="n">
        <v>19380</v>
      </c>
      <c r="D614" s="1115" t="s">
        <v>1527</v>
      </c>
      <c r="E614" s="1115" t="s">
        <v>864</v>
      </c>
      <c r="F614" s="1115" t="n">
        <v>5860</v>
      </c>
      <c r="G614" s="1115" t="n">
        <v>19380</v>
      </c>
      <c r="H614" s="1115" t="s">
        <v>1527</v>
      </c>
      <c r="I614" s="1115" t="n">
        <v>19420</v>
      </c>
      <c r="J614" s="1115" t="s">
        <v>1336</v>
      </c>
    </row>
    <row r="615" customFormat="false" ht="14.1" hidden="false" customHeight="true" outlineLevel="0" collapsed="false">
      <c r="A615" s="1115" t="n">
        <v>19410</v>
      </c>
      <c r="B615" s="1115" t="s">
        <v>162</v>
      </c>
      <c r="C615" s="1115" t="n">
        <v>19410</v>
      </c>
      <c r="D615" s="1115" t="s">
        <v>1861</v>
      </c>
      <c r="E615" s="1115" t="s">
        <v>864</v>
      </c>
      <c r="F615" s="1115" t="n">
        <v>5880</v>
      </c>
      <c r="G615" s="1115" t="n">
        <v>19410</v>
      </c>
      <c r="H615" s="1115" t="s">
        <v>1861</v>
      </c>
      <c r="I615" s="1115" t="n">
        <v>19430</v>
      </c>
      <c r="J615" s="1115" t="s">
        <v>1336</v>
      </c>
    </row>
    <row r="616" customFormat="false" ht="14.1" hidden="false" customHeight="true" outlineLevel="0" collapsed="false">
      <c r="A616" s="1115" t="n">
        <v>19420</v>
      </c>
      <c r="B616" s="1115" t="s">
        <v>162</v>
      </c>
      <c r="C616" s="1115" t="n">
        <v>19420</v>
      </c>
      <c r="D616" s="1115" t="s">
        <v>1862</v>
      </c>
      <c r="E616" s="1115" t="s">
        <v>864</v>
      </c>
      <c r="F616" s="1115" t="n">
        <v>5900</v>
      </c>
      <c r="G616" s="1115" t="n">
        <v>19420</v>
      </c>
      <c r="H616" s="1115" t="s">
        <v>1862</v>
      </c>
      <c r="I616" s="1115" t="n">
        <v>19440</v>
      </c>
      <c r="J616" s="1115" t="s">
        <v>1336</v>
      </c>
    </row>
    <row r="617" customFormat="false" ht="14.1" hidden="false" customHeight="true" outlineLevel="0" collapsed="false">
      <c r="A617" s="1115" t="n">
        <v>19430</v>
      </c>
      <c r="B617" s="1115" t="s">
        <v>162</v>
      </c>
      <c r="C617" s="1115" t="n">
        <v>19430</v>
      </c>
      <c r="D617" s="1115" t="s">
        <v>1336</v>
      </c>
      <c r="E617" s="1115" t="s">
        <v>864</v>
      </c>
      <c r="F617" s="1115" t="n">
        <v>5950</v>
      </c>
      <c r="G617" s="1115" t="n">
        <v>19430</v>
      </c>
      <c r="H617" s="1115" t="s">
        <v>1336</v>
      </c>
      <c r="I617" s="1115" t="n">
        <v>19460</v>
      </c>
      <c r="J617" s="1115" t="s">
        <v>1336</v>
      </c>
    </row>
    <row r="618" customFormat="false" ht="14.1" hidden="false" customHeight="true" outlineLevel="0" collapsed="false">
      <c r="A618" s="1115" t="n">
        <v>19440</v>
      </c>
      <c r="B618" s="1115" t="s">
        <v>162</v>
      </c>
      <c r="C618" s="1115" t="n">
        <v>19440</v>
      </c>
      <c r="D618" s="1115" t="s">
        <v>1863</v>
      </c>
      <c r="E618" s="1115" t="s">
        <v>1775</v>
      </c>
      <c r="F618" s="1115" t="n">
        <v>16830</v>
      </c>
      <c r="G618" s="1115" t="n">
        <v>19440</v>
      </c>
      <c r="H618" s="1115" t="s">
        <v>1863</v>
      </c>
      <c r="I618" s="1115" t="n">
        <v>19470</v>
      </c>
      <c r="J618" s="1115" t="s">
        <v>1336</v>
      </c>
    </row>
    <row r="619" customFormat="false" ht="14.1" hidden="false" customHeight="true" outlineLevel="0" collapsed="false">
      <c r="A619" s="1115" t="n">
        <v>19460</v>
      </c>
      <c r="B619" s="1115" t="s">
        <v>162</v>
      </c>
      <c r="C619" s="1115" t="n">
        <v>19460</v>
      </c>
      <c r="D619" s="1115" t="s">
        <v>1864</v>
      </c>
      <c r="E619" s="1115" t="s">
        <v>1865</v>
      </c>
      <c r="F619" s="1115" t="n">
        <v>38470</v>
      </c>
      <c r="G619" s="1115" t="n">
        <v>19460</v>
      </c>
      <c r="H619" s="1115" t="s">
        <v>1864</v>
      </c>
      <c r="I619" s="1115" t="n">
        <v>19480</v>
      </c>
      <c r="J619" s="1115" t="s">
        <v>1336</v>
      </c>
    </row>
    <row r="620" customFormat="false" ht="14.1" hidden="false" customHeight="true" outlineLevel="0" collapsed="false">
      <c r="A620" s="1115" t="n">
        <v>19470</v>
      </c>
      <c r="B620" s="1115" t="s">
        <v>162</v>
      </c>
      <c r="C620" s="1115" t="n">
        <v>19470</v>
      </c>
      <c r="D620" s="1115" t="s">
        <v>1866</v>
      </c>
      <c r="E620" s="1115" t="s">
        <v>1867</v>
      </c>
      <c r="F620" s="1115" t="n">
        <v>61940</v>
      </c>
      <c r="G620" s="1115" t="n">
        <v>19470</v>
      </c>
      <c r="H620" s="1115" t="s">
        <v>1866</v>
      </c>
      <c r="I620" s="1115" t="n">
        <v>19510</v>
      </c>
      <c r="J620" s="1115" t="s">
        <v>828</v>
      </c>
    </row>
    <row r="621" customFormat="false" ht="14.1" hidden="false" customHeight="true" outlineLevel="0" collapsed="false">
      <c r="A621" s="1115" t="n">
        <v>19480</v>
      </c>
      <c r="B621" s="1115" t="s">
        <v>162</v>
      </c>
      <c r="C621" s="1115" t="n">
        <v>19480</v>
      </c>
      <c r="D621" s="1115" t="s">
        <v>1438</v>
      </c>
      <c r="E621" s="1115" t="s">
        <v>1208</v>
      </c>
      <c r="F621" s="1115" t="n">
        <v>3870</v>
      </c>
      <c r="G621" s="1115" t="n">
        <v>19480</v>
      </c>
      <c r="H621" s="1115" t="s">
        <v>1438</v>
      </c>
      <c r="I621" s="1115" t="n">
        <v>19520</v>
      </c>
      <c r="J621" s="1115" t="s">
        <v>828</v>
      </c>
    </row>
    <row r="622" customFormat="false" ht="14.1" hidden="false" customHeight="true" outlineLevel="0" collapsed="false">
      <c r="A622" s="1115" t="n">
        <v>19510</v>
      </c>
      <c r="B622" s="1115" t="s">
        <v>162</v>
      </c>
      <c r="C622" s="1115" t="n">
        <v>19510</v>
      </c>
      <c r="D622" s="1115" t="s">
        <v>1868</v>
      </c>
      <c r="E622" s="1115" t="s">
        <v>1869</v>
      </c>
      <c r="F622" s="1115" t="n">
        <v>38420</v>
      </c>
      <c r="G622" s="1115" t="n">
        <v>19510</v>
      </c>
      <c r="H622" s="1115" t="s">
        <v>1868</v>
      </c>
      <c r="I622" s="1115" t="n">
        <v>19530</v>
      </c>
      <c r="J622" s="1115" t="s">
        <v>828</v>
      </c>
    </row>
    <row r="623" customFormat="false" ht="14.1" hidden="false" customHeight="true" outlineLevel="0" collapsed="false">
      <c r="A623" s="1115" t="n">
        <v>19520</v>
      </c>
      <c r="B623" s="1115" t="s">
        <v>162</v>
      </c>
      <c r="C623" s="1115" t="n">
        <v>19520</v>
      </c>
      <c r="D623" s="1115" t="s">
        <v>1870</v>
      </c>
      <c r="E623" s="1115" t="s">
        <v>1871</v>
      </c>
      <c r="F623" s="1115" t="n">
        <v>43170</v>
      </c>
      <c r="G623" s="1115" t="n">
        <v>19520</v>
      </c>
      <c r="H623" s="1115" t="s">
        <v>1870</v>
      </c>
      <c r="I623" s="1115" t="n">
        <v>19540</v>
      </c>
      <c r="J623" s="1115" t="s">
        <v>828</v>
      </c>
    </row>
    <row r="624" customFormat="false" ht="14.1" hidden="false" customHeight="true" outlineLevel="0" collapsed="false">
      <c r="A624" s="1115" t="n">
        <v>19530</v>
      </c>
      <c r="B624" s="1115" t="s">
        <v>162</v>
      </c>
      <c r="C624" s="1115" t="n">
        <v>19530</v>
      </c>
      <c r="D624" s="1115" t="s">
        <v>1872</v>
      </c>
      <c r="E624" s="1115" t="s">
        <v>1873</v>
      </c>
      <c r="F624" s="1115" t="n">
        <v>77340</v>
      </c>
      <c r="G624" s="1115" t="n">
        <v>19530</v>
      </c>
      <c r="H624" s="1115" t="s">
        <v>1872</v>
      </c>
      <c r="I624" s="1115" t="n">
        <v>19560</v>
      </c>
      <c r="J624" s="1115" t="s">
        <v>828</v>
      </c>
    </row>
    <row r="625" customFormat="false" ht="14.1" hidden="false" customHeight="true" outlineLevel="0" collapsed="false">
      <c r="A625" s="1115" t="n">
        <v>19540</v>
      </c>
      <c r="B625" s="1115" t="s">
        <v>162</v>
      </c>
      <c r="C625" s="1115" t="n">
        <v>19540</v>
      </c>
      <c r="D625" s="1115" t="s">
        <v>1874</v>
      </c>
      <c r="E625" s="1115" t="s">
        <v>1875</v>
      </c>
      <c r="F625" s="1115" t="n">
        <v>58270</v>
      </c>
      <c r="G625" s="1115" t="n">
        <v>19540</v>
      </c>
      <c r="H625" s="1115" t="s">
        <v>1874</v>
      </c>
      <c r="I625" s="1115" t="n">
        <v>19600</v>
      </c>
      <c r="J625" s="1115" t="s">
        <v>828</v>
      </c>
    </row>
    <row r="626" customFormat="false" ht="14.1" hidden="false" customHeight="true" outlineLevel="0" collapsed="false">
      <c r="A626" s="1115" t="n">
        <v>19560</v>
      </c>
      <c r="B626" s="1115" t="s">
        <v>162</v>
      </c>
      <c r="C626" s="1115" t="n">
        <v>19560</v>
      </c>
      <c r="D626" s="1115" t="s">
        <v>1876</v>
      </c>
      <c r="E626" s="1115" t="s">
        <v>868</v>
      </c>
      <c r="F626" s="1115" t="n">
        <v>39100</v>
      </c>
      <c r="G626" s="1115" t="n">
        <v>19560</v>
      </c>
      <c r="H626" s="1115" t="s">
        <v>1876</v>
      </c>
      <c r="I626" s="1115" t="n">
        <v>19610</v>
      </c>
      <c r="J626" s="1115" t="s">
        <v>828</v>
      </c>
    </row>
    <row r="627" customFormat="false" ht="14.1" hidden="false" customHeight="true" outlineLevel="0" collapsed="false">
      <c r="A627" s="1115" t="n">
        <v>19600</v>
      </c>
      <c r="B627" s="1115" t="s">
        <v>162</v>
      </c>
      <c r="C627" s="1115" t="n">
        <v>19600</v>
      </c>
      <c r="D627" s="1115" t="s">
        <v>828</v>
      </c>
      <c r="E627" s="1115" t="s">
        <v>870</v>
      </c>
      <c r="F627" s="1115" t="n">
        <v>13100</v>
      </c>
      <c r="G627" s="1115" t="n">
        <v>19600</v>
      </c>
      <c r="H627" s="1115" t="s">
        <v>828</v>
      </c>
      <c r="I627" s="1115" t="n">
        <v>19620</v>
      </c>
      <c r="J627" s="1115" t="s">
        <v>828</v>
      </c>
    </row>
    <row r="628" customFormat="false" ht="14.1" hidden="false" customHeight="true" outlineLevel="0" collapsed="false">
      <c r="A628" s="1115" t="n">
        <v>19610</v>
      </c>
      <c r="B628" s="1115" t="s">
        <v>162</v>
      </c>
      <c r="C628" s="1115" t="n">
        <v>19610</v>
      </c>
      <c r="D628" s="1115" t="s">
        <v>1877</v>
      </c>
      <c r="E628" s="1115" t="s">
        <v>870</v>
      </c>
      <c r="F628" s="1115" t="n">
        <v>13100</v>
      </c>
      <c r="G628" s="1115" t="n">
        <v>19610</v>
      </c>
      <c r="H628" s="1115" t="s">
        <v>1877</v>
      </c>
      <c r="I628" s="1115" t="n">
        <v>19630</v>
      </c>
      <c r="J628" s="1115" t="s">
        <v>828</v>
      </c>
    </row>
    <row r="629" customFormat="false" ht="14.1" hidden="false" customHeight="true" outlineLevel="0" collapsed="false">
      <c r="A629" s="1115" t="n">
        <v>19620</v>
      </c>
      <c r="B629" s="1115" t="s">
        <v>162</v>
      </c>
      <c r="C629" s="1115" t="n">
        <v>19620</v>
      </c>
      <c r="D629" s="1115" t="s">
        <v>1878</v>
      </c>
      <c r="E629" s="1115" t="s">
        <v>870</v>
      </c>
      <c r="F629" s="1115" t="n">
        <v>13130</v>
      </c>
      <c r="G629" s="1115" t="n">
        <v>19620</v>
      </c>
      <c r="H629" s="1115" t="s">
        <v>1878</v>
      </c>
      <c r="I629" s="1115" t="n">
        <v>19650</v>
      </c>
      <c r="J629" s="1115" t="s">
        <v>913</v>
      </c>
    </row>
    <row r="630" customFormat="false" ht="14.1" hidden="false" customHeight="true" outlineLevel="0" collapsed="false">
      <c r="A630" s="1115" t="n">
        <v>19630</v>
      </c>
      <c r="B630" s="1115" t="s">
        <v>162</v>
      </c>
      <c r="C630" s="1115" t="n">
        <v>19630</v>
      </c>
      <c r="D630" s="1115" t="s">
        <v>1879</v>
      </c>
      <c r="E630" s="1115" t="s">
        <v>870</v>
      </c>
      <c r="F630" s="1115" t="n">
        <v>13200</v>
      </c>
      <c r="G630" s="1115" t="n">
        <v>19630</v>
      </c>
      <c r="H630" s="1115" t="s">
        <v>1879</v>
      </c>
      <c r="I630" s="1115" t="n">
        <v>19660</v>
      </c>
      <c r="J630" s="1115" t="s">
        <v>913</v>
      </c>
    </row>
    <row r="631" customFormat="false" ht="14.1" hidden="false" customHeight="true" outlineLevel="0" collapsed="false">
      <c r="A631" s="1115" t="n">
        <v>19650</v>
      </c>
      <c r="B631" s="1115" t="s">
        <v>162</v>
      </c>
      <c r="C631" s="1115" t="n">
        <v>19650</v>
      </c>
      <c r="D631" s="1115" t="s">
        <v>913</v>
      </c>
      <c r="E631" s="1115" t="s">
        <v>870</v>
      </c>
      <c r="F631" s="1115" t="n">
        <v>13210</v>
      </c>
      <c r="G631" s="1115" t="n">
        <v>19650</v>
      </c>
      <c r="H631" s="1115" t="s">
        <v>913</v>
      </c>
      <c r="I631" s="1115" t="n">
        <v>19670</v>
      </c>
      <c r="J631" s="1115" t="s">
        <v>913</v>
      </c>
    </row>
    <row r="632" customFormat="false" ht="14.1" hidden="false" customHeight="true" outlineLevel="0" collapsed="false">
      <c r="A632" s="1115" t="n">
        <v>19660</v>
      </c>
      <c r="B632" s="1115" t="s">
        <v>162</v>
      </c>
      <c r="C632" s="1115" t="n">
        <v>19660</v>
      </c>
      <c r="D632" s="1115" t="s">
        <v>1880</v>
      </c>
      <c r="E632" s="1115" t="s">
        <v>870</v>
      </c>
      <c r="F632" s="1115" t="n">
        <v>13270</v>
      </c>
      <c r="G632" s="1115" t="n">
        <v>19660</v>
      </c>
      <c r="H632" s="1115" t="s">
        <v>1880</v>
      </c>
      <c r="I632" s="1115" t="n">
        <v>19690</v>
      </c>
      <c r="J632" s="1115" t="s">
        <v>913</v>
      </c>
    </row>
    <row r="633" customFormat="false" ht="14.1" hidden="false" customHeight="true" outlineLevel="0" collapsed="false">
      <c r="A633" s="1115" t="n">
        <v>19670</v>
      </c>
      <c r="B633" s="1115" t="s">
        <v>162</v>
      </c>
      <c r="C633" s="1115" t="n">
        <v>19670</v>
      </c>
      <c r="D633" s="1115" t="s">
        <v>1881</v>
      </c>
      <c r="E633" s="1115" t="s">
        <v>870</v>
      </c>
      <c r="F633" s="1115" t="n">
        <v>13300</v>
      </c>
      <c r="G633" s="1115" t="n">
        <v>19670</v>
      </c>
      <c r="H633" s="1115" t="s">
        <v>1881</v>
      </c>
      <c r="I633" s="1115" t="n">
        <v>19700</v>
      </c>
      <c r="J633" s="1115" t="s">
        <v>913</v>
      </c>
    </row>
    <row r="634" customFormat="false" ht="14.1" hidden="false" customHeight="true" outlineLevel="0" collapsed="false">
      <c r="A634" s="1115" t="n">
        <v>19690</v>
      </c>
      <c r="B634" s="1115" t="s">
        <v>162</v>
      </c>
      <c r="C634" s="1115" t="n">
        <v>19690</v>
      </c>
      <c r="D634" s="1115" t="s">
        <v>1882</v>
      </c>
      <c r="E634" s="1115" t="s">
        <v>870</v>
      </c>
      <c r="F634" s="1115" t="n">
        <v>13400</v>
      </c>
      <c r="G634" s="1115" t="n">
        <v>19690</v>
      </c>
      <c r="H634" s="1115" t="s">
        <v>1882</v>
      </c>
      <c r="I634" s="1115" t="n">
        <v>19710</v>
      </c>
      <c r="J634" s="1115" t="s">
        <v>913</v>
      </c>
    </row>
    <row r="635" customFormat="false" ht="14.1" hidden="false" customHeight="true" outlineLevel="0" collapsed="false">
      <c r="A635" s="1115" t="n">
        <v>19700</v>
      </c>
      <c r="B635" s="1115" t="s">
        <v>162</v>
      </c>
      <c r="C635" s="1115" t="n">
        <v>19700</v>
      </c>
      <c r="D635" s="1115" t="s">
        <v>1537</v>
      </c>
      <c r="E635" s="1115" t="s">
        <v>870</v>
      </c>
      <c r="F635" s="1115" t="n">
        <v>13430</v>
      </c>
      <c r="G635" s="1115" t="n">
        <v>19700</v>
      </c>
      <c r="H635" s="1115" t="s">
        <v>1537</v>
      </c>
      <c r="I635" s="1115" t="n">
        <v>19730</v>
      </c>
      <c r="J635" s="1115" t="s">
        <v>913</v>
      </c>
    </row>
    <row r="636" customFormat="false" ht="14.1" hidden="false" customHeight="true" outlineLevel="0" collapsed="false">
      <c r="A636" s="1115" t="n">
        <v>19710</v>
      </c>
      <c r="B636" s="1115" t="s">
        <v>162</v>
      </c>
      <c r="C636" s="1115" t="n">
        <v>19710</v>
      </c>
      <c r="D636" s="1115" t="s">
        <v>1883</v>
      </c>
      <c r="E636" s="1115" t="s">
        <v>870</v>
      </c>
      <c r="F636" s="1115" t="n">
        <v>13500</v>
      </c>
      <c r="G636" s="1115" t="n">
        <v>19710</v>
      </c>
      <c r="H636" s="1115" t="s">
        <v>1883</v>
      </c>
      <c r="I636" s="1115" t="n">
        <v>19740</v>
      </c>
      <c r="J636" s="1115" t="s">
        <v>913</v>
      </c>
    </row>
    <row r="637" customFormat="false" ht="14.1" hidden="false" customHeight="true" outlineLevel="0" collapsed="false">
      <c r="A637" s="1115" t="n">
        <v>19730</v>
      </c>
      <c r="B637" s="1115" t="s">
        <v>162</v>
      </c>
      <c r="C637" s="1115" t="n">
        <v>19730</v>
      </c>
      <c r="D637" s="1115" t="s">
        <v>1884</v>
      </c>
      <c r="E637" s="1115" t="s">
        <v>870</v>
      </c>
      <c r="F637" s="1115" t="n">
        <v>13530</v>
      </c>
      <c r="G637" s="1115" t="n">
        <v>19730</v>
      </c>
      <c r="H637" s="1115" t="s">
        <v>1884</v>
      </c>
      <c r="I637" s="1115" t="n">
        <v>19770</v>
      </c>
      <c r="J637" s="1115" t="s">
        <v>913</v>
      </c>
    </row>
    <row r="638" customFormat="false" ht="14.1" hidden="false" customHeight="true" outlineLevel="0" collapsed="false">
      <c r="A638" s="1115" t="n">
        <v>19740</v>
      </c>
      <c r="B638" s="1115" t="s">
        <v>162</v>
      </c>
      <c r="C638" s="1115" t="n">
        <v>19740</v>
      </c>
      <c r="D638" s="1115" t="s">
        <v>1885</v>
      </c>
      <c r="E638" s="1115" t="s">
        <v>870</v>
      </c>
      <c r="F638" s="1115" t="n">
        <v>13600</v>
      </c>
      <c r="G638" s="1115" t="n">
        <v>19740</v>
      </c>
      <c r="H638" s="1115" t="s">
        <v>1885</v>
      </c>
      <c r="I638" s="1115" t="n">
        <v>19810</v>
      </c>
      <c r="J638" s="1115" t="s">
        <v>913</v>
      </c>
    </row>
    <row r="639" customFormat="false" ht="14.1" hidden="false" customHeight="true" outlineLevel="0" collapsed="false">
      <c r="A639" s="1115" t="n">
        <v>19770</v>
      </c>
      <c r="B639" s="1115" t="s">
        <v>162</v>
      </c>
      <c r="C639" s="1115" t="n">
        <v>19770</v>
      </c>
      <c r="D639" s="1115" t="s">
        <v>1886</v>
      </c>
      <c r="E639" s="1115" t="s">
        <v>1887</v>
      </c>
      <c r="F639" s="1115" t="n">
        <v>52580</v>
      </c>
      <c r="G639" s="1115" t="n">
        <v>19770</v>
      </c>
      <c r="H639" s="1115" t="s">
        <v>1886</v>
      </c>
      <c r="I639" s="1115" t="n">
        <v>19830</v>
      </c>
      <c r="J639" s="1115" t="s">
        <v>913</v>
      </c>
    </row>
    <row r="640" customFormat="false" ht="14.1" hidden="false" customHeight="true" outlineLevel="0" collapsed="false">
      <c r="A640" s="1115" t="n">
        <v>19810</v>
      </c>
      <c r="B640" s="1115" t="s">
        <v>162</v>
      </c>
      <c r="C640" s="1115" t="n">
        <v>19810</v>
      </c>
      <c r="D640" s="1115" t="s">
        <v>1888</v>
      </c>
      <c r="E640" s="1115" t="s">
        <v>1889</v>
      </c>
      <c r="F640" s="1115" t="n">
        <v>54670</v>
      </c>
      <c r="G640" s="1115" t="n">
        <v>19810</v>
      </c>
      <c r="H640" s="1115" t="s">
        <v>1888</v>
      </c>
      <c r="I640" s="1115" t="n">
        <v>19850</v>
      </c>
      <c r="J640" s="1115" t="s">
        <v>913</v>
      </c>
    </row>
    <row r="641" customFormat="false" ht="14.1" hidden="false" customHeight="true" outlineLevel="0" collapsed="false">
      <c r="A641" s="1115" t="n">
        <v>19830</v>
      </c>
      <c r="B641" s="1115" t="s">
        <v>162</v>
      </c>
      <c r="C641" s="1115" t="n">
        <v>19830</v>
      </c>
      <c r="D641" s="1115" t="s">
        <v>1364</v>
      </c>
      <c r="E641" s="1115" t="s">
        <v>1890</v>
      </c>
      <c r="F641" s="1115" t="n">
        <v>51340</v>
      </c>
      <c r="G641" s="1115" t="n">
        <v>19830</v>
      </c>
      <c r="H641" s="1115" t="s">
        <v>1364</v>
      </c>
      <c r="I641" s="1115" t="n">
        <v>19910</v>
      </c>
      <c r="J641" s="1115" t="s">
        <v>1194</v>
      </c>
    </row>
    <row r="642" customFormat="false" ht="14.1" hidden="false" customHeight="true" outlineLevel="0" collapsed="false">
      <c r="A642" s="1115" t="n">
        <v>19850</v>
      </c>
      <c r="B642" s="1115" t="s">
        <v>162</v>
      </c>
      <c r="C642" s="1115" t="n">
        <v>19850</v>
      </c>
      <c r="D642" s="1115" t="s">
        <v>1891</v>
      </c>
      <c r="E642" s="1115" t="s">
        <v>1892</v>
      </c>
      <c r="F642" s="1115" t="n">
        <v>44340</v>
      </c>
      <c r="G642" s="1115" t="n">
        <v>19850</v>
      </c>
      <c r="H642" s="1115" t="s">
        <v>1891</v>
      </c>
      <c r="I642" s="1115" t="n">
        <v>19920</v>
      </c>
      <c r="J642" s="1115" t="s">
        <v>1194</v>
      </c>
    </row>
    <row r="643" customFormat="false" ht="14.1" hidden="false" customHeight="true" outlineLevel="0" collapsed="false">
      <c r="A643" s="1115" t="n">
        <v>19910</v>
      </c>
      <c r="B643" s="1115" t="s">
        <v>162</v>
      </c>
      <c r="C643" s="1115" t="n">
        <v>19910</v>
      </c>
      <c r="D643" s="1115" t="s">
        <v>1893</v>
      </c>
      <c r="E643" s="1115" t="s">
        <v>1894</v>
      </c>
      <c r="F643" s="1115" t="n">
        <v>25350</v>
      </c>
      <c r="G643" s="1115" t="n">
        <v>19910</v>
      </c>
      <c r="H643" s="1115" t="s">
        <v>1893</v>
      </c>
      <c r="I643" s="1115" t="n">
        <v>19950</v>
      </c>
      <c r="J643" s="1115" t="s">
        <v>1194</v>
      </c>
    </row>
    <row r="644" customFormat="false" ht="14.1" hidden="false" customHeight="true" outlineLevel="0" collapsed="false">
      <c r="A644" s="1115" t="n">
        <v>19920</v>
      </c>
      <c r="B644" s="1115" t="s">
        <v>162</v>
      </c>
      <c r="C644" s="1115" t="n">
        <v>19920</v>
      </c>
      <c r="D644" s="1115" t="s">
        <v>1895</v>
      </c>
      <c r="E644" s="1115" t="s">
        <v>1896</v>
      </c>
      <c r="F644" s="1115" t="n">
        <v>51940</v>
      </c>
      <c r="G644" s="1115" t="n">
        <v>19920</v>
      </c>
      <c r="H644" s="1115" t="s">
        <v>1895</v>
      </c>
      <c r="I644" s="1115" t="n">
        <v>19970</v>
      </c>
      <c r="J644" s="1115" t="s">
        <v>164</v>
      </c>
    </row>
    <row r="645" customFormat="false" ht="14.1" hidden="false" customHeight="true" outlineLevel="0" collapsed="false">
      <c r="A645" s="1115" t="n">
        <v>19950</v>
      </c>
      <c r="B645" s="1115" t="s">
        <v>162</v>
      </c>
      <c r="C645" s="1115" t="n">
        <v>19950</v>
      </c>
      <c r="D645" s="1115" t="s">
        <v>1194</v>
      </c>
      <c r="E645" s="1115" t="s">
        <v>1897</v>
      </c>
      <c r="F645" s="1115" t="n">
        <v>64460</v>
      </c>
      <c r="G645" s="1115" t="n">
        <v>19950</v>
      </c>
      <c r="H645" s="1115" t="s">
        <v>1194</v>
      </c>
      <c r="I645" s="1115" t="n">
        <v>19980</v>
      </c>
      <c r="J645" s="1115" t="s">
        <v>164</v>
      </c>
    </row>
    <row r="646" customFormat="false" ht="14.1" hidden="false" customHeight="true" outlineLevel="0" collapsed="false">
      <c r="A646" s="1115" t="n">
        <v>19970</v>
      </c>
      <c r="B646" s="1115" t="s">
        <v>162</v>
      </c>
      <c r="C646" s="1115" t="n">
        <v>19970</v>
      </c>
      <c r="D646" s="1115" t="s">
        <v>1898</v>
      </c>
      <c r="E646" s="1115" t="s">
        <v>1447</v>
      </c>
      <c r="F646" s="1115" t="n">
        <v>7780</v>
      </c>
      <c r="G646" s="1115" t="n">
        <v>19970</v>
      </c>
      <c r="H646" s="1115" t="s">
        <v>1898</v>
      </c>
      <c r="I646" s="1115" t="n">
        <v>20007</v>
      </c>
      <c r="J646" s="1115" t="s">
        <v>160</v>
      </c>
    </row>
    <row r="647" customFormat="false" ht="14.1" hidden="false" customHeight="true" outlineLevel="0" collapsed="false">
      <c r="A647" s="1115" t="n">
        <v>19980</v>
      </c>
      <c r="B647" s="1115" t="s">
        <v>162</v>
      </c>
      <c r="C647" s="1115" t="n">
        <v>19980</v>
      </c>
      <c r="D647" s="1115" t="s">
        <v>1899</v>
      </c>
      <c r="E647" s="1115" t="s">
        <v>1900</v>
      </c>
      <c r="F647" s="1115" t="n">
        <v>62300</v>
      </c>
      <c r="G647" s="1115" t="n">
        <v>19980</v>
      </c>
      <c r="H647" s="1115" t="s">
        <v>1899</v>
      </c>
      <c r="I647" s="1115" t="n">
        <v>20100</v>
      </c>
      <c r="J647" s="1115" t="s">
        <v>160</v>
      </c>
    </row>
    <row r="648" customFormat="false" ht="14.1" hidden="false" customHeight="true" outlineLevel="0" collapsed="false">
      <c r="A648" s="1115" t="n">
        <v>20007</v>
      </c>
      <c r="B648" s="1115" t="s">
        <v>160</v>
      </c>
      <c r="C648" s="1115" t="n">
        <v>20007</v>
      </c>
      <c r="D648" s="1115" t="s">
        <v>160</v>
      </c>
      <c r="E648" s="1115" t="s">
        <v>1901</v>
      </c>
      <c r="F648" s="1115" t="n">
        <v>68710</v>
      </c>
      <c r="G648" s="1115" t="n">
        <v>20007</v>
      </c>
      <c r="H648" s="1115" t="s">
        <v>160</v>
      </c>
      <c r="I648" s="1115" t="n">
        <v>20110</v>
      </c>
      <c r="J648" s="1115" t="s">
        <v>160</v>
      </c>
    </row>
    <row r="649" customFormat="false" ht="14.1" hidden="false" customHeight="true" outlineLevel="0" collapsed="false">
      <c r="A649" s="1115" t="n">
        <v>20100</v>
      </c>
      <c r="B649" s="1115" t="s">
        <v>160</v>
      </c>
      <c r="C649" s="1115" t="n">
        <v>20100</v>
      </c>
      <c r="D649" s="1115" t="s">
        <v>160</v>
      </c>
      <c r="E649" s="1115" t="s">
        <v>1569</v>
      </c>
      <c r="F649" s="1115" t="n">
        <v>10620</v>
      </c>
      <c r="G649" s="1115" t="n">
        <v>20100</v>
      </c>
      <c r="H649" s="1115" t="s">
        <v>160</v>
      </c>
      <c r="I649" s="1115" t="n">
        <v>20120</v>
      </c>
      <c r="J649" s="1115" t="s">
        <v>160</v>
      </c>
    </row>
    <row r="650" customFormat="false" ht="14.1" hidden="false" customHeight="true" outlineLevel="0" collapsed="false">
      <c r="A650" s="1115" t="n">
        <v>20110</v>
      </c>
      <c r="B650" s="1115" t="s">
        <v>160</v>
      </c>
      <c r="C650" s="1115" t="n">
        <v>20110</v>
      </c>
      <c r="D650" s="1115" t="s">
        <v>160</v>
      </c>
      <c r="E650" s="1115" t="s">
        <v>1902</v>
      </c>
      <c r="F650" s="1115" t="n">
        <v>25850</v>
      </c>
      <c r="G650" s="1115" t="n">
        <v>20110</v>
      </c>
      <c r="H650" s="1115" t="s">
        <v>160</v>
      </c>
      <c r="I650" s="1115" t="n">
        <v>20140</v>
      </c>
      <c r="J650" s="1115" t="s">
        <v>160</v>
      </c>
    </row>
    <row r="651" customFormat="false" ht="14.1" hidden="false" customHeight="true" outlineLevel="0" collapsed="false">
      <c r="A651" s="1115" t="n">
        <v>20120</v>
      </c>
      <c r="B651" s="1115" t="s">
        <v>160</v>
      </c>
      <c r="C651" s="1115" t="n">
        <v>20120</v>
      </c>
      <c r="D651" s="1115" t="s">
        <v>160</v>
      </c>
      <c r="E651" s="1115" t="s">
        <v>1903</v>
      </c>
      <c r="F651" s="1115" t="n">
        <v>68740</v>
      </c>
      <c r="G651" s="1115" t="n">
        <v>20120</v>
      </c>
      <c r="H651" s="1115" t="s">
        <v>160</v>
      </c>
      <c r="I651" s="1115" t="n">
        <v>20200</v>
      </c>
      <c r="J651" s="1115" t="s">
        <v>160</v>
      </c>
    </row>
    <row r="652" customFormat="false" ht="14.1" hidden="false" customHeight="true" outlineLevel="0" collapsed="false">
      <c r="A652" s="1115" t="n">
        <v>20140</v>
      </c>
      <c r="B652" s="1115" t="s">
        <v>160</v>
      </c>
      <c r="C652" s="1115" t="n">
        <v>20140</v>
      </c>
      <c r="D652" s="1115" t="s">
        <v>160</v>
      </c>
      <c r="E652" s="1115" t="s">
        <v>1904</v>
      </c>
      <c r="F652" s="1115" t="n">
        <v>25960</v>
      </c>
      <c r="G652" s="1115" t="n">
        <v>20140</v>
      </c>
      <c r="H652" s="1115" t="s">
        <v>160</v>
      </c>
      <c r="I652" s="1115" t="n">
        <v>20210</v>
      </c>
      <c r="J652" s="1115" t="s">
        <v>160</v>
      </c>
    </row>
    <row r="653" customFormat="false" ht="14.1" hidden="false" customHeight="true" outlineLevel="0" collapsed="false">
      <c r="A653" s="1115" t="n">
        <v>20200</v>
      </c>
      <c r="B653" s="1115" t="s">
        <v>160</v>
      </c>
      <c r="C653" s="1115" t="n">
        <v>20200</v>
      </c>
      <c r="D653" s="1115" t="s">
        <v>160</v>
      </c>
      <c r="E653" s="1115" t="s">
        <v>1905</v>
      </c>
      <c r="F653" s="1115" t="n">
        <v>75990</v>
      </c>
      <c r="G653" s="1115" t="n">
        <v>20200</v>
      </c>
      <c r="H653" s="1115" t="s">
        <v>160</v>
      </c>
      <c r="I653" s="1115" t="n">
        <v>20240</v>
      </c>
      <c r="J653" s="1115" t="s">
        <v>160</v>
      </c>
    </row>
    <row r="654" customFormat="false" ht="14.1" hidden="false" customHeight="true" outlineLevel="0" collapsed="false">
      <c r="A654" s="1115" t="n">
        <v>20210</v>
      </c>
      <c r="B654" s="1115" t="s">
        <v>160</v>
      </c>
      <c r="C654" s="1115" t="n">
        <v>20210</v>
      </c>
      <c r="D654" s="1115" t="s">
        <v>160</v>
      </c>
      <c r="E654" s="1115" t="s">
        <v>1906</v>
      </c>
      <c r="F654" s="1115" t="n">
        <v>82920</v>
      </c>
      <c r="G654" s="1115" t="n">
        <v>20210</v>
      </c>
      <c r="H654" s="1115" t="s">
        <v>160</v>
      </c>
      <c r="I654" s="1115" t="n">
        <v>20300</v>
      </c>
      <c r="J654" s="1115" t="s">
        <v>160</v>
      </c>
    </row>
    <row r="655" customFormat="false" ht="14.1" hidden="false" customHeight="true" outlineLevel="0" collapsed="false">
      <c r="A655" s="1115" t="n">
        <v>20240</v>
      </c>
      <c r="B655" s="1115" t="s">
        <v>160</v>
      </c>
      <c r="C655" s="1115" t="n">
        <v>20240</v>
      </c>
      <c r="D655" s="1115" t="s">
        <v>160</v>
      </c>
      <c r="E655" s="1115" t="s">
        <v>1907</v>
      </c>
      <c r="F655" s="1115" t="n">
        <v>42220</v>
      </c>
      <c r="G655" s="1115" t="n">
        <v>20240</v>
      </c>
      <c r="H655" s="1115" t="s">
        <v>160</v>
      </c>
      <c r="I655" s="1115" t="n">
        <v>20310</v>
      </c>
      <c r="J655" s="1115" t="s">
        <v>160</v>
      </c>
    </row>
    <row r="656" customFormat="false" ht="14.1" hidden="false" customHeight="true" outlineLevel="0" collapsed="false">
      <c r="A656" s="1115" t="n">
        <v>20300</v>
      </c>
      <c r="B656" s="1115" t="s">
        <v>160</v>
      </c>
      <c r="C656" s="1115" t="n">
        <v>20300</v>
      </c>
      <c r="D656" s="1115" t="s">
        <v>160</v>
      </c>
      <c r="E656" s="1115" t="s">
        <v>1908</v>
      </c>
      <c r="F656" s="1115" t="n">
        <v>54470</v>
      </c>
      <c r="G656" s="1115" t="n">
        <v>20300</v>
      </c>
      <c r="H656" s="1115" t="s">
        <v>160</v>
      </c>
      <c r="I656" s="1115" t="n">
        <v>20320</v>
      </c>
      <c r="J656" s="1115" t="s">
        <v>160</v>
      </c>
    </row>
    <row r="657" customFormat="false" ht="14.1" hidden="false" customHeight="true" outlineLevel="0" collapsed="false">
      <c r="A657" s="1115" t="n">
        <v>20310</v>
      </c>
      <c r="B657" s="1115" t="s">
        <v>160</v>
      </c>
      <c r="C657" s="1115" t="n">
        <v>20310</v>
      </c>
      <c r="D657" s="1115" t="s">
        <v>160</v>
      </c>
      <c r="E657" s="1115" t="s">
        <v>1909</v>
      </c>
      <c r="F657" s="1115" t="n">
        <v>58180</v>
      </c>
      <c r="G657" s="1115" t="n">
        <v>20310</v>
      </c>
      <c r="H657" s="1115" t="s">
        <v>160</v>
      </c>
      <c r="I657" s="1115" t="n">
        <v>20340</v>
      </c>
      <c r="J657" s="1115" t="s">
        <v>160</v>
      </c>
    </row>
    <row r="658" customFormat="false" ht="14.1" hidden="false" customHeight="true" outlineLevel="0" collapsed="false">
      <c r="A658" s="1115" t="n">
        <v>20320</v>
      </c>
      <c r="B658" s="1115" t="s">
        <v>160</v>
      </c>
      <c r="C658" s="1115" t="n">
        <v>20320</v>
      </c>
      <c r="D658" s="1115" t="s">
        <v>160</v>
      </c>
      <c r="E658" s="1115" t="s">
        <v>1910</v>
      </c>
      <c r="F658" s="1115" t="n">
        <v>50970</v>
      </c>
      <c r="G658" s="1115" t="n">
        <v>20320</v>
      </c>
      <c r="H658" s="1115" t="s">
        <v>160</v>
      </c>
      <c r="I658" s="1115" t="n">
        <v>20350</v>
      </c>
      <c r="J658" s="1115" t="s">
        <v>160</v>
      </c>
    </row>
    <row r="659" customFormat="false" ht="14.1" hidden="false" customHeight="true" outlineLevel="0" collapsed="false">
      <c r="A659" s="1115" t="n">
        <v>20340</v>
      </c>
      <c r="B659" s="1115" t="s">
        <v>160</v>
      </c>
      <c r="C659" s="1115" t="n">
        <v>20340</v>
      </c>
      <c r="D659" s="1115" t="s">
        <v>160</v>
      </c>
      <c r="E659" s="1115" t="s">
        <v>1911</v>
      </c>
      <c r="F659" s="1115" t="n">
        <v>27320</v>
      </c>
      <c r="G659" s="1115" t="n">
        <v>20340</v>
      </c>
      <c r="H659" s="1115" t="s">
        <v>160</v>
      </c>
      <c r="I659" s="1115" t="n">
        <v>20360</v>
      </c>
      <c r="J659" s="1115" t="s">
        <v>160</v>
      </c>
    </row>
    <row r="660" customFormat="false" ht="14.1" hidden="false" customHeight="true" outlineLevel="0" collapsed="false">
      <c r="A660" s="1115" t="n">
        <v>20350</v>
      </c>
      <c r="B660" s="1115" t="s">
        <v>160</v>
      </c>
      <c r="C660" s="1115" t="n">
        <v>20350</v>
      </c>
      <c r="D660" s="1115" t="s">
        <v>160</v>
      </c>
      <c r="E660" s="1115" t="s">
        <v>872</v>
      </c>
      <c r="F660" s="1115" t="n">
        <v>91100</v>
      </c>
      <c r="G660" s="1115" t="n">
        <v>20350</v>
      </c>
      <c r="H660" s="1115" t="s">
        <v>160</v>
      </c>
      <c r="I660" s="1115" t="n">
        <v>20380</v>
      </c>
      <c r="J660" s="1115" t="s">
        <v>160</v>
      </c>
    </row>
    <row r="661" customFormat="false" ht="14.1" hidden="false" customHeight="true" outlineLevel="0" collapsed="false">
      <c r="A661" s="1115" t="n">
        <v>20360</v>
      </c>
      <c r="B661" s="1115" t="s">
        <v>160</v>
      </c>
      <c r="C661" s="1115" t="n">
        <v>20360</v>
      </c>
      <c r="D661" s="1115" t="s">
        <v>160</v>
      </c>
      <c r="E661" s="1115" t="s">
        <v>872</v>
      </c>
      <c r="F661" s="1115" t="n">
        <v>91110</v>
      </c>
      <c r="G661" s="1115" t="n">
        <v>20360</v>
      </c>
      <c r="H661" s="1115" t="s">
        <v>160</v>
      </c>
      <c r="I661" s="1115" t="n">
        <v>20400</v>
      </c>
      <c r="J661" s="1115" t="s">
        <v>160</v>
      </c>
    </row>
    <row r="662" customFormat="false" ht="14.1" hidden="false" customHeight="true" outlineLevel="0" collapsed="false">
      <c r="A662" s="1115" t="n">
        <v>20380</v>
      </c>
      <c r="B662" s="1115" t="s">
        <v>160</v>
      </c>
      <c r="C662" s="1115" t="n">
        <v>20380</v>
      </c>
      <c r="D662" s="1115" t="s">
        <v>160</v>
      </c>
      <c r="E662" s="1115" t="s">
        <v>1912</v>
      </c>
      <c r="F662" s="1115" t="n">
        <v>93277</v>
      </c>
      <c r="G662" s="1115" t="n">
        <v>20380</v>
      </c>
      <c r="H662" s="1115" t="s">
        <v>160</v>
      </c>
      <c r="I662" s="1115" t="n">
        <v>20460</v>
      </c>
      <c r="J662" s="1115" t="s">
        <v>160</v>
      </c>
    </row>
    <row r="663" customFormat="false" ht="14.1" hidden="false" customHeight="true" outlineLevel="0" collapsed="false">
      <c r="A663" s="1115" t="n">
        <v>20400</v>
      </c>
      <c r="B663" s="1115" t="s">
        <v>160</v>
      </c>
      <c r="C663" s="1115" t="n">
        <v>20400</v>
      </c>
      <c r="D663" s="1115" t="s">
        <v>160</v>
      </c>
      <c r="E663" s="1115" t="s">
        <v>874</v>
      </c>
      <c r="F663" s="1115" t="n">
        <v>74100</v>
      </c>
      <c r="G663" s="1115" t="n">
        <v>20400</v>
      </c>
      <c r="H663" s="1115" t="s">
        <v>160</v>
      </c>
      <c r="I663" s="1115" t="n">
        <v>20500</v>
      </c>
      <c r="J663" s="1115" t="s">
        <v>160</v>
      </c>
    </row>
    <row r="664" customFormat="false" ht="14.1" hidden="false" customHeight="true" outlineLevel="0" collapsed="false">
      <c r="A664" s="1115" t="n">
        <v>20460</v>
      </c>
      <c r="B664" s="1115" t="s">
        <v>160</v>
      </c>
      <c r="C664" s="1115" t="n">
        <v>20460</v>
      </c>
      <c r="D664" s="1115" t="s">
        <v>160</v>
      </c>
      <c r="E664" s="1115" t="s">
        <v>874</v>
      </c>
      <c r="F664" s="1115" t="n">
        <v>74120</v>
      </c>
      <c r="G664" s="1115" t="n">
        <v>20460</v>
      </c>
      <c r="H664" s="1115" t="s">
        <v>160</v>
      </c>
      <c r="I664" s="1115" t="n">
        <v>20510</v>
      </c>
      <c r="J664" s="1115" t="s">
        <v>160</v>
      </c>
    </row>
    <row r="665" customFormat="false" ht="14.1" hidden="false" customHeight="true" outlineLevel="0" collapsed="false">
      <c r="A665" s="1115" t="n">
        <v>20500</v>
      </c>
      <c r="B665" s="1115" t="s">
        <v>160</v>
      </c>
      <c r="C665" s="1115" t="n">
        <v>20500</v>
      </c>
      <c r="D665" s="1115" t="s">
        <v>160</v>
      </c>
      <c r="E665" s="1115" t="s">
        <v>874</v>
      </c>
      <c r="F665" s="1115" t="n">
        <v>74130</v>
      </c>
      <c r="G665" s="1115" t="n">
        <v>20500</v>
      </c>
      <c r="H665" s="1115" t="s">
        <v>160</v>
      </c>
      <c r="I665" s="1115" t="n">
        <v>20520</v>
      </c>
      <c r="J665" s="1115" t="s">
        <v>160</v>
      </c>
    </row>
    <row r="666" customFormat="false" ht="14.1" hidden="false" customHeight="true" outlineLevel="0" collapsed="false">
      <c r="A666" s="1115" t="n">
        <v>20510</v>
      </c>
      <c r="B666" s="1115" t="s">
        <v>160</v>
      </c>
      <c r="C666" s="1115" t="n">
        <v>20510</v>
      </c>
      <c r="D666" s="1115" t="s">
        <v>160</v>
      </c>
      <c r="E666" s="1115" t="s">
        <v>1913</v>
      </c>
      <c r="F666" s="1115" t="n">
        <v>77800</v>
      </c>
      <c r="G666" s="1115" t="n">
        <v>20510</v>
      </c>
      <c r="H666" s="1115" t="s">
        <v>160</v>
      </c>
      <c r="I666" s="1115" t="n">
        <v>20540</v>
      </c>
      <c r="J666" s="1115" t="s">
        <v>160</v>
      </c>
    </row>
    <row r="667" customFormat="false" ht="14.1" hidden="false" customHeight="true" outlineLevel="0" collapsed="false">
      <c r="A667" s="1115" t="n">
        <v>20520</v>
      </c>
      <c r="B667" s="1115" t="s">
        <v>160</v>
      </c>
      <c r="C667" s="1115" t="n">
        <v>20520</v>
      </c>
      <c r="D667" s="1115" t="s">
        <v>160</v>
      </c>
      <c r="E667" s="1115" t="s">
        <v>1658</v>
      </c>
      <c r="F667" s="1115" t="n">
        <v>14500</v>
      </c>
      <c r="G667" s="1115" t="n">
        <v>20520</v>
      </c>
      <c r="H667" s="1115" t="s">
        <v>160</v>
      </c>
      <c r="I667" s="1115" t="n">
        <v>20600</v>
      </c>
      <c r="J667" s="1115" t="s">
        <v>160</v>
      </c>
    </row>
    <row r="668" customFormat="false" ht="14.1" hidden="false" customHeight="true" outlineLevel="0" collapsed="false">
      <c r="A668" s="1115" t="n">
        <v>20540</v>
      </c>
      <c r="B668" s="1115" t="s">
        <v>160</v>
      </c>
      <c r="C668" s="1115" t="n">
        <v>20540</v>
      </c>
      <c r="D668" s="1115" t="s">
        <v>160</v>
      </c>
      <c r="E668" s="1115" t="s">
        <v>875</v>
      </c>
      <c r="F668" s="1115" t="n">
        <v>47570</v>
      </c>
      <c r="G668" s="1115" t="n">
        <v>20540</v>
      </c>
      <c r="H668" s="1115" t="s">
        <v>160</v>
      </c>
      <c r="I668" s="1115" t="n">
        <v>20610</v>
      </c>
      <c r="J668" s="1115" t="s">
        <v>160</v>
      </c>
    </row>
    <row r="669" customFormat="false" ht="14.1" hidden="false" customHeight="true" outlineLevel="0" collapsed="false">
      <c r="A669" s="1115" t="n">
        <v>20600</v>
      </c>
      <c r="B669" s="1115" t="s">
        <v>160</v>
      </c>
      <c r="C669" s="1115" t="n">
        <v>20600</v>
      </c>
      <c r="D669" s="1115" t="s">
        <v>160</v>
      </c>
      <c r="E669" s="1115" t="s">
        <v>878</v>
      </c>
      <c r="F669" s="1115" t="n">
        <v>39500</v>
      </c>
      <c r="G669" s="1115" t="n">
        <v>20600</v>
      </c>
      <c r="H669" s="1115" t="s">
        <v>160</v>
      </c>
      <c r="I669" s="1115" t="n">
        <v>20620</v>
      </c>
      <c r="J669" s="1115" t="s">
        <v>948</v>
      </c>
    </row>
    <row r="670" customFormat="false" ht="14.1" hidden="false" customHeight="true" outlineLevel="0" collapsed="false">
      <c r="A670" s="1115" t="n">
        <v>20610</v>
      </c>
      <c r="B670" s="1115" t="s">
        <v>160</v>
      </c>
      <c r="C670" s="1115" t="n">
        <v>20610</v>
      </c>
      <c r="D670" s="1115" t="s">
        <v>160</v>
      </c>
      <c r="E670" s="1115" t="s">
        <v>878</v>
      </c>
      <c r="F670" s="1115" t="n">
        <v>39510</v>
      </c>
      <c r="G670" s="1115" t="n">
        <v>20610</v>
      </c>
      <c r="H670" s="1115" t="s">
        <v>160</v>
      </c>
      <c r="I670" s="1115" t="n">
        <v>20640</v>
      </c>
      <c r="J670" s="1115" t="s">
        <v>948</v>
      </c>
    </row>
    <row r="671" customFormat="false" ht="14.1" hidden="false" customHeight="true" outlineLevel="0" collapsed="false">
      <c r="A671" s="1115" t="n">
        <v>20620</v>
      </c>
      <c r="B671" s="1115" t="s">
        <v>160</v>
      </c>
      <c r="C671" s="1115" t="n">
        <v>20620</v>
      </c>
      <c r="D671" s="1115" t="s">
        <v>1914</v>
      </c>
      <c r="E671" s="1115" t="s">
        <v>1202</v>
      </c>
      <c r="F671" s="1115" t="n">
        <v>3810</v>
      </c>
      <c r="G671" s="1115" t="n">
        <v>20620</v>
      </c>
      <c r="H671" s="1115" t="s">
        <v>1914</v>
      </c>
      <c r="I671" s="1115" t="n">
        <v>20660</v>
      </c>
      <c r="J671" s="1115" t="s">
        <v>948</v>
      </c>
    </row>
    <row r="672" customFormat="false" ht="14.1" hidden="false" customHeight="true" outlineLevel="0" collapsed="false">
      <c r="A672" s="1115" t="n">
        <v>20640</v>
      </c>
      <c r="B672" s="1115" t="s">
        <v>160</v>
      </c>
      <c r="C672" s="1115" t="n">
        <v>20640</v>
      </c>
      <c r="D672" s="1115" t="s">
        <v>1915</v>
      </c>
      <c r="E672" s="1115" t="s">
        <v>1916</v>
      </c>
      <c r="F672" s="1115" t="n">
        <v>61880</v>
      </c>
      <c r="G672" s="1115" t="n">
        <v>20640</v>
      </c>
      <c r="H672" s="1115" t="s">
        <v>1915</v>
      </c>
      <c r="I672" s="1115" t="n">
        <v>20660</v>
      </c>
      <c r="J672" s="1115" t="s">
        <v>948</v>
      </c>
    </row>
    <row r="673" customFormat="false" ht="14.1" hidden="false" customHeight="true" outlineLevel="0" collapsed="false">
      <c r="A673" s="1115" t="n">
        <v>20660</v>
      </c>
      <c r="B673" s="1115" t="s">
        <v>160</v>
      </c>
      <c r="C673" s="1115" t="n">
        <v>20660</v>
      </c>
      <c r="D673" s="1115" t="s">
        <v>1917</v>
      </c>
      <c r="E673" s="1115" t="s">
        <v>1916</v>
      </c>
      <c r="F673" s="1115" t="n">
        <v>61880</v>
      </c>
      <c r="G673" s="1115" t="n">
        <v>20660</v>
      </c>
      <c r="H673" s="1115" t="s">
        <v>1917</v>
      </c>
      <c r="I673" s="1115" t="n">
        <v>20700</v>
      </c>
      <c r="J673" s="1115" t="s">
        <v>160</v>
      </c>
    </row>
    <row r="674" customFormat="false" ht="14.1" hidden="false" customHeight="true" outlineLevel="0" collapsed="false">
      <c r="A674" s="1115" t="n">
        <v>20660</v>
      </c>
      <c r="B674" s="1115" t="s">
        <v>160</v>
      </c>
      <c r="C674" s="1115" t="n">
        <v>20660</v>
      </c>
      <c r="D674" s="1115" t="s">
        <v>1917</v>
      </c>
      <c r="E674" s="1115" t="s">
        <v>1918</v>
      </c>
      <c r="F674" s="1115" t="n">
        <v>93180</v>
      </c>
      <c r="G674" s="1115" t="n">
        <v>20660</v>
      </c>
      <c r="H674" s="1115" t="s">
        <v>1917</v>
      </c>
      <c r="I674" s="1115" t="n">
        <v>20720</v>
      </c>
      <c r="J674" s="1115" t="s">
        <v>160</v>
      </c>
    </row>
    <row r="675" customFormat="false" ht="14.1" hidden="false" customHeight="true" outlineLevel="0" collapsed="false">
      <c r="A675" s="1115" t="n">
        <v>20700</v>
      </c>
      <c r="B675" s="1115" t="s">
        <v>160</v>
      </c>
      <c r="C675" s="1115" t="n">
        <v>20700</v>
      </c>
      <c r="D675" s="1115" t="s">
        <v>160</v>
      </c>
      <c r="E675" s="1115" t="s">
        <v>1919</v>
      </c>
      <c r="F675" s="1115" t="n">
        <v>38280</v>
      </c>
      <c r="G675" s="1115" t="n">
        <v>20700</v>
      </c>
      <c r="H675" s="1115" t="s">
        <v>160</v>
      </c>
      <c r="I675" s="1115" t="n">
        <v>20740</v>
      </c>
      <c r="J675" s="1115" t="s">
        <v>160</v>
      </c>
    </row>
    <row r="676" customFormat="false" ht="14.1" hidden="false" customHeight="true" outlineLevel="0" collapsed="false">
      <c r="A676" s="1115" t="n">
        <v>20720</v>
      </c>
      <c r="B676" s="1115" t="s">
        <v>160</v>
      </c>
      <c r="C676" s="1115" t="n">
        <v>20720</v>
      </c>
      <c r="D676" s="1115" t="s">
        <v>160</v>
      </c>
      <c r="E676" s="1115" t="s">
        <v>1919</v>
      </c>
      <c r="F676" s="1115" t="n">
        <v>38280</v>
      </c>
      <c r="G676" s="1115" t="n">
        <v>20720</v>
      </c>
      <c r="H676" s="1115" t="s">
        <v>160</v>
      </c>
      <c r="I676" s="1115" t="n">
        <v>20750</v>
      </c>
      <c r="J676" s="1115" t="s">
        <v>160</v>
      </c>
    </row>
    <row r="677" customFormat="false" ht="14.1" hidden="false" customHeight="true" outlineLevel="0" collapsed="false">
      <c r="A677" s="1115" t="n">
        <v>20740</v>
      </c>
      <c r="B677" s="1115" t="s">
        <v>160</v>
      </c>
      <c r="C677" s="1115" t="n">
        <v>20740</v>
      </c>
      <c r="D677" s="1115" t="s">
        <v>160</v>
      </c>
      <c r="E677" s="1115" t="s">
        <v>879</v>
      </c>
      <c r="F677" s="1115" t="n">
        <v>60800</v>
      </c>
      <c r="G677" s="1115" t="n">
        <v>20740</v>
      </c>
      <c r="H677" s="1115" t="s">
        <v>160</v>
      </c>
      <c r="I677" s="1115" t="n">
        <v>20760</v>
      </c>
      <c r="J677" s="1115" t="s">
        <v>160</v>
      </c>
    </row>
    <row r="678" customFormat="false" ht="14.1" hidden="false" customHeight="true" outlineLevel="0" collapsed="false">
      <c r="A678" s="1115" t="n">
        <v>20750</v>
      </c>
      <c r="B678" s="1115" t="s">
        <v>160</v>
      </c>
      <c r="C678" s="1115" t="n">
        <v>20750</v>
      </c>
      <c r="D678" s="1115" t="s">
        <v>160</v>
      </c>
      <c r="E678" s="1115" t="s">
        <v>1920</v>
      </c>
      <c r="F678" s="1115" t="n">
        <v>77160</v>
      </c>
      <c r="G678" s="1115" t="n">
        <v>20750</v>
      </c>
      <c r="H678" s="1115" t="s">
        <v>160</v>
      </c>
      <c r="I678" s="1115" t="n">
        <v>20780</v>
      </c>
      <c r="J678" s="1115" t="s">
        <v>948</v>
      </c>
    </row>
    <row r="679" customFormat="false" ht="14.1" hidden="false" customHeight="true" outlineLevel="0" collapsed="false">
      <c r="A679" s="1115" t="n">
        <v>20760</v>
      </c>
      <c r="B679" s="1115" t="s">
        <v>160</v>
      </c>
      <c r="C679" s="1115" t="n">
        <v>20760</v>
      </c>
      <c r="D679" s="1115" t="s">
        <v>1921</v>
      </c>
      <c r="E679" s="1115" t="s">
        <v>1922</v>
      </c>
      <c r="F679" s="1115" t="n">
        <v>21350</v>
      </c>
      <c r="G679" s="1115" t="n">
        <v>20760</v>
      </c>
      <c r="H679" s="1115" t="s">
        <v>1921</v>
      </c>
      <c r="I679" s="1115" t="n">
        <v>20800</v>
      </c>
      <c r="J679" s="1115" t="s">
        <v>160</v>
      </c>
    </row>
    <row r="680" customFormat="false" ht="14.1" hidden="false" customHeight="true" outlineLevel="0" collapsed="false">
      <c r="A680" s="1115" t="n">
        <v>20780</v>
      </c>
      <c r="B680" s="1115" t="s">
        <v>160</v>
      </c>
      <c r="C680" s="1115" t="n">
        <v>20780</v>
      </c>
      <c r="D680" s="1115" t="s">
        <v>948</v>
      </c>
      <c r="E680" s="1115" t="s">
        <v>1923</v>
      </c>
      <c r="F680" s="1115" t="n">
        <v>95360</v>
      </c>
      <c r="G680" s="1115" t="n">
        <v>20780</v>
      </c>
      <c r="H680" s="1115" t="s">
        <v>948</v>
      </c>
      <c r="I680" s="1115" t="n">
        <v>20810</v>
      </c>
      <c r="J680" s="1115" t="s">
        <v>160</v>
      </c>
    </row>
    <row r="681" customFormat="false" ht="14.1" hidden="false" customHeight="true" outlineLevel="0" collapsed="false">
      <c r="A681" s="1115" t="n">
        <v>20800</v>
      </c>
      <c r="B681" s="1115" t="s">
        <v>160</v>
      </c>
      <c r="C681" s="1115" t="n">
        <v>20800</v>
      </c>
      <c r="D681" s="1115" t="s">
        <v>160</v>
      </c>
      <c r="E681" s="1115" t="s">
        <v>1924</v>
      </c>
      <c r="F681" s="1115" t="n">
        <v>44530</v>
      </c>
      <c r="G681" s="1115" t="n">
        <v>20800</v>
      </c>
      <c r="H681" s="1115" t="s">
        <v>160</v>
      </c>
      <c r="I681" s="1115" t="n">
        <v>20840</v>
      </c>
      <c r="J681" s="1115" t="s">
        <v>160</v>
      </c>
    </row>
    <row r="682" customFormat="false" ht="14.1" hidden="false" customHeight="true" outlineLevel="0" collapsed="false">
      <c r="A682" s="1115" t="n">
        <v>20810</v>
      </c>
      <c r="B682" s="1115" t="s">
        <v>160</v>
      </c>
      <c r="C682" s="1115" t="n">
        <v>20810</v>
      </c>
      <c r="D682" s="1115" t="s">
        <v>160</v>
      </c>
      <c r="E682" s="1115" t="s">
        <v>1371</v>
      </c>
      <c r="F682" s="1115" t="n">
        <v>7280</v>
      </c>
      <c r="G682" s="1115" t="n">
        <v>20810</v>
      </c>
      <c r="H682" s="1115" t="s">
        <v>160</v>
      </c>
      <c r="I682" s="1115" t="n">
        <v>20850</v>
      </c>
      <c r="J682" s="1115" t="s">
        <v>160</v>
      </c>
    </row>
    <row r="683" customFormat="false" ht="14.1" hidden="false" customHeight="true" outlineLevel="0" collapsed="false">
      <c r="A683" s="1115" t="n">
        <v>20840</v>
      </c>
      <c r="B683" s="1115" t="s">
        <v>160</v>
      </c>
      <c r="C683" s="1115" t="n">
        <v>20840</v>
      </c>
      <c r="D683" s="1115" t="s">
        <v>160</v>
      </c>
      <c r="E683" s="1115" t="s">
        <v>880</v>
      </c>
      <c r="F683" s="1115" t="n">
        <v>82900</v>
      </c>
      <c r="G683" s="1115" t="n">
        <v>20840</v>
      </c>
      <c r="H683" s="1115" t="s">
        <v>160</v>
      </c>
      <c r="I683" s="1115" t="n">
        <v>20900</v>
      </c>
      <c r="J683" s="1115" t="s">
        <v>160</v>
      </c>
    </row>
    <row r="684" customFormat="false" ht="14.1" hidden="false" customHeight="true" outlineLevel="0" collapsed="false">
      <c r="A684" s="1115" t="n">
        <v>20850</v>
      </c>
      <c r="B684" s="1115" t="s">
        <v>160</v>
      </c>
      <c r="C684" s="1115" t="n">
        <v>20850</v>
      </c>
      <c r="D684" s="1115" t="s">
        <v>160</v>
      </c>
      <c r="E684" s="1115" t="s">
        <v>1925</v>
      </c>
      <c r="F684" s="1115" t="n">
        <v>41365</v>
      </c>
      <c r="G684" s="1115" t="n">
        <v>20850</v>
      </c>
      <c r="H684" s="1115" t="s">
        <v>160</v>
      </c>
      <c r="I684" s="1115" t="n">
        <v>20960</v>
      </c>
      <c r="J684" s="1115" t="s">
        <v>160</v>
      </c>
    </row>
    <row r="685" customFormat="false" ht="14.1" hidden="false" customHeight="true" outlineLevel="0" collapsed="false">
      <c r="A685" s="1115" t="n">
        <v>20900</v>
      </c>
      <c r="B685" s="1115" t="s">
        <v>160</v>
      </c>
      <c r="C685" s="1115" t="n">
        <v>20900</v>
      </c>
      <c r="D685" s="1115" t="s">
        <v>160</v>
      </c>
      <c r="E685" s="1115" t="s">
        <v>1926</v>
      </c>
      <c r="F685" s="1115" t="n">
        <v>44830</v>
      </c>
      <c r="G685" s="1115" t="n">
        <v>20900</v>
      </c>
      <c r="H685" s="1115" t="s">
        <v>160</v>
      </c>
      <c r="I685" s="1115" t="n">
        <v>20990</v>
      </c>
      <c r="J685" s="1115" t="s">
        <v>160</v>
      </c>
    </row>
    <row r="686" customFormat="false" ht="14.1" hidden="false" customHeight="true" outlineLevel="0" collapsed="false">
      <c r="A686" s="1115" t="n">
        <v>20960</v>
      </c>
      <c r="B686" s="1115" t="s">
        <v>160</v>
      </c>
      <c r="C686" s="1115" t="n">
        <v>20960</v>
      </c>
      <c r="D686" s="1115" t="s">
        <v>160</v>
      </c>
      <c r="E686" s="1115" t="s">
        <v>1927</v>
      </c>
      <c r="F686" s="1115" t="n">
        <v>36640</v>
      </c>
      <c r="G686" s="1115" t="n">
        <v>20960</v>
      </c>
      <c r="H686" s="1115" t="s">
        <v>160</v>
      </c>
      <c r="I686" s="1115" t="n">
        <v>21100</v>
      </c>
      <c r="J686" s="1115" t="s">
        <v>1255</v>
      </c>
    </row>
    <row r="687" customFormat="false" ht="14.1" hidden="false" customHeight="true" outlineLevel="0" collapsed="false">
      <c r="A687" s="1115" t="n">
        <v>20990</v>
      </c>
      <c r="B687" s="1115" t="s">
        <v>160</v>
      </c>
      <c r="C687" s="1115" t="n">
        <v>20990</v>
      </c>
      <c r="D687" s="1115" t="s">
        <v>160</v>
      </c>
      <c r="E687" s="1115" t="s">
        <v>1928</v>
      </c>
      <c r="F687" s="1115" t="n">
        <v>61760</v>
      </c>
      <c r="G687" s="1115" t="n">
        <v>20990</v>
      </c>
      <c r="H687" s="1115" t="s">
        <v>160</v>
      </c>
      <c r="I687" s="1115" t="n">
        <v>21110</v>
      </c>
      <c r="J687" s="1115" t="s">
        <v>1255</v>
      </c>
    </row>
    <row r="688" customFormat="false" ht="14.1" hidden="false" customHeight="true" outlineLevel="0" collapsed="false">
      <c r="A688" s="1115" t="n">
        <v>21100</v>
      </c>
      <c r="B688" s="1115" t="s">
        <v>160</v>
      </c>
      <c r="C688" s="1115" t="n">
        <v>21100</v>
      </c>
      <c r="D688" s="1115" t="s">
        <v>1255</v>
      </c>
      <c r="E688" s="1115" t="s">
        <v>1929</v>
      </c>
      <c r="F688" s="1115" t="n">
        <v>89530</v>
      </c>
      <c r="G688" s="1115" t="n">
        <v>21100</v>
      </c>
      <c r="H688" s="1115" t="s">
        <v>1255</v>
      </c>
      <c r="I688" s="1115" t="n">
        <v>21120</v>
      </c>
      <c r="J688" s="1115" t="s">
        <v>1255</v>
      </c>
    </row>
    <row r="689" customFormat="false" ht="14.1" hidden="false" customHeight="true" outlineLevel="0" collapsed="false">
      <c r="A689" s="1115" t="n">
        <v>21110</v>
      </c>
      <c r="B689" s="1115" t="s">
        <v>160</v>
      </c>
      <c r="C689" s="1115" t="n">
        <v>21110</v>
      </c>
      <c r="D689" s="1115" t="s">
        <v>1255</v>
      </c>
      <c r="E689" s="1115" t="s">
        <v>1930</v>
      </c>
      <c r="F689" s="1115" t="n">
        <v>86360</v>
      </c>
      <c r="G689" s="1115" t="n">
        <v>21110</v>
      </c>
      <c r="H689" s="1115" t="s">
        <v>1255</v>
      </c>
      <c r="I689" s="1115" t="n">
        <v>21130</v>
      </c>
      <c r="J689" s="1115" t="s">
        <v>1255</v>
      </c>
    </row>
    <row r="690" customFormat="false" ht="14.1" hidden="false" customHeight="true" outlineLevel="0" collapsed="false">
      <c r="A690" s="1115" t="n">
        <v>21120</v>
      </c>
      <c r="B690" s="1115" t="s">
        <v>160</v>
      </c>
      <c r="C690" s="1115" t="n">
        <v>21120</v>
      </c>
      <c r="D690" s="1115" t="s">
        <v>1410</v>
      </c>
      <c r="E690" s="1115" t="s">
        <v>1931</v>
      </c>
      <c r="F690" s="1115" t="n">
        <v>75910</v>
      </c>
      <c r="G690" s="1115" t="n">
        <v>21120</v>
      </c>
      <c r="H690" s="1115" t="s">
        <v>1410</v>
      </c>
      <c r="I690" s="1115" t="n">
        <v>21140</v>
      </c>
      <c r="J690" s="1115" t="s">
        <v>1255</v>
      </c>
    </row>
    <row r="691" customFormat="false" ht="14.1" hidden="false" customHeight="true" outlineLevel="0" collapsed="false">
      <c r="A691" s="1115" t="n">
        <v>21130</v>
      </c>
      <c r="B691" s="1115" t="s">
        <v>160</v>
      </c>
      <c r="C691" s="1115" t="n">
        <v>21130</v>
      </c>
      <c r="D691" s="1115" t="s">
        <v>1932</v>
      </c>
      <c r="E691" s="1115" t="s">
        <v>881</v>
      </c>
      <c r="F691" s="1115" t="n">
        <v>55100</v>
      </c>
      <c r="G691" s="1115" t="n">
        <v>21130</v>
      </c>
      <c r="H691" s="1115" t="s">
        <v>1932</v>
      </c>
      <c r="I691" s="1115" t="n">
        <v>21150</v>
      </c>
      <c r="J691" s="1115" t="s">
        <v>1255</v>
      </c>
    </row>
    <row r="692" customFormat="false" ht="14.1" hidden="false" customHeight="true" outlineLevel="0" collapsed="false">
      <c r="A692" s="1115" t="n">
        <v>21140</v>
      </c>
      <c r="B692" s="1115" t="s">
        <v>160</v>
      </c>
      <c r="C692" s="1115" t="n">
        <v>21140</v>
      </c>
      <c r="D692" s="1115" t="s">
        <v>1462</v>
      </c>
      <c r="E692" s="1115" t="s">
        <v>881</v>
      </c>
      <c r="F692" s="1115" t="n">
        <v>55120</v>
      </c>
      <c r="G692" s="1115" t="n">
        <v>21140</v>
      </c>
      <c r="H692" s="1115" t="s">
        <v>1462</v>
      </c>
      <c r="I692" s="1115" t="n">
        <v>21160</v>
      </c>
      <c r="J692" s="1115" t="s">
        <v>1255</v>
      </c>
    </row>
    <row r="693" customFormat="false" ht="14.1" hidden="false" customHeight="true" outlineLevel="0" collapsed="false">
      <c r="A693" s="1115" t="n">
        <v>21150</v>
      </c>
      <c r="B693" s="1115" t="s">
        <v>160</v>
      </c>
      <c r="C693" s="1115" t="n">
        <v>21150</v>
      </c>
      <c r="D693" s="1115" t="s">
        <v>1933</v>
      </c>
      <c r="E693" s="1115" t="s">
        <v>881</v>
      </c>
      <c r="F693" s="1115" t="n">
        <v>55400</v>
      </c>
      <c r="G693" s="1115" t="n">
        <v>21150</v>
      </c>
      <c r="H693" s="1115" t="s">
        <v>1933</v>
      </c>
      <c r="I693" s="1115" t="n">
        <v>21170</v>
      </c>
      <c r="J693" s="1115" t="s">
        <v>1255</v>
      </c>
    </row>
    <row r="694" customFormat="false" ht="14.1" hidden="false" customHeight="true" outlineLevel="0" collapsed="false">
      <c r="A694" s="1115" t="n">
        <v>21160</v>
      </c>
      <c r="B694" s="1115" t="s">
        <v>160</v>
      </c>
      <c r="C694" s="1115" t="n">
        <v>21160</v>
      </c>
      <c r="D694" s="1115" t="s">
        <v>1228</v>
      </c>
      <c r="E694" s="1115" t="s">
        <v>881</v>
      </c>
      <c r="F694" s="1115" t="n">
        <v>55420</v>
      </c>
      <c r="G694" s="1115" t="n">
        <v>21160</v>
      </c>
      <c r="H694" s="1115" t="s">
        <v>1228</v>
      </c>
      <c r="I694" s="1115" t="n">
        <v>21180</v>
      </c>
      <c r="J694" s="1115" t="s">
        <v>1221</v>
      </c>
    </row>
    <row r="695" customFormat="false" ht="14.1" hidden="false" customHeight="true" outlineLevel="0" collapsed="false">
      <c r="A695" s="1115" t="n">
        <v>21170</v>
      </c>
      <c r="B695" s="1115" t="s">
        <v>160</v>
      </c>
      <c r="C695" s="1115" t="n">
        <v>21170</v>
      </c>
      <c r="D695" s="1115" t="s">
        <v>1934</v>
      </c>
      <c r="E695" s="1115" t="s">
        <v>881</v>
      </c>
      <c r="F695" s="1115" t="n">
        <v>55510</v>
      </c>
      <c r="G695" s="1115" t="n">
        <v>21170</v>
      </c>
      <c r="H695" s="1115" t="s">
        <v>1934</v>
      </c>
      <c r="I695" s="1115" t="n">
        <v>21190</v>
      </c>
      <c r="J695" s="1115" t="s">
        <v>1221</v>
      </c>
    </row>
    <row r="696" customFormat="false" ht="14.1" hidden="false" customHeight="true" outlineLevel="0" collapsed="false">
      <c r="A696" s="1115" t="n">
        <v>21180</v>
      </c>
      <c r="B696" s="1115" t="s">
        <v>160</v>
      </c>
      <c r="C696" s="1115" t="n">
        <v>21180</v>
      </c>
      <c r="D696" s="1115" t="s">
        <v>1935</v>
      </c>
      <c r="E696" s="1115" t="s">
        <v>881</v>
      </c>
      <c r="F696" s="1115" t="n">
        <v>55610</v>
      </c>
      <c r="G696" s="1115" t="n">
        <v>21180</v>
      </c>
      <c r="H696" s="1115" t="s">
        <v>1935</v>
      </c>
      <c r="I696" s="1115" t="n">
        <v>21195</v>
      </c>
      <c r="J696" s="1115" t="s">
        <v>1221</v>
      </c>
    </row>
    <row r="697" customFormat="false" ht="14.1" hidden="false" customHeight="true" outlineLevel="0" collapsed="false">
      <c r="A697" s="1115" t="n">
        <v>21190</v>
      </c>
      <c r="B697" s="1115" t="s">
        <v>160</v>
      </c>
      <c r="C697" s="1115" t="n">
        <v>21190</v>
      </c>
      <c r="D697" s="1115" t="s">
        <v>1936</v>
      </c>
      <c r="E697" s="1115" t="s">
        <v>881</v>
      </c>
      <c r="F697" s="1115" t="n">
        <v>55700</v>
      </c>
      <c r="G697" s="1115" t="n">
        <v>21190</v>
      </c>
      <c r="H697" s="1115" t="s">
        <v>1936</v>
      </c>
      <c r="I697" s="1115" t="n">
        <v>21200</v>
      </c>
      <c r="J697" s="1115" t="s">
        <v>1221</v>
      </c>
    </row>
    <row r="698" customFormat="false" ht="14.1" hidden="false" customHeight="true" outlineLevel="0" collapsed="false">
      <c r="A698" s="1115" t="n">
        <v>21195</v>
      </c>
      <c r="B698" s="1115" t="s">
        <v>160</v>
      </c>
      <c r="C698" s="1115" t="n">
        <v>21195</v>
      </c>
      <c r="D698" s="1115" t="s">
        <v>1608</v>
      </c>
      <c r="E698" s="1115" t="s">
        <v>881</v>
      </c>
      <c r="F698" s="1115" t="n">
        <v>55800</v>
      </c>
      <c r="G698" s="1115" t="n">
        <v>21195</v>
      </c>
      <c r="H698" s="1115" t="s">
        <v>1608</v>
      </c>
      <c r="I698" s="1115" t="n">
        <v>21210</v>
      </c>
      <c r="J698" s="1115" t="s">
        <v>1221</v>
      </c>
    </row>
    <row r="699" customFormat="false" ht="14.1" hidden="false" customHeight="true" outlineLevel="0" collapsed="false">
      <c r="A699" s="1115" t="n">
        <v>21200</v>
      </c>
      <c r="B699" s="1115" t="s">
        <v>160</v>
      </c>
      <c r="C699" s="1115" t="n">
        <v>21200</v>
      </c>
      <c r="D699" s="1115" t="s">
        <v>1410</v>
      </c>
      <c r="E699" s="1115" t="s">
        <v>881</v>
      </c>
      <c r="F699" s="1115" t="n">
        <v>55910</v>
      </c>
      <c r="G699" s="1115" t="n">
        <v>21200</v>
      </c>
      <c r="H699" s="1115" t="s">
        <v>1410</v>
      </c>
      <c r="I699" s="1115" t="n">
        <v>21220</v>
      </c>
      <c r="J699" s="1115" t="s">
        <v>1221</v>
      </c>
    </row>
    <row r="700" customFormat="false" ht="14.1" hidden="false" customHeight="true" outlineLevel="0" collapsed="false">
      <c r="A700" s="1115" t="n">
        <v>21210</v>
      </c>
      <c r="B700" s="1115" t="s">
        <v>160</v>
      </c>
      <c r="C700" s="1115" t="n">
        <v>21210</v>
      </c>
      <c r="D700" s="1115" t="s">
        <v>1410</v>
      </c>
      <c r="E700" s="1115" t="s">
        <v>881</v>
      </c>
      <c r="F700" s="1115" t="n">
        <v>55950</v>
      </c>
      <c r="G700" s="1115" t="n">
        <v>21210</v>
      </c>
      <c r="H700" s="1115" t="s">
        <v>1410</v>
      </c>
      <c r="I700" s="1115" t="n">
        <v>21230</v>
      </c>
      <c r="J700" s="1115" t="s">
        <v>1221</v>
      </c>
    </row>
    <row r="701" customFormat="false" ht="14.1" hidden="false" customHeight="true" outlineLevel="0" collapsed="false">
      <c r="A701" s="1115" t="n">
        <v>21220</v>
      </c>
      <c r="B701" s="1115" t="s">
        <v>160</v>
      </c>
      <c r="C701" s="1115" t="n">
        <v>21220</v>
      </c>
      <c r="D701" s="1115" t="s">
        <v>1410</v>
      </c>
      <c r="E701" s="1115" t="s">
        <v>1937</v>
      </c>
      <c r="F701" s="1115" t="n">
        <v>97765</v>
      </c>
      <c r="G701" s="1115" t="n">
        <v>21220</v>
      </c>
      <c r="H701" s="1115" t="s">
        <v>1410</v>
      </c>
      <c r="I701" s="1115" t="n">
        <v>21240</v>
      </c>
      <c r="J701" s="1115" t="s">
        <v>1221</v>
      </c>
    </row>
    <row r="702" customFormat="false" ht="14.1" hidden="false" customHeight="true" outlineLevel="0" collapsed="false">
      <c r="A702" s="1115" t="n">
        <v>21230</v>
      </c>
      <c r="B702" s="1115" t="s">
        <v>160</v>
      </c>
      <c r="C702" s="1115" t="n">
        <v>21230</v>
      </c>
      <c r="D702" s="1115" t="s">
        <v>1164</v>
      </c>
      <c r="E702" s="1115" t="s">
        <v>1938</v>
      </c>
      <c r="F702" s="1115" t="n">
        <v>25310</v>
      </c>
      <c r="G702" s="1115" t="n">
        <v>21230</v>
      </c>
      <c r="H702" s="1115" t="s">
        <v>1164</v>
      </c>
      <c r="I702" s="1115" t="n">
        <v>21250</v>
      </c>
      <c r="J702" s="1115" t="s">
        <v>1221</v>
      </c>
    </row>
    <row r="703" customFormat="false" ht="14.1" hidden="false" customHeight="true" outlineLevel="0" collapsed="false">
      <c r="A703" s="1115" t="n">
        <v>21240</v>
      </c>
      <c r="B703" s="1115" t="s">
        <v>160</v>
      </c>
      <c r="C703" s="1115" t="n">
        <v>21240</v>
      </c>
      <c r="D703" s="1115" t="s">
        <v>737</v>
      </c>
      <c r="E703" s="1115" t="s">
        <v>883</v>
      </c>
      <c r="F703" s="1115" t="n">
        <v>99870</v>
      </c>
      <c r="G703" s="1115" t="n">
        <v>21240</v>
      </c>
      <c r="H703" s="1115" t="s">
        <v>737</v>
      </c>
      <c r="I703" s="1115" t="n">
        <v>21260</v>
      </c>
      <c r="J703" s="1115" t="s">
        <v>1277</v>
      </c>
    </row>
    <row r="704" customFormat="false" ht="14.1" hidden="false" customHeight="true" outlineLevel="0" collapsed="false">
      <c r="A704" s="1115" t="n">
        <v>21250</v>
      </c>
      <c r="B704" s="1115" t="s">
        <v>160</v>
      </c>
      <c r="C704" s="1115" t="n">
        <v>21250</v>
      </c>
      <c r="D704" s="1115" t="s">
        <v>1221</v>
      </c>
      <c r="E704" s="1115" t="s">
        <v>1939</v>
      </c>
      <c r="F704" s="1115" t="n">
        <v>93470</v>
      </c>
      <c r="G704" s="1115" t="n">
        <v>21250</v>
      </c>
      <c r="H704" s="1115" t="s">
        <v>1221</v>
      </c>
      <c r="I704" s="1115" t="n">
        <v>21260</v>
      </c>
      <c r="J704" s="1115" t="s">
        <v>1410</v>
      </c>
    </row>
    <row r="705" customFormat="false" ht="14.1" hidden="false" customHeight="true" outlineLevel="0" collapsed="false">
      <c r="A705" s="1115" t="n">
        <v>21260</v>
      </c>
      <c r="B705" s="1115" t="s">
        <v>160</v>
      </c>
      <c r="C705" s="1115" t="n">
        <v>21260</v>
      </c>
      <c r="D705" s="1115" t="s">
        <v>1940</v>
      </c>
      <c r="E705" s="1115" t="s">
        <v>1941</v>
      </c>
      <c r="F705" s="1115" t="n">
        <v>63920</v>
      </c>
      <c r="G705" s="1115" t="n">
        <v>21260</v>
      </c>
      <c r="H705" s="1115" t="s">
        <v>1940</v>
      </c>
      <c r="I705" s="1115" t="n">
        <v>21270</v>
      </c>
      <c r="J705" s="1115" t="s">
        <v>1410</v>
      </c>
    </row>
    <row r="706" customFormat="false" ht="14.1" hidden="false" customHeight="true" outlineLevel="0" collapsed="false">
      <c r="A706" s="1115" t="n">
        <v>21260</v>
      </c>
      <c r="B706" s="1115" t="s">
        <v>160</v>
      </c>
      <c r="C706" s="1115" t="n">
        <v>21260</v>
      </c>
      <c r="D706" s="1115" t="s">
        <v>1410</v>
      </c>
      <c r="E706" s="1115" t="s">
        <v>1942</v>
      </c>
      <c r="F706" s="1115" t="n">
        <v>63910</v>
      </c>
      <c r="G706" s="1115" t="n">
        <v>21260</v>
      </c>
      <c r="H706" s="1115" t="s">
        <v>1410</v>
      </c>
      <c r="I706" s="1115" t="n">
        <v>21275</v>
      </c>
      <c r="J706" s="1115" t="s">
        <v>1410</v>
      </c>
    </row>
    <row r="707" customFormat="false" ht="14.1" hidden="false" customHeight="true" outlineLevel="0" collapsed="false">
      <c r="A707" s="1115" t="n">
        <v>21270</v>
      </c>
      <c r="B707" s="1115" t="s">
        <v>160</v>
      </c>
      <c r="C707" s="1115" t="n">
        <v>21270</v>
      </c>
      <c r="D707" s="1115" t="s">
        <v>1277</v>
      </c>
      <c r="E707" s="1115" t="s">
        <v>885</v>
      </c>
      <c r="F707" s="1115" t="n">
        <v>23390</v>
      </c>
      <c r="G707" s="1115" t="n">
        <v>21270</v>
      </c>
      <c r="H707" s="1115" t="s">
        <v>1277</v>
      </c>
      <c r="I707" s="1115" t="n">
        <v>21280</v>
      </c>
      <c r="J707" s="1115" t="s">
        <v>1410</v>
      </c>
    </row>
    <row r="708" customFormat="false" ht="14.1" hidden="false" customHeight="true" outlineLevel="0" collapsed="false">
      <c r="A708" s="1115" t="n">
        <v>21275</v>
      </c>
      <c r="B708" s="1115" t="s">
        <v>160</v>
      </c>
      <c r="C708" s="1115" t="n">
        <v>21275</v>
      </c>
      <c r="D708" s="1115" t="s">
        <v>1943</v>
      </c>
      <c r="E708" s="1115" t="s">
        <v>1944</v>
      </c>
      <c r="F708" s="1115" t="n">
        <v>24520</v>
      </c>
      <c r="G708" s="1115" t="n">
        <v>21275</v>
      </c>
      <c r="H708" s="1115" t="s">
        <v>1943</v>
      </c>
      <c r="I708" s="1115" t="n">
        <v>21290</v>
      </c>
      <c r="J708" s="1115" t="s">
        <v>1456</v>
      </c>
    </row>
    <row r="709" customFormat="false" ht="14.1" hidden="false" customHeight="true" outlineLevel="0" collapsed="false">
      <c r="A709" s="1115" t="n">
        <v>21280</v>
      </c>
      <c r="B709" s="1115" t="s">
        <v>160</v>
      </c>
      <c r="C709" s="1115" t="n">
        <v>21280</v>
      </c>
      <c r="D709" s="1115" t="s">
        <v>1410</v>
      </c>
      <c r="E709" s="1115" t="s">
        <v>1945</v>
      </c>
      <c r="F709" s="1115" t="n">
        <v>46350</v>
      </c>
      <c r="G709" s="1115" t="n">
        <v>21280</v>
      </c>
      <c r="H709" s="1115" t="s">
        <v>1410</v>
      </c>
      <c r="I709" s="1115" t="n">
        <v>21310</v>
      </c>
      <c r="J709" s="1115" t="s">
        <v>1456</v>
      </c>
    </row>
    <row r="710" customFormat="false" ht="14.1" hidden="false" customHeight="true" outlineLevel="0" collapsed="false">
      <c r="A710" s="1115" t="n">
        <v>21290</v>
      </c>
      <c r="B710" s="1115" t="s">
        <v>160</v>
      </c>
      <c r="C710" s="1115" t="n">
        <v>21290</v>
      </c>
      <c r="D710" s="1115" t="s">
        <v>1456</v>
      </c>
      <c r="E710" s="1115" t="s">
        <v>1946</v>
      </c>
      <c r="F710" s="1115" t="n">
        <v>46900</v>
      </c>
      <c r="G710" s="1115" t="n">
        <v>21290</v>
      </c>
      <c r="H710" s="1115" t="s">
        <v>1456</v>
      </c>
      <c r="I710" s="1115" t="n">
        <v>21330</v>
      </c>
      <c r="J710" s="1115" t="s">
        <v>1456</v>
      </c>
    </row>
    <row r="711" customFormat="false" ht="14.1" hidden="false" customHeight="true" outlineLevel="0" collapsed="false">
      <c r="A711" s="1115" t="n">
        <v>21310</v>
      </c>
      <c r="B711" s="1115" t="s">
        <v>160</v>
      </c>
      <c r="C711" s="1115" t="n">
        <v>21310</v>
      </c>
      <c r="D711" s="1115" t="s">
        <v>1589</v>
      </c>
      <c r="E711" s="1115" t="s">
        <v>887</v>
      </c>
      <c r="F711" s="1115" t="n">
        <v>10210</v>
      </c>
      <c r="G711" s="1115" t="n">
        <v>21310</v>
      </c>
      <c r="H711" s="1115" t="s">
        <v>1589</v>
      </c>
      <c r="I711" s="1115" t="n">
        <v>21340</v>
      </c>
      <c r="J711" s="1115" t="s">
        <v>1456</v>
      </c>
    </row>
    <row r="712" customFormat="false" ht="14.1" hidden="false" customHeight="true" outlineLevel="0" collapsed="false">
      <c r="A712" s="1115" t="n">
        <v>21330</v>
      </c>
      <c r="B712" s="1115" t="s">
        <v>160</v>
      </c>
      <c r="C712" s="1115" t="n">
        <v>21330</v>
      </c>
      <c r="D712" s="1115" t="s">
        <v>1947</v>
      </c>
      <c r="E712" s="1115" t="s">
        <v>887</v>
      </c>
      <c r="F712" s="1115" t="n">
        <v>10230</v>
      </c>
      <c r="G712" s="1115" t="n">
        <v>21330</v>
      </c>
      <c r="H712" s="1115" t="s">
        <v>1947</v>
      </c>
      <c r="I712" s="1115" t="n">
        <v>21350</v>
      </c>
      <c r="J712" s="1115" t="s">
        <v>1170</v>
      </c>
    </row>
    <row r="713" customFormat="false" ht="14.1" hidden="false" customHeight="true" outlineLevel="0" collapsed="false">
      <c r="A713" s="1115" t="n">
        <v>21340</v>
      </c>
      <c r="B713" s="1115" t="s">
        <v>160</v>
      </c>
      <c r="C713" s="1115" t="n">
        <v>21340</v>
      </c>
      <c r="D713" s="1115" t="s">
        <v>1948</v>
      </c>
      <c r="E713" s="1115" t="s">
        <v>1949</v>
      </c>
      <c r="F713" s="1115" t="n">
        <v>27110</v>
      </c>
      <c r="G713" s="1115" t="n">
        <v>21340</v>
      </c>
      <c r="H713" s="1115" t="s">
        <v>1948</v>
      </c>
      <c r="I713" s="1115" t="n">
        <v>21360</v>
      </c>
      <c r="J713" s="1115" t="s">
        <v>1170</v>
      </c>
    </row>
    <row r="714" customFormat="false" ht="14.1" hidden="false" customHeight="true" outlineLevel="0" collapsed="false">
      <c r="A714" s="1115" t="n">
        <v>21350</v>
      </c>
      <c r="B714" s="1115" t="s">
        <v>160</v>
      </c>
      <c r="C714" s="1115" t="n">
        <v>21350</v>
      </c>
      <c r="D714" s="1115" t="s">
        <v>1922</v>
      </c>
      <c r="E714" s="1115" t="s">
        <v>1950</v>
      </c>
      <c r="F714" s="1115" t="n">
        <v>93790</v>
      </c>
      <c r="G714" s="1115" t="n">
        <v>21350</v>
      </c>
      <c r="H714" s="1115" t="s">
        <v>1922</v>
      </c>
      <c r="I714" s="1115" t="n">
        <v>21370</v>
      </c>
      <c r="J714" s="1115" t="s">
        <v>744</v>
      </c>
    </row>
    <row r="715" customFormat="false" ht="14.1" hidden="false" customHeight="true" outlineLevel="0" collapsed="false">
      <c r="A715" s="1115" t="n">
        <v>21360</v>
      </c>
      <c r="B715" s="1115" t="s">
        <v>160</v>
      </c>
      <c r="C715" s="1115" t="n">
        <v>21360</v>
      </c>
      <c r="D715" s="1115" t="s">
        <v>1170</v>
      </c>
      <c r="E715" s="1115" t="s">
        <v>1951</v>
      </c>
      <c r="F715" s="1115" t="n">
        <v>65760</v>
      </c>
      <c r="G715" s="1115" t="n">
        <v>21360</v>
      </c>
      <c r="H715" s="1115" t="s">
        <v>1170</v>
      </c>
      <c r="I715" s="1115" t="n">
        <v>21380</v>
      </c>
      <c r="J715" s="1115" t="s">
        <v>744</v>
      </c>
    </row>
    <row r="716" customFormat="false" ht="14.1" hidden="false" customHeight="true" outlineLevel="0" collapsed="false">
      <c r="A716" s="1115" t="n">
        <v>21370</v>
      </c>
      <c r="B716" s="1115" t="s">
        <v>160</v>
      </c>
      <c r="C716" s="1115" t="n">
        <v>21370</v>
      </c>
      <c r="D716" s="1115" t="s">
        <v>1952</v>
      </c>
      <c r="E716" s="1115" t="s">
        <v>1445</v>
      </c>
      <c r="F716" s="1115" t="n">
        <v>7750</v>
      </c>
      <c r="G716" s="1115" t="n">
        <v>21370</v>
      </c>
      <c r="H716" s="1115" t="s">
        <v>1952</v>
      </c>
      <c r="I716" s="1115" t="n">
        <v>21410</v>
      </c>
      <c r="J716" s="1115" t="s">
        <v>744</v>
      </c>
    </row>
    <row r="717" customFormat="false" ht="14.1" hidden="false" customHeight="true" outlineLevel="0" collapsed="false">
      <c r="A717" s="1115" t="n">
        <v>21380</v>
      </c>
      <c r="B717" s="1115" t="s">
        <v>160</v>
      </c>
      <c r="C717" s="1115" t="n">
        <v>21380</v>
      </c>
      <c r="D717" s="1115" t="s">
        <v>744</v>
      </c>
      <c r="E717" s="1115" t="s">
        <v>1783</v>
      </c>
      <c r="F717" s="1115" t="n">
        <v>16960</v>
      </c>
      <c r="G717" s="1115" t="n">
        <v>21380</v>
      </c>
      <c r="H717" s="1115" t="s">
        <v>744</v>
      </c>
      <c r="I717" s="1115" t="n">
        <v>21420</v>
      </c>
      <c r="J717" s="1115" t="s">
        <v>744</v>
      </c>
    </row>
    <row r="718" customFormat="false" ht="14.1" hidden="false" customHeight="true" outlineLevel="0" collapsed="false">
      <c r="A718" s="1115" t="n">
        <v>21410</v>
      </c>
      <c r="B718" s="1115" t="s">
        <v>160</v>
      </c>
      <c r="C718" s="1115" t="n">
        <v>21410</v>
      </c>
      <c r="D718" s="1115" t="s">
        <v>1953</v>
      </c>
      <c r="E718" s="1115" t="s">
        <v>1954</v>
      </c>
      <c r="F718" s="1115" t="n">
        <v>41460</v>
      </c>
      <c r="G718" s="1115" t="n">
        <v>21410</v>
      </c>
      <c r="H718" s="1115" t="s">
        <v>1953</v>
      </c>
      <c r="I718" s="1115" t="n">
        <v>21430</v>
      </c>
      <c r="J718" s="1115" t="s">
        <v>744</v>
      </c>
    </row>
    <row r="719" customFormat="false" ht="14.1" hidden="false" customHeight="true" outlineLevel="0" collapsed="false">
      <c r="A719" s="1115" t="n">
        <v>21420</v>
      </c>
      <c r="B719" s="1115" t="s">
        <v>160</v>
      </c>
      <c r="C719" s="1115" t="n">
        <v>21420</v>
      </c>
      <c r="D719" s="1115" t="s">
        <v>1170</v>
      </c>
      <c r="E719" s="1115" t="s">
        <v>1955</v>
      </c>
      <c r="F719" s="1115" t="n">
        <v>39420</v>
      </c>
      <c r="G719" s="1115" t="n">
        <v>21420</v>
      </c>
      <c r="H719" s="1115" t="s">
        <v>1170</v>
      </c>
      <c r="I719" s="1115" t="n">
        <v>21440</v>
      </c>
      <c r="J719" s="1115" t="s">
        <v>1556</v>
      </c>
    </row>
    <row r="720" customFormat="false" ht="14.1" hidden="false" customHeight="true" outlineLevel="0" collapsed="false">
      <c r="A720" s="1115" t="n">
        <v>21430</v>
      </c>
      <c r="B720" s="1115" t="s">
        <v>160</v>
      </c>
      <c r="C720" s="1115" t="n">
        <v>21430</v>
      </c>
      <c r="D720" s="1115" t="s">
        <v>1956</v>
      </c>
      <c r="E720" s="1115" t="s">
        <v>1957</v>
      </c>
      <c r="F720" s="1115" t="n">
        <v>27820</v>
      </c>
      <c r="G720" s="1115" t="n">
        <v>21430</v>
      </c>
      <c r="H720" s="1115" t="s">
        <v>1956</v>
      </c>
      <c r="I720" s="1115" t="n">
        <v>21450</v>
      </c>
      <c r="J720" s="1115" t="s">
        <v>1556</v>
      </c>
    </row>
    <row r="721" customFormat="false" ht="14.1" hidden="false" customHeight="true" outlineLevel="0" collapsed="false">
      <c r="A721" s="1115" t="n">
        <v>21440</v>
      </c>
      <c r="B721" s="1115" t="s">
        <v>160</v>
      </c>
      <c r="C721" s="1115" t="n">
        <v>21440</v>
      </c>
      <c r="D721" s="1115" t="s">
        <v>1958</v>
      </c>
      <c r="E721" s="1115" t="s">
        <v>1808</v>
      </c>
      <c r="F721" s="1115" t="n">
        <v>17450</v>
      </c>
      <c r="G721" s="1115" t="n">
        <v>21440</v>
      </c>
      <c r="H721" s="1115" t="s">
        <v>1958</v>
      </c>
      <c r="I721" s="1115" t="n">
        <v>21470</v>
      </c>
      <c r="J721" s="1115" t="s">
        <v>1556</v>
      </c>
    </row>
    <row r="722" customFormat="false" ht="14.1" hidden="false" customHeight="true" outlineLevel="0" collapsed="false">
      <c r="A722" s="1115" t="n">
        <v>21450</v>
      </c>
      <c r="B722" s="1115" t="s">
        <v>160</v>
      </c>
      <c r="C722" s="1115" t="n">
        <v>21450</v>
      </c>
      <c r="D722" s="1115" t="s">
        <v>1556</v>
      </c>
      <c r="E722" s="1115" t="s">
        <v>889</v>
      </c>
      <c r="F722" s="1115" t="n">
        <v>64900</v>
      </c>
      <c r="G722" s="1115" t="n">
        <v>21450</v>
      </c>
      <c r="H722" s="1115" t="s">
        <v>1556</v>
      </c>
      <c r="I722" s="1115" t="n">
        <v>21480</v>
      </c>
      <c r="J722" s="1115" t="s">
        <v>1219</v>
      </c>
    </row>
    <row r="723" customFormat="false" ht="14.1" hidden="false" customHeight="true" outlineLevel="0" collapsed="false">
      <c r="A723" s="1115" t="n">
        <v>21470</v>
      </c>
      <c r="B723" s="1115" t="s">
        <v>160</v>
      </c>
      <c r="C723" s="1115" t="n">
        <v>21470</v>
      </c>
      <c r="D723" s="1115" t="s">
        <v>1959</v>
      </c>
      <c r="E723" s="1115" t="s">
        <v>1960</v>
      </c>
      <c r="F723" s="1115" t="n">
        <v>60640</v>
      </c>
      <c r="G723" s="1115" t="n">
        <v>21470</v>
      </c>
      <c r="H723" s="1115" t="s">
        <v>1959</v>
      </c>
      <c r="I723" s="1115" t="n">
        <v>21490</v>
      </c>
      <c r="J723" s="1115" t="s">
        <v>1219</v>
      </c>
    </row>
    <row r="724" customFormat="false" ht="14.1" hidden="false" customHeight="true" outlineLevel="0" collapsed="false">
      <c r="A724" s="1115" t="n">
        <v>21480</v>
      </c>
      <c r="B724" s="1115" t="s">
        <v>160</v>
      </c>
      <c r="C724" s="1115" t="n">
        <v>21480</v>
      </c>
      <c r="D724" s="1115" t="s">
        <v>1961</v>
      </c>
      <c r="E724" s="1115" t="s">
        <v>1962</v>
      </c>
      <c r="F724" s="1115" t="n">
        <v>93510</v>
      </c>
      <c r="G724" s="1115" t="n">
        <v>21480</v>
      </c>
      <c r="H724" s="1115" t="s">
        <v>1961</v>
      </c>
      <c r="I724" s="1115" t="n">
        <v>21495</v>
      </c>
      <c r="J724" s="1115" t="s">
        <v>1219</v>
      </c>
    </row>
    <row r="725" customFormat="false" ht="14.1" hidden="false" customHeight="true" outlineLevel="0" collapsed="false">
      <c r="A725" s="1115" t="n">
        <v>21490</v>
      </c>
      <c r="B725" s="1115" t="s">
        <v>160</v>
      </c>
      <c r="C725" s="1115" t="n">
        <v>21490</v>
      </c>
      <c r="D725" s="1115" t="s">
        <v>1219</v>
      </c>
      <c r="E725" s="1115" t="s">
        <v>1963</v>
      </c>
      <c r="F725" s="1115" t="n">
        <v>98400</v>
      </c>
      <c r="G725" s="1115" t="n">
        <v>21490</v>
      </c>
      <c r="H725" s="1115" t="s">
        <v>1219</v>
      </c>
      <c r="I725" s="1115" t="n">
        <v>21500</v>
      </c>
      <c r="J725" s="1115" t="s">
        <v>1219</v>
      </c>
    </row>
    <row r="726" customFormat="false" ht="14.1" hidden="false" customHeight="true" outlineLevel="0" collapsed="false">
      <c r="A726" s="1115" t="n">
        <v>21495</v>
      </c>
      <c r="B726" s="1115" t="s">
        <v>160</v>
      </c>
      <c r="C726" s="1115" t="n">
        <v>21495</v>
      </c>
      <c r="D726" s="1115" t="s">
        <v>1964</v>
      </c>
      <c r="E726" s="1115" t="s">
        <v>891</v>
      </c>
      <c r="F726" s="1115" t="n">
        <v>61500</v>
      </c>
      <c r="G726" s="1115" t="n">
        <v>21495</v>
      </c>
      <c r="H726" s="1115" t="s">
        <v>1964</v>
      </c>
      <c r="I726" s="1115" t="n">
        <v>21510</v>
      </c>
      <c r="J726" s="1115" t="s">
        <v>1314</v>
      </c>
    </row>
    <row r="727" customFormat="false" ht="14.1" hidden="false" customHeight="true" outlineLevel="0" collapsed="false">
      <c r="A727" s="1115" t="n">
        <v>21500</v>
      </c>
      <c r="B727" s="1115" t="s">
        <v>160</v>
      </c>
      <c r="C727" s="1115" t="n">
        <v>21500</v>
      </c>
      <c r="D727" s="1115" t="s">
        <v>1349</v>
      </c>
      <c r="E727" s="1115" t="s">
        <v>1965</v>
      </c>
      <c r="F727" s="1115" t="n">
        <v>61430</v>
      </c>
      <c r="G727" s="1115" t="n">
        <v>21500</v>
      </c>
      <c r="H727" s="1115" t="s">
        <v>1349</v>
      </c>
      <c r="I727" s="1115" t="n">
        <v>21520</v>
      </c>
      <c r="J727" s="1115" t="s">
        <v>1314</v>
      </c>
    </row>
    <row r="728" customFormat="false" ht="14.1" hidden="false" customHeight="true" outlineLevel="0" collapsed="false">
      <c r="A728" s="1115" t="n">
        <v>21510</v>
      </c>
      <c r="B728" s="1115" t="s">
        <v>160</v>
      </c>
      <c r="C728" s="1115" t="n">
        <v>21510</v>
      </c>
      <c r="D728" s="1115" t="s">
        <v>1680</v>
      </c>
      <c r="E728" s="1115" t="s">
        <v>1966</v>
      </c>
      <c r="F728" s="1115" t="n">
        <v>44350</v>
      </c>
      <c r="G728" s="1115" t="n">
        <v>21510</v>
      </c>
      <c r="H728" s="1115" t="s">
        <v>1680</v>
      </c>
      <c r="I728" s="1115" t="n">
        <v>21530</v>
      </c>
      <c r="J728" s="1115" t="s">
        <v>1314</v>
      </c>
    </row>
    <row r="729" customFormat="false" ht="14.1" hidden="false" customHeight="true" outlineLevel="0" collapsed="false">
      <c r="A729" s="1115" t="n">
        <v>21520</v>
      </c>
      <c r="B729" s="1115" t="s">
        <v>160</v>
      </c>
      <c r="C729" s="1115" t="n">
        <v>21520</v>
      </c>
      <c r="D729" s="1115" t="s">
        <v>1967</v>
      </c>
      <c r="E729" s="1115" t="s">
        <v>1968</v>
      </c>
      <c r="F729" s="1115" t="n">
        <v>34550</v>
      </c>
      <c r="G729" s="1115" t="n">
        <v>21520</v>
      </c>
      <c r="H729" s="1115" t="s">
        <v>1967</v>
      </c>
      <c r="I729" s="1115" t="n">
        <v>21540</v>
      </c>
      <c r="J729" s="1115" t="s">
        <v>1314</v>
      </c>
    </row>
    <row r="730" customFormat="false" ht="14.1" hidden="false" customHeight="true" outlineLevel="0" collapsed="false">
      <c r="A730" s="1115" t="n">
        <v>21530</v>
      </c>
      <c r="B730" s="1115" t="s">
        <v>160</v>
      </c>
      <c r="C730" s="1115" t="n">
        <v>21530</v>
      </c>
      <c r="D730" s="1115" t="s">
        <v>1314</v>
      </c>
      <c r="E730" s="1115" t="s">
        <v>1969</v>
      </c>
      <c r="F730" s="1115" t="n">
        <v>72140</v>
      </c>
      <c r="G730" s="1115" t="n">
        <v>21530</v>
      </c>
      <c r="H730" s="1115" t="s">
        <v>1314</v>
      </c>
      <c r="I730" s="1115" t="n">
        <v>21555</v>
      </c>
      <c r="J730" s="1115" t="s">
        <v>1314</v>
      </c>
    </row>
    <row r="731" customFormat="false" ht="14.1" hidden="false" customHeight="true" outlineLevel="0" collapsed="false">
      <c r="A731" s="1115" t="n">
        <v>21540</v>
      </c>
      <c r="B731" s="1115" t="s">
        <v>160</v>
      </c>
      <c r="C731" s="1115" t="n">
        <v>21540</v>
      </c>
      <c r="D731" s="1115" t="s">
        <v>1970</v>
      </c>
      <c r="E731" s="1115" t="s">
        <v>1971</v>
      </c>
      <c r="F731" s="1115" t="n">
        <v>79350</v>
      </c>
      <c r="G731" s="1115" t="n">
        <v>21540</v>
      </c>
      <c r="H731" s="1115" t="s">
        <v>1970</v>
      </c>
      <c r="I731" s="1115" t="n">
        <v>21570</v>
      </c>
      <c r="J731" s="1115" t="s">
        <v>1479</v>
      </c>
    </row>
    <row r="732" customFormat="false" ht="14.1" hidden="false" customHeight="true" outlineLevel="0" collapsed="false">
      <c r="A732" s="1115" t="n">
        <v>21555</v>
      </c>
      <c r="B732" s="1115" t="s">
        <v>160</v>
      </c>
      <c r="C732" s="1115" t="n">
        <v>21555</v>
      </c>
      <c r="D732" s="1115" t="s">
        <v>1972</v>
      </c>
      <c r="E732" s="1115" t="s">
        <v>1973</v>
      </c>
      <c r="F732" s="1115" t="n">
        <v>95370</v>
      </c>
      <c r="G732" s="1115" t="n">
        <v>21555</v>
      </c>
      <c r="H732" s="1115" t="s">
        <v>1972</v>
      </c>
      <c r="I732" s="1115" t="n">
        <v>21590</v>
      </c>
      <c r="J732" s="1115" t="s">
        <v>1479</v>
      </c>
    </row>
    <row r="733" customFormat="false" ht="14.1" hidden="false" customHeight="true" outlineLevel="0" collapsed="false">
      <c r="A733" s="1115" t="n">
        <v>21570</v>
      </c>
      <c r="B733" s="1115" t="s">
        <v>160</v>
      </c>
      <c r="C733" s="1115" t="n">
        <v>21570</v>
      </c>
      <c r="D733" s="1115" t="s">
        <v>1479</v>
      </c>
      <c r="E733" s="1115" t="s">
        <v>1974</v>
      </c>
      <c r="F733" s="1115" t="n">
        <v>62660</v>
      </c>
      <c r="G733" s="1115" t="n">
        <v>21570</v>
      </c>
      <c r="H733" s="1115" t="s">
        <v>1479</v>
      </c>
      <c r="I733" s="1115" t="n">
        <v>21600</v>
      </c>
      <c r="J733" s="1115" t="s">
        <v>1318</v>
      </c>
    </row>
    <row r="734" customFormat="false" ht="14.1" hidden="false" customHeight="true" outlineLevel="0" collapsed="false">
      <c r="A734" s="1115" t="n">
        <v>21590</v>
      </c>
      <c r="B734" s="1115" t="s">
        <v>160</v>
      </c>
      <c r="C734" s="1115" t="n">
        <v>21590</v>
      </c>
      <c r="D734" s="1115" t="s">
        <v>1975</v>
      </c>
      <c r="E734" s="1115" t="s">
        <v>1974</v>
      </c>
      <c r="F734" s="1115" t="n">
        <v>62660</v>
      </c>
      <c r="G734" s="1115" t="n">
        <v>21590</v>
      </c>
      <c r="H734" s="1115" t="s">
        <v>1975</v>
      </c>
      <c r="I734" s="1115" t="n">
        <v>21610</v>
      </c>
      <c r="J734" s="1115" t="s">
        <v>1318</v>
      </c>
    </row>
    <row r="735" customFormat="false" ht="14.1" hidden="false" customHeight="true" outlineLevel="0" collapsed="false">
      <c r="A735" s="1115" t="n">
        <v>21600</v>
      </c>
      <c r="B735" s="1115" t="s">
        <v>160</v>
      </c>
      <c r="C735" s="1115" t="n">
        <v>21600</v>
      </c>
      <c r="D735" s="1115" t="s">
        <v>1318</v>
      </c>
      <c r="E735" s="1115" t="s">
        <v>1976</v>
      </c>
      <c r="F735" s="1115" t="n">
        <v>58190</v>
      </c>
      <c r="G735" s="1115" t="n">
        <v>21600</v>
      </c>
      <c r="H735" s="1115" t="s">
        <v>1318</v>
      </c>
      <c r="I735" s="1115" t="n">
        <v>21620</v>
      </c>
      <c r="J735" s="1115" t="s">
        <v>1318</v>
      </c>
    </row>
    <row r="736" customFormat="false" ht="14.1" hidden="false" customHeight="true" outlineLevel="0" collapsed="false">
      <c r="A736" s="1115" t="n">
        <v>21610</v>
      </c>
      <c r="B736" s="1115" t="s">
        <v>160</v>
      </c>
      <c r="C736" s="1115" t="n">
        <v>21610</v>
      </c>
      <c r="D736" s="1115" t="s">
        <v>1977</v>
      </c>
      <c r="E736" s="1115" t="s">
        <v>171</v>
      </c>
      <c r="F736" s="1115" t="n">
        <v>99800</v>
      </c>
      <c r="G736" s="1115" t="n">
        <v>21610</v>
      </c>
      <c r="H736" s="1115" t="s">
        <v>1977</v>
      </c>
      <c r="I736" s="1115" t="n">
        <v>21630</v>
      </c>
      <c r="J736" s="1115" t="s">
        <v>1318</v>
      </c>
    </row>
    <row r="737" customFormat="false" ht="14.1" hidden="false" customHeight="true" outlineLevel="0" collapsed="false">
      <c r="A737" s="1115" t="n">
        <v>21620</v>
      </c>
      <c r="B737" s="1115" t="s">
        <v>160</v>
      </c>
      <c r="C737" s="1115" t="n">
        <v>21620</v>
      </c>
      <c r="D737" s="1115" t="s">
        <v>1978</v>
      </c>
      <c r="E737" s="1115" t="s">
        <v>894</v>
      </c>
      <c r="F737" s="1115" t="n">
        <v>47710</v>
      </c>
      <c r="G737" s="1115" t="n">
        <v>21620</v>
      </c>
      <c r="H737" s="1115" t="s">
        <v>1978</v>
      </c>
      <c r="I737" s="1115" t="n">
        <v>21650</v>
      </c>
      <c r="J737" s="1115" t="s">
        <v>1318</v>
      </c>
    </row>
    <row r="738" customFormat="false" ht="14.1" hidden="false" customHeight="true" outlineLevel="0" collapsed="false">
      <c r="A738" s="1115" t="n">
        <v>21630</v>
      </c>
      <c r="B738" s="1115" t="s">
        <v>160</v>
      </c>
      <c r="C738" s="1115" t="n">
        <v>21630</v>
      </c>
      <c r="D738" s="1115" t="s">
        <v>1979</v>
      </c>
      <c r="E738" s="1115" t="s">
        <v>1980</v>
      </c>
      <c r="F738" s="1115" t="n">
        <v>91740</v>
      </c>
      <c r="G738" s="1115" t="n">
        <v>21630</v>
      </c>
      <c r="H738" s="1115" t="s">
        <v>1979</v>
      </c>
      <c r="I738" s="1115" t="n">
        <v>21660</v>
      </c>
      <c r="J738" s="1115" t="s">
        <v>1318</v>
      </c>
    </row>
    <row r="739" customFormat="false" ht="14.1" hidden="false" customHeight="true" outlineLevel="0" collapsed="false">
      <c r="A739" s="1115" t="n">
        <v>21650</v>
      </c>
      <c r="B739" s="1115" t="s">
        <v>160</v>
      </c>
      <c r="C739" s="1115" t="n">
        <v>21650</v>
      </c>
      <c r="D739" s="1115" t="s">
        <v>1981</v>
      </c>
      <c r="E739" s="1115" t="s">
        <v>1982</v>
      </c>
      <c r="F739" s="1115" t="n">
        <v>38350</v>
      </c>
      <c r="G739" s="1115" t="n">
        <v>21650</v>
      </c>
      <c r="H739" s="1115" t="s">
        <v>1981</v>
      </c>
      <c r="I739" s="1115" t="n">
        <v>21670</v>
      </c>
      <c r="J739" s="1115" t="s">
        <v>1318</v>
      </c>
    </row>
    <row r="740" customFormat="false" ht="14.1" hidden="false" customHeight="true" outlineLevel="0" collapsed="false">
      <c r="A740" s="1115" t="n">
        <v>21660</v>
      </c>
      <c r="B740" s="1115" t="s">
        <v>160</v>
      </c>
      <c r="C740" s="1115" t="n">
        <v>21660</v>
      </c>
      <c r="D740" s="1115" t="s">
        <v>1262</v>
      </c>
      <c r="E740" s="1115" t="s">
        <v>1983</v>
      </c>
      <c r="F740" s="1115" t="n">
        <v>97170</v>
      </c>
      <c r="G740" s="1115" t="n">
        <v>21660</v>
      </c>
      <c r="H740" s="1115" t="s">
        <v>1262</v>
      </c>
      <c r="I740" s="1115" t="n">
        <v>21680</v>
      </c>
      <c r="J740" s="1115" t="s">
        <v>1318</v>
      </c>
    </row>
    <row r="741" customFormat="false" ht="14.1" hidden="false" customHeight="true" outlineLevel="0" collapsed="false">
      <c r="A741" s="1115" t="n">
        <v>21670</v>
      </c>
      <c r="B741" s="1115" t="s">
        <v>160</v>
      </c>
      <c r="C741" s="1115" t="n">
        <v>21670</v>
      </c>
      <c r="D741" s="1115" t="s">
        <v>1984</v>
      </c>
      <c r="E741" s="1115" t="s">
        <v>1377</v>
      </c>
      <c r="F741" s="1115" t="n">
        <v>7320</v>
      </c>
      <c r="G741" s="1115" t="n">
        <v>21670</v>
      </c>
      <c r="H741" s="1115" t="s">
        <v>1984</v>
      </c>
      <c r="I741" s="1115" t="n">
        <v>21710</v>
      </c>
      <c r="J741" s="1115" t="s">
        <v>1318</v>
      </c>
    </row>
    <row r="742" customFormat="false" ht="14.1" hidden="false" customHeight="true" outlineLevel="0" collapsed="false">
      <c r="A742" s="1115" t="n">
        <v>21680</v>
      </c>
      <c r="B742" s="1115" t="s">
        <v>160</v>
      </c>
      <c r="C742" s="1115" t="n">
        <v>21680</v>
      </c>
      <c r="D742" s="1115" t="s">
        <v>1985</v>
      </c>
      <c r="E742" s="1115" t="s">
        <v>1986</v>
      </c>
      <c r="F742" s="1115" t="n">
        <v>91210</v>
      </c>
      <c r="G742" s="1115" t="n">
        <v>21680</v>
      </c>
      <c r="H742" s="1115" t="s">
        <v>1985</v>
      </c>
      <c r="I742" s="1115" t="n">
        <v>21720</v>
      </c>
      <c r="J742" s="1115" t="s">
        <v>1318</v>
      </c>
    </row>
    <row r="743" customFormat="false" ht="14.1" hidden="false" customHeight="true" outlineLevel="0" collapsed="false">
      <c r="A743" s="1115" t="n">
        <v>21710</v>
      </c>
      <c r="B743" s="1115" t="s">
        <v>160</v>
      </c>
      <c r="C743" s="1115" t="n">
        <v>21710</v>
      </c>
      <c r="D743" s="1115" t="s">
        <v>1100</v>
      </c>
      <c r="E743" s="1115" t="s">
        <v>1987</v>
      </c>
      <c r="F743" s="1115" t="n">
        <v>66450</v>
      </c>
      <c r="G743" s="1115" t="n">
        <v>21710</v>
      </c>
      <c r="H743" s="1115" t="s">
        <v>1100</v>
      </c>
      <c r="I743" s="1115" t="n">
        <v>21740</v>
      </c>
      <c r="J743" s="1115" t="s">
        <v>1318</v>
      </c>
    </row>
    <row r="744" customFormat="false" ht="14.1" hidden="false" customHeight="true" outlineLevel="0" collapsed="false">
      <c r="A744" s="1115" t="n">
        <v>21720</v>
      </c>
      <c r="B744" s="1115" t="s">
        <v>160</v>
      </c>
      <c r="C744" s="1115" t="n">
        <v>21720</v>
      </c>
      <c r="D744" s="1115" t="s">
        <v>1988</v>
      </c>
      <c r="E744" s="1115" t="s">
        <v>1989</v>
      </c>
      <c r="F744" s="1115" t="n">
        <v>81220</v>
      </c>
      <c r="G744" s="1115" t="n">
        <v>21720</v>
      </c>
      <c r="H744" s="1115" t="s">
        <v>1988</v>
      </c>
      <c r="I744" s="1115" t="n">
        <v>21750</v>
      </c>
      <c r="J744" s="1115" t="s">
        <v>1318</v>
      </c>
    </row>
    <row r="745" customFormat="false" ht="14.1" hidden="false" customHeight="true" outlineLevel="0" collapsed="false">
      <c r="A745" s="1115" t="n">
        <v>21740</v>
      </c>
      <c r="B745" s="1115" t="s">
        <v>160</v>
      </c>
      <c r="C745" s="1115" t="n">
        <v>21740</v>
      </c>
      <c r="D745" s="1115" t="s">
        <v>1990</v>
      </c>
      <c r="E745" s="1115" t="s">
        <v>1991</v>
      </c>
      <c r="F745" s="1115" t="n">
        <v>31940</v>
      </c>
      <c r="G745" s="1115" t="n">
        <v>21740</v>
      </c>
      <c r="H745" s="1115" t="s">
        <v>1990</v>
      </c>
      <c r="I745" s="1115" t="n">
        <v>21760</v>
      </c>
      <c r="J745" s="1115" t="s">
        <v>1318</v>
      </c>
    </row>
    <row r="746" customFormat="false" ht="14.1" hidden="false" customHeight="true" outlineLevel="0" collapsed="false">
      <c r="A746" s="1115" t="n">
        <v>21750</v>
      </c>
      <c r="B746" s="1115" t="s">
        <v>160</v>
      </c>
      <c r="C746" s="1115" t="n">
        <v>21750</v>
      </c>
      <c r="D746" s="1115" t="s">
        <v>1992</v>
      </c>
      <c r="E746" s="1115" t="s">
        <v>897</v>
      </c>
      <c r="F746" s="1115" t="n">
        <v>61600</v>
      </c>
      <c r="G746" s="1115" t="n">
        <v>21750</v>
      </c>
      <c r="H746" s="1115" t="s">
        <v>1992</v>
      </c>
      <c r="I746" s="1115" t="n">
        <v>21770</v>
      </c>
      <c r="J746" s="1115" t="s">
        <v>1318</v>
      </c>
    </row>
    <row r="747" customFormat="false" ht="14.1" hidden="false" customHeight="true" outlineLevel="0" collapsed="false">
      <c r="A747" s="1115" t="n">
        <v>21760</v>
      </c>
      <c r="B747" s="1115" t="s">
        <v>160</v>
      </c>
      <c r="C747" s="1115" t="n">
        <v>21760</v>
      </c>
      <c r="D747" s="1115" t="s">
        <v>857</v>
      </c>
      <c r="E747" s="1115" t="s">
        <v>1993</v>
      </c>
      <c r="F747" s="1115" t="n">
        <v>61250</v>
      </c>
      <c r="G747" s="1115" t="n">
        <v>21760</v>
      </c>
      <c r="H747" s="1115" t="s">
        <v>857</v>
      </c>
      <c r="I747" s="1115" t="n">
        <v>21780</v>
      </c>
      <c r="J747" s="1115" t="s">
        <v>1318</v>
      </c>
    </row>
    <row r="748" customFormat="false" ht="14.1" hidden="false" customHeight="true" outlineLevel="0" collapsed="false">
      <c r="A748" s="1115" t="n">
        <v>21770</v>
      </c>
      <c r="B748" s="1115" t="s">
        <v>160</v>
      </c>
      <c r="C748" s="1115" t="n">
        <v>21770</v>
      </c>
      <c r="D748" s="1115" t="s">
        <v>1994</v>
      </c>
      <c r="E748" s="1115" t="s">
        <v>1995</v>
      </c>
      <c r="F748" s="1115" t="n">
        <v>81810</v>
      </c>
      <c r="G748" s="1115" t="n">
        <v>21770</v>
      </c>
      <c r="H748" s="1115" t="s">
        <v>1994</v>
      </c>
      <c r="I748" s="1115" t="n">
        <v>21800</v>
      </c>
      <c r="J748" s="1115" t="s">
        <v>1405</v>
      </c>
    </row>
    <row r="749" customFormat="false" ht="14.1" hidden="false" customHeight="true" outlineLevel="0" collapsed="false">
      <c r="A749" s="1115" t="n">
        <v>21780</v>
      </c>
      <c r="B749" s="1115" t="s">
        <v>160</v>
      </c>
      <c r="C749" s="1115" t="n">
        <v>21780</v>
      </c>
      <c r="D749" s="1115" t="s">
        <v>1996</v>
      </c>
      <c r="E749" s="1115" t="s">
        <v>899</v>
      </c>
      <c r="F749" s="1115" t="n">
        <v>14240</v>
      </c>
      <c r="G749" s="1115" t="n">
        <v>21780</v>
      </c>
      <c r="H749" s="1115" t="s">
        <v>1996</v>
      </c>
      <c r="I749" s="1115" t="n">
        <v>21820</v>
      </c>
      <c r="J749" s="1115" t="s">
        <v>1405</v>
      </c>
    </row>
    <row r="750" customFormat="false" ht="14.1" hidden="false" customHeight="true" outlineLevel="0" collapsed="false">
      <c r="A750" s="1115" t="n">
        <v>21800</v>
      </c>
      <c r="B750" s="1115" t="s">
        <v>160</v>
      </c>
      <c r="C750" s="1115" t="n">
        <v>21800</v>
      </c>
      <c r="D750" s="1115" t="s">
        <v>1997</v>
      </c>
      <c r="E750" s="1115" t="s">
        <v>1998</v>
      </c>
      <c r="F750" s="1115" t="n">
        <v>95720</v>
      </c>
      <c r="G750" s="1115" t="n">
        <v>21800</v>
      </c>
      <c r="H750" s="1115" t="s">
        <v>1997</v>
      </c>
      <c r="I750" s="1115" t="n">
        <v>21830</v>
      </c>
      <c r="J750" s="1115" t="s">
        <v>1405</v>
      </c>
    </row>
    <row r="751" customFormat="false" ht="14.1" hidden="false" customHeight="true" outlineLevel="0" collapsed="false">
      <c r="A751" s="1115" t="n">
        <v>21820</v>
      </c>
      <c r="B751" s="1115" t="s">
        <v>160</v>
      </c>
      <c r="C751" s="1115" t="n">
        <v>21820</v>
      </c>
      <c r="D751" s="1115" t="s">
        <v>1999</v>
      </c>
      <c r="E751" s="1115" t="s">
        <v>2000</v>
      </c>
      <c r="F751" s="1115" t="n">
        <v>93350</v>
      </c>
      <c r="G751" s="1115" t="n">
        <v>21820</v>
      </c>
      <c r="H751" s="1115" t="s">
        <v>1999</v>
      </c>
      <c r="I751" s="1115" t="n">
        <v>21840</v>
      </c>
      <c r="J751" s="1115" t="s">
        <v>1405</v>
      </c>
    </row>
    <row r="752" customFormat="false" ht="14.1" hidden="false" customHeight="true" outlineLevel="0" collapsed="false">
      <c r="A752" s="1115" t="n">
        <v>21830</v>
      </c>
      <c r="B752" s="1115" t="s">
        <v>160</v>
      </c>
      <c r="C752" s="1115" t="n">
        <v>21830</v>
      </c>
      <c r="D752" s="1115" t="s">
        <v>2001</v>
      </c>
      <c r="E752" s="1115" t="s">
        <v>2002</v>
      </c>
      <c r="F752" s="1115" t="n">
        <v>98330</v>
      </c>
      <c r="G752" s="1115" t="n">
        <v>21830</v>
      </c>
      <c r="H752" s="1115" t="s">
        <v>2001</v>
      </c>
      <c r="I752" s="1115" t="n">
        <v>21860</v>
      </c>
      <c r="J752" s="1115" t="s">
        <v>1405</v>
      </c>
    </row>
    <row r="753" customFormat="false" ht="14.1" hidden="false" customHeight="true" outlineLevel="0" collapsed="false">
      <c r="A753" s="1115" t="n">
        <v>21840</v>
      </c>
      <c r="B753" s="1115" t="s">
        <v>160</v>
      </c>
      <c r="C753" s="1115" t="n">
        <v>21840</v>
      </c>
      <c r="D753" s="1115" t="s">
        <v>2003</v>
      </c>
      <c r="E753" s="1115" t="s">
        <v>2004</v>
      </c>
      <c r="F753" s="1115" t="n">
        <v>99770</v>
      </c>
      <c r="G753" s="1115" t="n">
        <v>21840</v>
      </c>
      <c r="H753" s="1115" t="s">
        <v>2003</v>
      </c>
      <c r="I753" s="1115" t="n">
        <v>21870</v>
      </c>
      <c r="J753" s="1115" t="s">
        <v>1405</v>
      </c>
    </row>
    <row r="754" customFormat="false" ht="14.1" hidden="false" customHeight="true" outlineLevel="0" collapsed="false">
      <c r="A754" s="1115" t="n">
        <v>21860</v>
      </c>
      <c r="B754" s="1115" t="s">
        <v>160</v>
      </c>
      <c r="C754" s="1115" t="n">
        <v>21860</v>
      </c>
      <c r="D754" s="1115" t="s">
        <v>969</v>
      </c>
      <c r="E754" s="1115" t="s">
        <v>2005</v>
      </c>
      <c r="F754" s="1115" t="n">
        <v>99230</v>
      </c>
      <c r="G754" s="1115" t="n">
        <v>21860</v>
      </c>
      <c r="H754" s="1115" t="s">
        <v>969</v>
      </c>
      <c r="I754" s="1115" t="n">
        <v>21880</v>
      </c>
      <c r="J754" s="1115" t="s">
        <v>1405</v>
      </c>
    </row>
    <row r="755" customFormat="false" ht="14.1" hidden="false" customHeight="true" outlineLevel="0" collapsed="false">
      <c r="A755" s="1115" t="n">
        <v>21870</v>
      </c>
      <c r="B755" s="1115" t="s">
        <v>160</v>
      </c>
      <c r="C755" s="1115" t="n">
        <v>21870</v>
      </c>
      <c r="D755" s="1115" t="s">
        <v>2006</v>
      </c>
      <c r="E755" s="1115" t="s">
        <v>2007</v>
      </c>
      <c r="F755" s="1115" t="n">
        <v>66850</v>
      </c>
      <c r="G755" s="1115" t="n">
        <v>21870</v>
      </c>
      <c r="H755" s="1115" t="s">
        <v>2006</v>
      </c>
      <c r="I755" s="1115" t="n">
        <v>21890</v>
      </c>
      <c r="J755" s="1115" t="s">
        <v>1405</v>
      </c>
    </row>
    <row r="756" customFormat="false" ht="14.1" hidden="false" customHeight="true" outlineLevel="0" collapsed="false">
      <c r="A756" s="1115" t="n">
        <v>21880</v>
      </c>
      <c r="B756" s="1115" t="s">
        <v>160</v>
      </c>
      <c r="C756" s="1115" t="n">
        <v>21880</v>
      </c>
      <c r="D756" s="1115" t="s">
        <v>1405</v>
      </c>
      <c r="E756" s="1115" t="s">
        <v>2008</v>
      </c>
      <c r="F756" s="1115" t="n">
        <v>99380</v>
      </c>
      <c r="G756" s="1115" t="n">
        <v>21880</v>
      </c>
      <c r="H756" s="1115" t="s">
        <v>1405</v>
      </c>
      <c r="I756" s="1115" t="n">
        <v>21900</v>
      </c>
      <c r="J756" s="1115" t="s">
        <v>1405</v>
      </c>
    </row>
    <row r="757" customFormat="false" ht="14.1" hidden="false" customHeight="true" outlineLevel="0" collapsed="false">
      <c r="A757" s="1115" t="n">
        <v>21890</v>
      </c>
      <c r="B757" s="1115" t="s">
        <v>160</v>
      </c>
      <c r="C757" s="1115" t="n">
        <v>21890</v>
      </c>
      <c r="D757" s="1115" t="s">
        <v>1499</v>
      </c>
      <c r="E757" s="1115" t="s">
        <v>2009</v>
      </c>
      <c r="F757" s="1115" t="n">
        <v>85450</v>
      </c>
      <c r="G757" s="1115" t="n">
        <v>21890</v>
      </c>
      <c r="H757" s="1115" t="s">
        <v>1499</v>
      </c>
      <c r="I757" s="1115" t="n">
        <v>21930</v>
      </c>
      <c r="J757" s="1115" t="s">
        <v>1405</v>
      </c>
    </row>
    <row r="758" customFormat="false" ht="14.1" hidden="false" customHeight="true" outlineLevel="0" collapsed="false">
      <c r="A758" s="1115" t="n">
        <v>21900</v>
      </c>
      <c r="B758" s="1115" t="s">
        <v>160</v>
      </c>
      <c r="C758" s="1115" t="n">
        <v>21900</v>
      </c>
      <c r="D758" s="1115" t="s">
        <v>1642</v>
      </c>
      <c r="E758" s="1115" t="s">
        <v>167</v>
      </c>
      <c r="F758" s="1115" t="n">
        <v>80100</v>
      </c>
      <c r="G758" s="1115" t="n">
        <v>21900</v>
      </c>
      <c r="H758" s="1115" t="s">
        <v>1642</v>
      </c>
      <c r="I758" s="1115" t="n">
        <v>21970</v>
      </c>
      <c r="J758" s="1115" t="s">
        <v>1539</v>
      </c>
    </row>
    <row r="759" customFormat="false" ht="14.1" hidden="false" customHeight="true" outlineLevel="0" collapsed="false">
      <c r="A759" s="1115" t="n">
        <v>21930</v>
      </c>
      <c r="B759" s="1115" t="s">
        <v>160</v>
      </c>
      <c r="C759" s="1115" t="n">
        <v>21930</v>
      </c>
      <c r="D759" s="1115" t="s">
        <v>2010</v>
      </c>
      <c r="E759" s="1115" t="s">
        <v>167</v>
      </c>
      <c r="F759" s="1115" t="n">
        <v>80100</v>
      </c>
      <c r="G759" s="1115" t="n">
        <v>21930</v>
      </c>
      <c r="H759" s="1115" t="s">
        <v>2010</v>
      </c>
      <c r="I759" s="1115" t="n">
        <v>22100</v>
      </c>
      <c r="J759" s="1115" t="s">
        <v>903</v>
      </c>
    </row>
    <row r="760" customFormat="false" ht="14.1" hidden="false" customHeight="true" outlineLevel="0" collapsed="false">
      <c r="A760" s="1115" t="n">
        <v>21970</v>
      </c>
      <c r="B760" s="1115" t="s">
        <v>160</v>
      </c>
      <c r="C760" s="1115" t="n">
        <v>21970</v>
      </c>
      <c r="D760" s="1115" t="s">
        <v>2011</v>
      </c>
      <c r="E760" s="1115" t="s">
        <v>167</v>
      </c>
      <c r="F760" s="1115" t="n">
        <v>80110</v>
      </c>
      <c r="G760" s="1115" t="n">
        <v>21970</v>
      </c>
      <c r="H760" s="1115" t="s">
        <v>2011</v>
      </c>
      <c r="I760" s="1115" t="n">
        <v>22100</v>
      </c>
      <c r="J760" s="1115" t="s">
        <v>1144</v>
      </c>
    </row>
    <row r="761" customFormat="false" ht="14.1" hidden="false" customHeight="true" outlineLevel="0" collapsed="false">
      <c r="A761" s="1115" t="n">
        <v>22100</v>
      </c>
      <c r="B761" s="1115" t="s">
        <v>156</v>
      </c>
      <c r="C761" s="1115" t="n">
        <v>22100</v>
      </c>
      <c r="D761" s="1115" t="s">
        <v>2012</v>
      </c>
      <c r="E761" s="1115" t="s">
        <v>167</v>
      </c>
      <c r="F761" s="1115" t="n">
        <v>80120</v>
      </c>
      <c r="G761" s="1115" t="n">
        <v>22100</v>
      </c>
      <c r="H761" s="1115" t="s">
        <v>2012</v>
      </c>
      <c r="I761" s="1115" t="n">
        <v>22100</v>
      </c>
      <c r="J761" s="1115" t="s">
        <v>1161</v>
      </c>
    </row>
    <row r="762" customFormat="false" ht="14.1" hidden="false" customHeight="true" outlineLevel="0" collapsed="false">
      <c r="A762" s="1115" t="n">
        <v>22100</v>
      </c>
      <c r="B762" s="1115" t="s">
        <v>156</v>
      </c>
      <c r="C762" s="1115" t="n">
        <v>22100</v>
      </c>
      <c r="D762" s="1115" t="s">
        <v>2012</v>
      </c>
      <c r="E762" s="1115" t="s">
        <v>167</v>
      </c>
      <c r="F762" s="1115" t="n">
        <v>80130</v>
      </c>
      <c r="G762" s="1115" t="n">
        <v>22100</v>
      </c>
      <c r="H762" s="1115" t="s">
        <v>2012</v>
      </c>
      <c r="I762" s="1115" t="n">
        <v>22100</v>
      </c>
      <c r="J762" s="1115" t="s">
        <v>156</v>
      </c>
    </row>
    <row r="763" customFormat="false" ht="14.1" hidden="false" customHeight="true" outlineLevel="0" collapsed="false">
      <c r="A763" s="1115" t="n">
        <v>22100</v>
      </c>
      <c r="B763" s="1115" t="s">
        <v>156</v>
      </c>
      <c r="C763" s="1115" t="n">
        <v>22100</v>
      </c>
      <c r="D763" s="1115" t="s">
        <v>2012</v>
      </c>
      <c r="E763" s="1115" t="s">
        <v>167</v>
      </c>
      <c r="F763" s="1115" t="n">
        <v>80150</v>
      </c>
      <c r="G763" s="1115" t="n">
        <v>22100</v>
      </c>
      <c r="H763" s="1115" t="s">
        <v>2012</v>
      </c>
      <c r="I763" s="1115" t="n">
        <v>22100</v>
      </c>
      <c r="J763" s="1115" t="s">
        <v>1514</v>
      </c>
    </row>
    <row r="764" customFormat="false" ht="14.1" hidden="false" customHeight="true" outlineLevel="0" collapsed="false">
      <c r="A764" s="1115" t="n">
        <v>22100</v>
      </c>
      <c r="B764" s="1115" t="s">
        <v>156</v>
      </c>
      <c r="C764" s="1115" t="n">
        <v>22100</v>
      </c>
      <c r="D764" s="1115" t="s">
        <v>2012</v>
      </c>
      <c r="E764" s="1115" t="s">
        <v>167</v>
      </c>
      <c r="F764" s="1115" t="n">
        <v>80200</v>
      </c>
      <c r="G764" s="1115" t="n">
        <v>22100</v>
      </c>
      <c r="H764" s="1115" t="s">
        <v>2012</v>
      </c>
      <c r="I764" s="1115" t="n">
        <v>22100</v>
      </c>
      <c r="J764" s="1115" t="s">
        <v>903</v>
      </c>
    </row>
    <row r="765" customFormat="false" ht="14.1" hidden="false" customHeight="true" outlineLevel="0" collapsed="false">
      <c r="A765" s="1115" t="n">
        <v>22100</v>
      </c>
      <c r="B765" s="1115" t="s">
        <v>156</v>
      </c>
      <c r="C765" s="1115" t="n">
        <v>22100</v>
      </c>
      <c r="D765" s="1115" t="s">
        <v>2012</v>
      </c>
      <c r="E765" s="1115" t="s">
        <v>167</v>
      </c>
      <c r="F765" s="1115" t="n">
        <v>80210</v>
      </c>
      <c r="G765" s="1115" t="n">
        <v>22100</v>
      </c>
      <c r="H765" s="1115" t="s">
        <v>2012</v>
      </c>
      <c r="I765" s="1115" t="n">
        <v>22100</v>
      </c>
      <c r="J765" s="1115" t="s">
        <v>1144</v>
      </c>
    </row>
    <row r="766" customFormat="false" ht="14.1" hidden="false" customHeight="true" outlineLevel="0" collapsed="false">
      <c r="A766" s="1115" t="n">
        <v>22100</v>
      </c>
      <c r="B766" s="1115" t="s">
        <v>156</v>
      </c>
      <c r="C766" s="1115" t="n">
        <v>22100</v>
      </c>
      <c r="D766" s="1115" t="s">
        <v>2012</v>
      </c>
      <c r="E766" s="1115" t="s">
        <v>167</v>
      </c>
      <c r="F766" s="1115" t="n">
        <v>80220</v>
      </c>
      <c r="G766" s="1115" t="n">
        <v>22101</v>
      </c>
      <c r="H766" s="1115" t="s">
        <v>2012</v>
      </c>
      <c r="I766" s="1115" t="n">
        <v>22100</v>
      </c>
      <c r="J766" s="1115" t="s">
        <v>1161</v>
      </c>
    </row>
    <row r="767" customFormat="false" ht="14.1" hidden="false" customHeight="true" outlineLevel="0" collapsed="false">
      <c r="A767" s="1115" t="n">
        <v>22100</v>
      </c>
      <c r="B767" s="1115" t="s">
        <v>156</v>
      </c>
      <c r="C767" s="1115" t="n">
        <v>22100</v>
      </c>
      <c r="D767" s="1115" t="s">
        <v>2012</v>
      </c>
      <c r="E767" s="1115" t="s">
        <v>167</v>
      </c>
      <c r="F767" s="1115" t="n">
        <v>80230</v>
      </c>
      <c r="G767" s="1115" t="n">
        <v>22103</v>
      </c>
      <c r="H767" s="1115" t="s">
        <v>2012</v>
      </c>
      <c r="I767" s="1115" t="n">
        <v>22100</v>
      </c>
      <c r="J767" s="1115" t="s">
        <v>156</v>
      </c>
    </row>
    <row r="768" customFormat="false" ht="14.1" hidden="false" customHeight="true" outlineLevel="0" collapsed="false">
      <c r="A768" s="1115" t="n">
        <v>22100</v>
      </c>
      <c r="B768" s="1115" t="s">
        <v>156</v>
      </c>
      <c r="C768" s="1115" t="n">
        <v>22100</v>
      </c>
      <c r="D768" s="1115" t="s">
        <v>2012</v>
      </c>
      <c r="E768" s="1115" t="s">
        <v>167</v>
      </c>
      <c r="F768" s="1115" t="n">
        <v>80260</v>
      </c>
      <c r="G768" s="1115" t="n">
        <v>22110</v>
      </c>
      <c r="H768" s="1115" t="s">
        <v>2012</v>
      </c>
      <c r="I768" s="1115" t="n">
        <v>22100</v>
      </c>
      <c r="J768" s="1115" t="s">
        <v>1514</v>
      </c>
    </row>
    <row r="769" customFormat="false" ht="14.1" hidden="false" customHeight="true" outlineLevel="0" collapsed="false">
      <c r="A769" s="1115" t="n">
        <v>22100</v>
      </c>
      <c r="B769" s="1115" t="s">
        <v>156</v>
      </c>
      <c r="C769" s="1115" t="n">
        <v>22100</v>
      </c>
      <c r="D769" s="1115" t="s">
        <v>2012</v>
      </c>
      <c r="E769" s="1115" t="s">
        <v>1301</v>
      </c>
      <c r="F769" s="1115" t="n">
        <v>5400</v>
      </c>
      <c r="G769" s="1115" t="n">
        <v>22111</v>
      </c>
      <c r="H769" s="1115" t="s">
        <v>2012</v>
      </c>
      <c r="I769" s="1115" t="n">
        <v>22101</v>
      </c>
      <c r="J769" s="1115" t="s">
        <v>1514</v>
      </c>
    </row>
    <row r="770" customFormat="false" ht="14.1" hidden="false" customHeight="true" outlineLevel="0" collapsed="false">
      <c r="A770" s="1115" t="n">
        <v>22100</v>
      </c>
      <c r="B770" s="1115" t="s">
        <v>156</v>
      </c>
      <c r="C770" s="1115" t="n">
        <v>22100</v>
      </c>
      <c r="D770" s="1115" t="s">
        <v>2012</v>
      </c>
      <c r="E770" s="1115" t="s">
        <v>2013</v>
      </c>
      <c r="F770" s="1115" t="n">
        <v>91340</v>
      </c>
      <c r="G770" s="1115" t="n">
        <v>22120</v>
      </c>
      <c r="H770" s="1115" t="s">
        <v>2012</v>
      </c>
      <c r="I770" s="1115" t="n">
        <v>22101</v>
      </c>
      <c r="J770" s="1115" t="s">
        <v>1514</v>
      </c>
    </row>
    <row r="771" customFormat="false" ht="14.1" hidden="false" customHeight="true" outlineLevel="0" collapsed="false">
      <c r="A771" s="1115" t="n">
        <v>22101</v>
      </c>
      <c r="B771" s="1115" t="s">
        <v>156</v>
      </c>
      <c r="C771" s="1115" t="n">
        <v>22101</v>
      </c>
      <c r="D771" s="1115" t="s">
        <v>2012</v>
      </c>
      <c r="E771" s="1115" t="s">
        <v>2014</v>
      </c>
      <c r="F771" s="1115" t="n">
        <v>41210</v>
      </c>
      <c r="G771" s="1115" t="n">
        <v>22130</v>
      </c>
      <c r="H771" s="1115" t="s">
        <v>1250</v>
      </c>
      <c r="I771" s="1115" t="n">
        <v>22103</v>
      </c>
      <c r="J771" s="1115" t="s">
        <v>1514</v>
      </c>
    </row>
    <row r="772" customFormat="false" ht="14.1" hidden="false" customHeight="true" outlineLevel="0" collapsed="false">
      <c r="A772" s="1115" t="n">
        <v>22101</v>
      </c>
      <c r="B772" s="1115" t="s">
        <v>156</v>
      </c>
      <c r="C772" s="1115" t="n">
        <v>22101</v>
      </c>
      <c r="D772" s="1115" t="s">
        <v>2012</v>
      </c>
      <c r="E772" s="1115" t="s">
        <v>2015</v>
      </c>
      <c r="F772" s="1115" t="n">
        <v>72510</v>
      </c>
      <c r="G772" s="1115" t="n">
        <v>22140</v>
      </c>
      <c r="H772" s="1115" t="s">
        <v>2012</v>
      </c>
      <c r="I772" s="1115" t="n">
        <v>22103</v>
      </c>
      <c r="J772" s="1115" t="s">
        <v>1514</v>
      </c>
    </row>
    <row r="773" customFormat="false" ht="14.1" hidden="false" customHeight="true" outlineLevel="0" collapsed="false">
      <c r="A773" s="1115" t="n">
        <v>22103</v>
      </c>
      <c r="B773" s="1115" t="s">
        <v>156</v>
      </c>
      <c r="C773" s="1115" t="n">
        <v>22103</v>
      </c>
      <c r="D773" s="1115" t="s">
        <v>2012</v>
      </c>
      <c r="E773" s="1115" t="s">
        <v>1188</v>
      </c>
      <c r="F773" s="1115" t="n">
        <v>3430</v>
      </c>
      <c r="G773" s="1115" t="n">
        <v>22150</v>
      </c>
      <c r="H773" s="1115" t="s">
        <v>903</v>
      </c>
      <c r="I773" s="1115" t="n">
        <v>22110</v>
      </c>
      <c r="J773" s="1115" t="s">
        <v>1514</v>
      </c>
    </row>
    <row r="774" customFormat="false" ht="14.1" hidden="false" customHeight="true" outlineLevel="0" collapsed="false">
      <c r="A774" s="1115" t="n">
        <v>22103</v>
      </c>
      <c r="B774" s="1115" t="s">
        <v>156</v>
      </c>
      <c r="C774" s="1115" t="n">
        <v>22103</v>
      </c>
      <c r="D774" s="1115" t="s">
        <v>2012</v>
      </c>
      <c r="E774" s="1115" t="s">
        <v>2016</v>
      </c>
      <c r="F774" s="1115" t="n">
        <v>88440</v>
      </c>
      <c r="G774" s="1115" t="n">
        <v>22160</v>
      </c>
      <c r="H774" s="1115" t="s">
        <v>2012</v>
      </c>
      <c r="I774" s="1115" t="n">
        <v>22110</v>
      </c>
      <c r="J774" s="1115" t="s">
        <v>1514</v>
      </c>
    </row>
    <row r="775" customFormat="false" ht="14.1" hidden="false" customHeight="true" outlineLevel="0" collapsed="false">
      <c r="A775" s="1115" t="n">
        <v>22110</v>
      </c>
      <c r="B775" s="1115" t="s">
        <v>156</v>
      </c>
      <c r="C775" s="1115" t="n">
        <v>22110</v>
      </c>
      <c r="D775" s="1115" t="s">
        <v>2012</v>
      </c>
      <c r="E775" s="1115" t="s">
        <v>1650</v>
      </c>
      <c r="F775" s="1115" t="n">
        <v>14140</v>
      </c>
      <c r="G775" s="1115" t="n">
        <v>22160</v>
      </c>
      <c r="H775" s="1115" t="s">
        <v>2012</v>
      </c>
      <c r="I775" s="1115" t="n">
        <v>22111</v>
      </c>
      <c r="J775" s="1115" t="s">
        <v>1514</v>
      </c>
    </row>
    <row r="776" customFormat="false" ht="14.1" hidden="false" customHeight="true" outlineLevel="0" collapsed="false">
      <c r="A776" s="1115" t="n">
        <v>22110</v>
      </c>
      <c r="B776" s="1115" t="s">
        <v>156</v>
      </c>
      <c r="C776" s="1115" t="n">
        <v>22110</v>
      </c>
      <c r="D776" s="1115" t="s">
        <v>2012</v>
      </c>
      <c r="E776" s="1115" t="s">
        <v>1613</v>
      </c>
      <c r="F776" s="1115" t="n">
        <v>12640</v>
      </c>
      <c r="G776" s="1115" t="n">
        <v>22220</v>
      </c>
      <c r="H776" s="1115" t="s">
        <v>1080</v>
      </c>
      <c r="I776" s="1115" t="n">
        <v>22111</v>
      </c>
      <c r="J776" s="1115" t="s">
        <v>1514</v>
      </c>
    </row>
    <row r="777" customFormat="false" ht="14.1" hidden="false" customHeight="true" outlineLevel="0" collapsed="false">
      <c r="A777" s="1115" t="n">
        <v>22111</v>
      </c>
      <c r="B777" s="1115" t="s">
        <v>156</v>
      </c>
      <c r="C777" s="1115" t="n">
        <v>22111</v>
      </c>
      <c r="D777" s="1115" t="s">
        <v>2012</v>
      </c>
      <c r="E777" s="1115" t="s">
        <v>906</v>
      </c>
      <c r="F777" s="1115" t="n">
        <v>31600</v>
      </c>
      <c r="G777" s="1115" t="n">
        <v>22240</v>
      </c>
      <c r="H777" s="1115" t="s">
        <v>823</v>
      </c>
      <c r="I777" s="1115" t="n">
        <v>22120</v>
      </c>
      <c r="J777" s="1115" t="s">
        <v>1514</v>
      </c>
    </row>
    <row r="778" customFormat="false" ht="14.1" hidden="false" customHeight="true" outlineLevel="0" collapsed="false">
      <c r="A778" s="1115" t="n">
        <v>22111</v>
      </c>
      <c r="B778" s="1115" t="s">
        <v>156</v>
      </c>
      <c r="C778" s="1115" t="n">
        <v>22111</v>
      </c>
      <c r="D778" s="1115" t="s">
        <v>2012</v>
      </c>
      <c r="E778" s="1115" t="s">
        <v>2017</v>
      </c>
      <c r="F778" s="1115" t="n">
        <v>66480</v>
      </c>
      <c r="G778" s="1115" t="n">
        <v>22240</v>
      </c>
      <c r="H778" s="1115" t="s">
        <v>823</v>
      </c>
      <c r="I778" s="1115" t="n">
        <v>22120</v>
      </c>
      <c r="J778" s="1115" t="s">
        <v>1514</v>
      </c>
    </row>
    <row r="779" customFormat="false" ht="14.1" hidden="false" customHeight="true" outlineLevel="0" collapsed="false">
      <c r="A779" s="1115" t="n">
        <v>22120</v>
      </c>
      <c r="B779" s="1115" t="s">
        <v>156</v>
      </c>
      <c r="C779" s="1115" t="n">
        <v>22120</v>
      </c>
      <c r="D779" s="1115" t="s">
        <v>2012</v>
      </c>
      <c r="E779" s="1115" t="s">
        <v>2018</v>
      </c>
      <c r="F779" s="1115" t="n">
        <v>61280</v>
      </c>
      <c r="G779" s="1115" t="n">
        <v>22270</v>
      </c>
      <c r="H779" s="1115" t="s">
        <v>754</v>
      </c>
      <c r="I779" s="1115" t="n">
        <v>22130</v>
      </c>
      <c r="J779" s="1115" t="s">
        <v>1514</v>
      </c>
    </row>
    <row r="780" customFormat="false" ht="14.1" hidden="false" customHeight="true" outlineLevel="0" collapsed="false">
      <c r="A780" s="1115" t="n">
        <v>22120</v>
      </c>
      <c r="B780" s="1115" t="s">
        <v>156</v>
      </c>
      <c r="C780" s="1115" t="n">
        <v>22120</v>
      </c>
      <c r="D780" s="1115" t="s">
        <v>2012</v>
      </c>
      <c r="E780" s="1115" t="s">
        <v>2019</v>
      </c>
      <c r="F780" s="1115" t="n">
        <v>91410</v>
      </c>
      <c r="G780" s="1115" t="n">
        <v>22310</v>
      </c>
      <c r="H780" s="1115" t="s">
        <v>2020</v>
      </c>
      <c r="I780" s="1115" t="n">
        <v>22130</v>
      </c>
      <c r="J780" s="1115" t="s">
        <v>1514</v>
      </c>
    </row>
    <row r="781" customFormat="false" ht="14.1" hidden="false" customHeight="true" outlineLevel="0" collapsed="false">
      <c r="A781" s="1115" t="n">
        <v>22130</v>
      </c>
      <c r="B781" s="1115" t="s">
        <v>156</v>
      </c>
      <c r="C781" s="1115" t="n">
        <v>22130</v>
      </c>
      <c r="D781" s="1115" t="s">
        <v>1250</v>
      </c>
      <c r="E781" s="1115" t="s">
        <v>2021</v>
      </c>
      <c r="F781" s="1115" t="n">
        <v>66490</v>
      </c>
      <c r="G781" s="1115" t="n">
        <v>22320</v>
      </c>
      <c r="H781" s="1115" t="s">
        <v>2022</v>
      </c>
      <c r="I781" s="1115" t="n">
        <v>22140</v>
      </c>
      <c r="J781" s="1115" t="s">
        <v>1514</v>
      </c>
    </row>
    <row r="782" customFormat="false" ht="14.1" hidden="false" customHeight="true" outlineLevel="0" collapsed="false">
      <c r="A782" s="1115" t="n">
        <v>22130</v>
      </c>
      <c r="B782" s="1115" t="s">
        <v>156</v>
      </c>
      <c r="C782" s="1115" t="n">
        <v>22130</v>
      </c>
      <c r="D782" s="1115" t="s">
        <v>1250</v>
      </c>
      <c r="E782" s="1115" t="s">
        <v>2023</v>
      </c>
      <c r="F782" s="1115" t="n">
        <v>91320</v>
      </c>
      <c r="G782" s="1115" t="n">
        <v>22330</v>
      </c>
      <c r="H782" s="1115" t="s">
        <v>2024</v>
      </c>
      <c r="I782" s="1115" t="n">
        <v>22140</v>
      </c>
      <c r="J782" s="1115" t="s">
        <v>1514</v>
      </c>
    </row>
    <row r="783" customFormat="false" ht="14.1" hidden="false" customHeight="true" outlineLevel="0" collapsed="false">
      <c r="A783" s="1115" t="n">
        <v>22140</v>
      </c>
      <c r="B783" s="1115" t="s">
        <v>156</v>
      </c>
      <c r="C783" s="1115" t="n">
        <v>22140</v>
      </c>
      <c r="D783" s="1115" t="s">
        <v>2012</v>
      </c>
      <c r="E783" s="1115" t="s">
        <v>903</v>
      </c>
      <c r="F783" s="1115" t="n">
        <v>22150</v>
      </c>
      <c r="G783" s="1115" t="n">
        <v>22330</v>
      </c>
      <c r="H783" s="1115" t="s">
        <v>2024</v>
      </c>
      <c r="I783" s="1115" t="n">
        <v>22150</v>
      </c>
      <c r="J783" s="1115" t="s">
        <v>1514</v>
      </c>
    </row>
    <row r="784" customFormat="false" ht="14.1" hidden="false" customHeight="true" outlineLevel="0" collapsed="false">
      <c r="A784" s="1115" t="n">
        <v>22140</v>
      </c>
      <c r="B784" s="1115" t="s">
        <v>156</v>
      </c>
      <c r="C784" s="1115" t="n">
        <v>22140</v>
      </c>
      <c r="D784" s="1115" t="s">
        <v>2012</v>
      </c>
      <c r="E784" s="1115" t="s">
        <v>903</v>
      </c>
      <c r="F784" s="1115" t="n">
        <v>22150</v>
      </c>
      <c r="G784" s="1115" t="n">
        <v>22340</v>
      </c>
      <c r="H784" s="1115" t="s">
        <v>799</v>
      </c>
      <c r="I784" s="1115" t="n">
        <v>22150</v>
      </c>
      <c r="J784" s="1115" t="s">
        <v>1514</v>
      </c>
    </row>
    <row r="785" customFormat="false" ht="14.1" hidden="false" customHeight="true" outlineLevel="0" collapsed="false">
      <c r="A785" s="1115" t="n">
        <v>22150</v>
      </c>
      <c r="B785" s="1115" t="s">
        <v>156</v>
      </c>
      <c r="C785" s="1115" t="n">
        <v>22150</v>
      </c>
      <c r="D785" s="1115" t="s">
        <v>903</v>
      </c>
      <c r="E785" s="1115" t="s">
        <v>2025</v>
      </c>
      <c r="F785" s="1115" t="n">
        <v>81970</v>
      </c>
      <c r="G785" s="1115" t="n">
        <v>22340</v>
      </c>
      <c r="H785" s="1115" t="s">
        <v>799</v>
      </c>
      <c r="I785" s="1115" t="n">
        <v>22160</v>
      </c>
      <c r="J785" s="1115" t="s">
        <v>1514</v>
      </c>
    </row>
    <row r="786" customFormat="false" ht="14.1" hidden="false" customHeight="true" outlineLevel="0" collapsed="false">
      <c r="A786" s="1115" t="n">
        <v>22150</v>
      </c>
      <c r="B786" s="1115" t="s">
        <v>156</v>
      </c>
      <c r="C786" s="1115" t="n">
        <v>22150</v>
      </c>
      <c r="D786" s="1115" t="s">
        <v>903</v>
      </c>
      <c r="E786" s="1115" t="s">
        <v>2026</v>
      </c>
      <c r="F786" s="1115" t="n">
        <v>87870</v>
      </c>
      <c r="G786" s="1115" t="n">
        <v>22410</v>
      </c>
      <c r="H786" s="1115" t="s">
        <v>1244</v>
      </c>
      <c r="I786" s="1115" t="n">
        <v>22160</v>
      </c>
      <c r="J786" s="1115" t="s">
        <v>1514</v>
      </c>
    </row>
    <row r="787" customFormat="false" ht="14.1" hidden="false" customHeight="true" outlineLevel="0" collapsed="false">
      <c r="A787" s="1115" t="n">
        <v>22160</v>
      </c>
      <c r="B787" s="1115" t="s">
        <v>156</v>
      </c>
      <c r="C787" s="1115" t="n">
        <v>22160</v>
      </c>
      <c r="D787" s="1115" t="s">
        <v>2012</v>
      </c>
      <c r="E787" s="1115" t="s">
        <v>911</v>
      </c>
      <c r="F787" s="1115" t="n">
        <v>79600</v>
      </c>
      <c r="G787" s="1115" t="n">
        <v>22410</v>
      </c>
      <c r="H787" s="1115" t="s">
        <v>1244</v>
      </c>
      <c r="I787" s="1115" t="n">
        <v>22160</v>
      </c>
      <c r="J787" s="1115" t="s">
        <v>1514</v>
      </c>
    </row>
    <row r="788" customFormat="false" ht="14.1" hidden="false" customHeight="true" outlineLevel="0" collapsed="false">
      <c r="A788" s="1115" t="n">
        <v>22160</v>
      </c>
      <c r="B788" s="1115" t="s">
        <v>156</v>
      </c>
      <c r="C788" s="1115" t="n">
        <v>22160</v>
      </c>
      <c r="D788" s="1115" t="s">
        <v>2012</v>
      </c>
      <c r="E788" s="1115" t="s">
        <v>1121</v>
      </c>
      <c r="F788" s="1115" t="n">
        <v>2420</v>
      </c>
      <c r="G788" s="1115" t="n">
        <v>22430</v>
      </c>
      <c r="H788" s="1115" t="s">
        <v>1474</v>
      </c>
      <c r="I788" s="1115" t="n">
        <v>22160</v>
      </c>
      <c r="J788" s="1115" t="s">
        <v>1514</v>
      </c>
    </row>
    <row r="789" customFormat="false" ht="14.1" hidden="false" customHeight="true" outlineLevel="0" collapsed="false">
      <c r="A789" s="1115" t="n">
        <v>22160</v>
      </c>
      <c r="B789" s="1115" t="s">
        <v>156</v>
      </c>
      <c r="C789" s="1115" t="n">
        <v>22160</v>
      </c>
      <c r="D789" s="1115" t="s">
        <v>2012</v>
      </c>
      <c r="E789" s="1115" t="s">
        <v>2027</v>
      </c>
      <c r="F789" s="1115" t="n">
        <v>89320</v>
      </c>
      <c r="G789" s="1115" t="n">
        <v>22520</v>
      </c>
      <c r="H789" s="1115" t="s">
        <v>2028</v>
      </c>
      <c r="I789" s="1115" t="n">
        <v>22220</v>
      </c>
      <c r="J789" s="1115" t="s">
        <v>791</v>
      </c>
    </row>
    <row r="790" customFormat="false" ht="14.1" hidden="false" customHeight="true" outlineLevel="0" collapsed="false">
      <c r="A790" s="1115" t="n">
        <v>22160</v>
      </c>
      <c r="B790" s="1115" t="s">
        <v>156</v>
      </c>
      <c r="C790" s="1115" t="n">
        <v>22160</v>
      </c>
      <c r="D790" s="1115" t="s">
        <v>2012</v>
      </c>
      <c r="E790" s="1115" t="s">
        <v>2029</v>
      </c>
      <c r="F790" s="1115" t="n">
        <v>86660</v>
      </c>
      <c r="G790" s="1115" t="n">
        <v>22530</v>
      </c>
      <c r="H790" s="1115" t="s">
        <v>1519</v>
      </c>
      <c r="I790" s="1115" t="n">
        <v>22220</v>
      </c>
      <c r="J790" s="1115" t="s">
        <v>791</v>
      </c>
    </row>
    <row r="791" customFormat="false" ht="14.1" hidden="false" customHeight="true" outlineLevel="0" collapsed="false">
      <c r="A791" s="1115" t="n">
        <v>22220</v>
      </c>
      <c r="B791" s="1115" t="s">
        <v>156</v>
      </c>
      <c r="C791" s="1115" t="n">
        <v>22220</v>
      </c>
      <c r="D791" s="1115" t="s">
        <v>1080</v>
      </c>
      <c r="E791" s="1115" t="s">
        <v>913</v>
      </c>
      <c r="F791" s="1115" t="n">
        <v>19650</v>
      </c>
      <c r="G791" s="1115" t="n">
        <v>22550</v>
      </c>
      <c r="H791" s="1115" t="s">
        <v>2030</v>
      </c>
      <c r="I791" s="1115" t="n">
        <v>22240</v>
      </c>
      <c r="J791" s="1115" t="s">
        <v>823</v>
      </c>
    </row>
    <row r="792" customFormat="false" ht="14.1" hidden="false" customHeight="true" outlineLevel="0" collapsed="false">
      <c r="A792" s="1115" t="n">
        <v>22220</v>
      </c>
      <c r="B792" s="1115" t="s">
        <v>156</v>
      </c>
      <c r="C792" s="1115" t="n">
        <v>22220</v>
      </c>
      <c r="D792" s="1115" t="s">
        <v>1080</v>
      </c>
      <c r="E792" s="1115" t="s">
        <v>916</v>
      </c>
      <c r="F792" s="1115" t="n">
        <v>54100</v>
      </c>
      <c r="G792" s="1115" t="n">
        <v>22610</v>
      </c>
      <c r="H792" s="1115" t="s">
        <v>1161</v>
      </c>
      <c r="I792" s="1115" t="n">
        <v>22240</v>
      </c>
      <c r="J792" s="1115" t="s">
        <v>823</v>
      </c>
    </row>
    <row r="793" customFormat="false" ht="14.1" hidden="false" customHeight="true" outlineLevel="0" collapsed="false">
      <c r="A793" s="1115" t="n">
        <v>22240</v>
      </c>
      <c r="B793" s="1115" t="s">
        <v>156</v>
      </c>
      <c r="C793" s="1115" t="n">
        <v>22240</v>
      </c>
      <c r="D793" s="1115" t="s">
        <v>823</v>
      </c>
      <c r="E793" s="1115" t="s">
        <v>2031</v>
      </c>
      <c r="F793" s="1115" t="n">
        <v>98710</v>
      </c>
      <c r="G793" s="1115" t="n">
        <v>22630</v>
      </c>
      <c r="H793" s="1115" t="s">
        <v>1196</v>
      </c>
      <c r="I793" s="1115" t="n">
        <v>22240</v>
      </c>
      <c r="J793" s="1115" t="s">
        <v>823</v>
      </c>
    </row>
    <row r="794" customFormat="false" ht="14.1" hidden="false" customHeight="true" outlineLevel="0" collapsed="false">
      <c r="A794" s="1115" t="n">
        <v>22240</v>
      </c>
      <c r="B794" s="1115" t="s">
        <v>156</v>
      </c>
      <c r="C794" s="1115" t="n">
        <v>22240</v>
      </c>
      <c r="D794" s="1115" t="s">
        <v>823</v>
      </c>
      <c r="E794" s="1115" t="s">
        <v>919</v>
      </c>
      <c r="F794" s="1115" t="n">
        <v>73500</v>
      </c>
      <c r="G794" s="1115" t="n">
        <v>22630</v>
      </c>
      <c r="H794" s="1115" t="s">
        <v>1196</v>
      </c>
      <c r="I794" s="1115" t="n">
        <v>22240</v>
      </c>
      <c r="J794" s="1115" t="s">
        <v>823</v>
      </c>
    </row>
    <row r="795" customFormat="false" ht="14.1" hidden="false" customHeight="true" outlineLevel="0" collapsed="false">
      <c r="A795" s="1115" t="n">
        <v>22240</v>
      </c>
      <c r="B795" s="1115" t="s">
        <v>156</v>
      </c>
      <c r="C795" s="1115" t="n">
        <v>22240</v>
      </c>
      <c r="D795" s="1115" t="s">
        <v>823</v>
      </c>
      <c r="E795" s="1115" t="s">
        <v>2032</v>
      </c>
      <c r="F795" s="1115" t="n">
        <v>39460</v>
      </c>
      <c r="G795" s="1115" t="n">
        <v>22710</v>
      </c>
      <c r="H795" s="1115" t="s">
        <v>796</v>
      </c>
      <c r="I795" s="1115" t="n">
        <v>22270</v>
      </c>
      <c r="J795" s="1115" t="s">
        <v>754</v>
      </c>
    </row>
    <row r="796" customFormat="false" ht="14.1" hidden="false" customHeight="true" outlineLevel="0" collapsed="false">
      <c r="A796" s="1115" t="n">
        <v>22240</v>
      </c>
      <c r="B796" s="1115" t="s">
        <v>156</v>
      </c>
      <c r="C796" s="1115" t="n">
        <v>22240</v>
      </c>
      <c r="D796" s="1115" t="s">
        <v>823</v>
      </c>
      <c r="E796" s="1115" t="s">
        <v>2033</v>
      </c>
      <c r="F796" s="1115" t="n">
        <v>66470</v>
      </c>
      <c r="G796" s="1115" t="n">
        <v>22720</v>
      </c>
      <c r="H796" s="1115" t="s">
        <v>1514</v>
      </c>
      <c r="I796" s="1115" t="n">
        <v>22270</v>
      </c>
      <c r="J796" s="1115" t="s">
        <v>754</v>
      </c>
    </row>
    <row r="797" customFormat="false" ht="14.1" hidden="false" customHeight="true" outlineLevel="0" collapsed="false">
      <c r="A797" s="1115" t="n">
        <v>22270</v>
      </c>
      <c r="B797" s="1115" t="s">
        <v>156</v>
      </c>
      <c r="C797" s="1115" t="n">
        <v>22270</v>
      </c>
      <c r="D797" s="1115" t="s">
        <v>754</v>
      </c>
      <c r="E797" s="1115" t="s">
        <v>2034</v>
      </c>
      <c r="F797" s="1115" t="n">
        <v>56270</v>
      </c>
      <c r="G797" s="1115" t="n">
        <v>22730</v>
      </c>
      <c r="H797" s="1115" t="s">
        <v>1144</v>
      </c>
      <c r="I797" s="1115" t="n">
        <v>22310</v>
      </c>
      <c r="J797" s="1115" t="s">
        <v>754</v>
      </c>
    </row>
    <row r="798" customFormat="false" ht="14.1" hidden="false" customHeight="true" outlineLevel="0" collapsed="false">
      <c r="A798" s="1115" t="n">
        <v>22270</v>
      </c>
      <c r="B798" s="1115" t="s">
        <v>156</v>
      </c>
      <c r="C798" s="1115" t="n">
        <v>22270</v>
      </c>
      <c r="D798" s="1115" t="s">
        <v>754</v>
      </c>
      <c r="E798" s="1115" t="s">
        <v>2035</v>
      </c>
      <c r="F798" s="1115" t="n">
        <v>73180</v>
      </c>
      <c r="G798" s="1115" t="n">
        <v>22810</v>
      </c>
      <c r="H798" s="1115" t="s">
        <v>2036</v>
      </c>
      <c r="I798" s="1115" t="n">
        <v>22310</v>
      </c>
      <c r="J798" s="1115" t="s">
        <v>754</v>
      </c>
    </row>
    <row r="799" customFormat="false" ht="14.1" hidden="false" customHeight="true" outlineLevel="0" collapsed="false">
      <c r="A799" s="1115" t="n">
        <v>22310</v>
      </c>
      <c r="B799" s="1115" t="s">
        <v>156</v>
      </c>
      <c r="C799" s="1115" t="n">
        <v>22310</v>
      </c>
      <c r="D799" s="1115" t="s">
        <v>2020</v>
      </c>
      <c r="E799" s="1115" t="s">
        <v>2037</v>
      </c>
      <c r="F799" s="1115" t="n">
        <v>39160</v>
      </c>
      <c r="G799" s="1115" t="n">
        <v>22820</v>
      </c>
      <c r="H799" s="1115" t="s">
        <v>1120</v>
      </c>
      <c r="I799" s="1115" t="n">
        <v>22320</v>
      </c>
      <c r="J799" s="1115" t="s">
        <v>1474</v>
      </c>
    </row>
    <row r="800" customFormat="false" ht="14.1" hidden="false" customHeight="true" outlineLevel="0" collapsed="false">
      <c r="A800" s="1115" t="n">
        <v>22310</v>
      </c>
      <c r="B800" s="1115" t="s">
        <v>156</v>
      </c>
      <c r="C800" s="1115" t="n">
        <v>22310</v>
      </c>
      <c r="D800" s="1115" t="s">
        <v>2020</v>
      </c>
      <c r="E800" s="1115" t="s">
        <v>2038</v>
      </c>
      <c r="F800" s="1115" t="n">
        <v>89610</v>
      </c>
      <c r="G800" s="1115" t="n">
        <v>22830</v>
      </c>
      <c r="H800" s="1115" t="s">
        <v>1088</v>
      </c>
      <c r="I800" s="1115" t="n">
        <v>22320</v>
      </c>
      <c r="J800" s="1115" t="s">
        <v>1474</v>
      </c>
    </row>
    <row r="801" customFormat="false" ht="14.1" hidden="false" customHeight="true" outlineLevel="0" collapsed="false">
      <c r="A801" s="1115" t="n">
        <v>22320</v>
      </c>
      <c r="B801" s="1115" t="s">
        <v>156</v>
      </c>
      <c r="C801" s="1115" t="n">
        <v>22320</v>
      </c>
      <c r="D801" s="1115" t="s">
        <v>2022</v>
      </c>
      <c r="E801" s="1115" t="s">
        <v>2039</v>
      </c>
      <c r="F801" s="1115" t="n">
        <v>39170</v>
      </c>
      <c r="G801" s="1115" t="n">
        <v>22840</v>
      </c>
      <c r="H801" s="1115" t="s">
        <v>2040</v>
      </c>
      <c r="I801" s="1115" t="n">
        <v>22330</v>
      </c>
      <c r="J801" s="1115" t="s">
        <v>1474</v>
      </c>
    </row>
    <row r="802" customFormat="false" ht="14.1" hidden="false" customHeight="true" outlineLevel="0" collapsed="false">
      <c r="A802" s="1115" t="n">
        <v>22320</v>
      </c>
      <c r="B802" s="1115" t="s">
        <v>156</v>
      </c>
      <c r="C802" s="1115" t="n">
        <v>22320</v>
      </c>
      <c r="D802" s="1115" t="s">
        <v>2022</v>
      </c>
      <c r="E802" s="1115" t="s">
        <v>2041</v>
      </c>
      <c r="F802" s="1115" t="n">
        <v>97870</v>
      </c>
      <c r="G802" s="1115" t="n">
        <v>22840</v>
      </c>
      <c r="H802" s="1115" t="s">
        <v>2040</v>
      </c>
      <c r="I802" s="1115" t="n">
        <v>22330</v>
      </c>
      <c r="J802" s="1115" t="s">
        <v>1474</v>
      </c>
    </row>
    <row r="803" customFormat="false" ht="14.1" hidden="false" customHeight="true" outlineLevel="0" collapsed="false">
      <c r="A803" s="1115" t="n">
        <v>22330</v>
      </c>
      <c r="B803" s="1115" t="s">
        <v>156</v>
      </c>
      <c r="C803" s="1115" t="n">
        <v>22330</v>
      </c>
      <c r="D803" s="1115" t="s">
        <v>2024</v>
      </c>
      <c r="E803" s="1115" t="s">
        <v>2042</v>
      </c>
      <c r="F803" s="1115" t="n">
        <v>65730</v>
      </c>
      <c r="G803" s="1115" t="n">
        <v>22910</v>
      </c>
      <c r="H803" s="1115" t="s">
        <v>2043</v>
      </c>
      <c r="I803" s="1115" t="n">
        <v>22330</v>
      </c>
      <c r="J803" s="1115" t="s">
        <v>1474</v>
      </c>
    </row>
    <row r="804" customFormat="false" ht="14.1" hidden="false" customHeight="true" outlineLevel="0" collapsed="false">
      <c r="A804" s="1115" t="n">
        <v>22330</v>
      </c>
      <c r="B804" s="1115" t="s">
        <v>156</v>
      </c>
      <c r="C804" s="1115" t="n">
        <v>22330</v>
      </c>
      <c r="D804" s="1115" t="s">
        <v>2024</v>
      </c>
      <c r="E804" s="1115" t="s">
        <v>2044</v>
      </c>
      <c r="F804" s="1115" t="n">
        <v>41320</v>
      </c>
      <c r="G804" s="1115" t="n">
        <v>22920</v>
      </c>
      <c r="H804" s="1115" t="s">
        <v>750</v>
      </c>
      <c r="I804" s="1115" t="n">
        <v>22330</v>
      </c>
      <c r="J804" s="1115" t="s">
        <v>1474</v>
      </c>
    </row>
    <row r="805" customFormat="false" ht="14.1" hidden="false" customHeight="true" outlineLevel="0" collapsed="false">
      <c r="A805" s="1115" t="n">
        <v>22330</v>
      </c>
      <c r="B805" s="1115" t="s">
        <v>156</v>
      </c>
      <c r="C805" s="1115" t="n">
        <v>22330</v>
      </c>
      <c r="D805" s="1115" t="s">
        <v>2024</v>
      </c>
      <c r="E805" s="1115" t="s">
        <v>2045</v>
      </c>
      <c r="F805" s="1115" t="n">
        <v>79870</v>
      </c>
      <c r="G805" s="1115" t="n">
        <v>22930</v>
      </c>
      <c r="H805" s="1115" t="s">
        <v>1214</v>
      </c>
      <c r="I805" s="1115" t="n">
        <v>22340</v>
      </c>
      <c r="J805" s="1115" t="s">
        <v>799</v>
      </c>
    </row>
    <row r="806" customFormat="false" ht="14.1" hidden="false" customHeight="true" outlineLevel="0" collapsed="false">
      <c r="A806" s="1115" t="n">
        <v>22330</v>
      </c>
      <c r="B806" s="1115" t="s">
        <v>156</v>
      </c>
      <c r="C806" s="1115" t="n">
        <v>22330</v>
      </c>
      <c r="D806" s="1115" t="s">
        <v>2024</v>
      </c>
      <c r="E806" s="1115" t="s">
        <v>2046</v>
      </c>
      <c r="F806" s="1115" t="n">
        <v>95640</v>
      </c>
      <c r="G806" s="1115" t="n">
        <v>22940</v>
      </c>
      <c r="H806" s="1115" t="s">
        <v>2047</v>
      </c>
      <c r="I806" s="1115" t="n">
        <v>22340</v>
      </c>
      <c r="J806" s="1115" t="s">
        <v>823</v>
      </c>
    </row>
    <row r="807" customFormat="false" ht="14.1" hidden="false" customHeight="true" outlineLevel="0" collapsed="false">
      <c r="A807" s="1115" t="n">
        <v>22340</v>
      </c>
      <c r="B807" s="1115" t="s">
        <v>156</v>
      </c>
      <c r="C807" s="1115" t="n">
        <v>22340</v>
      </c>
      <c r="D807" s="1115" t="s">
        <v>799</v>
      </c>
      <c r="E807" s="1115" t="s">
        <v>2048</v>
      </c>
      <c r="F807" s="1115" t="n">
        <v>42140</v>
      </c>
      <c r="G807" s="1115" t="n">
        <v>22950</v>
      </c>
      <c r="H807" s="1115" t="s">
        <v>2049</v>
      </c>
      <c r="I807" s="1115" t="n">
        <v>22340</v>
      </c>
      <c r="J807" s="1115" t="s">
        <v>799</v>
      </c>
    </row>
    <row r="808" customFormat="false" ht="14.1" hidden="false" customHeight="true" outlineLevel="0" collapsed="false">
      <c r="A808" s="1115" t="n">
        <v>22340</v>
      </c>
      <c r="B808" s="1115" t="s">
        <v>156</v>
      </c>
      <c r="C808" s="1115" t="n">
        <v>22340</v>
      </c>
      <c r="D808" s="1115" t="s">
        <v>799</v>
      </c>
      <c r="E808" s="1115" t="s">
        <v>2050</v>
      </c>
      <c r="F808" s="1115" t="n">
        <v>61950</v>
      </c>
      <c r="G808" s="1115" t="n">
        <v>23100</v>
      </c>
      <c r="H808" s="1115" t="s">
        <v>1246</v>
      </c>
      <c r="I808" s="1115" t="n">
        <v>22340</v>
      </c>
      <c r="J808" s="1115" t="s">
        <v>823</v>
      </c>
    </row>
    <row r="809" customFormat="false" ht="14.1" hidden="false" customHeight="true" outlineLevel="0" collapsed="false">
      <c r="A809" s="1115" t="n">
        <v>22340</v>
      </c>
      <c r="B809" s="1115" t="s">
        <v>156</v>
      </c>
      <c r="C809" s="1115" t="n">
        <v>22340</v>
      </c>
      <c r="D809" s="1115" t="s">
        <v>799</v>
      </c>
      <c r="E809" s="1115" t="s">
        <v>2051</v>
      </c>
      <c r="F809" s="1115" t="n">
        <v>91630</v>
      </c>
      <c r="G809" s="1115" t="n">
        <v>23110</v>
      </c>
      <c r="H809" s="1115" t="s">
        <v>1246</v>
      </c>
      <c r="I809" s="1115" t="n">
        <v>22410</v>
      </c>
      <c r="J809" s="1115" t="s">
        <v>823</v>
      </c>
    </row>
    <row r="810" customFormat="false" ht="14.1" hidden="false" customHeight="true" outlineLevel="0" collapsed="false">
      <c r="A810" s="1115" t="n">
        <v>22340</v>
      </c>
      <c r="B810" s="1115" t="s">
        <v>156</v>
      </c>
      <c r="C810" s="1115" t="n">
        <v>22340</v>
      </c>
      <c r="D810" s="1115" t="s">
        <v>799</v>
      </c>
      <c r="E810" s="1115" t="s">
        <v>1432</v>
      </c>
      <c r="F810" s="1115" t="n">
        <v>7680</v>
      </c>
      <c r="G810" s="1115" t="n">
        <v>23120</v>
      </c>
      <c r="H810" s="1115" t="s">
        <v>1231</v>
      </c>
      <c r="I810" s="1115" t="n">
        <v>22410</v>
      </c>
      <c r="J810" s="1115" t="s">
        <v>823</v>
      </c>
    </row>
    <row r="811" customFormat="false" ht="14.1" hidden="false" customHeight="true" outlineLevel="0" collapsed="false">
      <c r="A811" s="1115" t="n">
        <v>22410</v>
      </c>
      <c r="B811" s="1115" t="s">
        <v>156</v>
      </c>
      <c r="C811" s="1115" t="n">
        <v>22410</v>
      </c>
      <c r="D811" s="1115" t="s">
        <v>1244</v>
      </c>
      <c r="E811" s="1115" t="s">
        <v>2052</v>
      </c>
      <c r="F811" s="1115" t="n">
        <v>97650</v>
      </c>
      <c r="G811" s="1115" t="n">
        <v>23140</v>
      </c>
      <c r="H811" s="1115" t="s">
        <v>1684</v>
      </c>
      <c r="I811" s="1115" t="n">
        <v>22410</v>
      </c>
      <c r="J811" s="1115" t="s">
        <v>823</v>
      </c>
    </row>
    <row r="812" customFormat="false" ht="14.1" hidden="false" customHeight="true" outlineLevel="0" collapsed="false">
      <c r="A812" s="1115" t="n">
        <v>22410</v>
      </c>
      <c r="B812" s="1115" t="s">
        <v>156</v>
      </c>
      <c r="C812" s="1115" t="n">
        <v>22410</v>
      </c>
      <c r="D812" s="1115" t="s">
        <v>1244</v>
      </c>
      <c r="E812" s="1115" t="s">
        <v>2049</v>
      </c>
      <c r="F812" s="1115" t="n">
        <v>22950</v>
      </c>
      <c r="G812" s="1115" t="n">
        <v>23170</v>
      </c>
      <c r="H812" s="1115" t="s">
        <v>2053</v>
      </c>
      <c r="I812" s="1115" t="n">
        <v>22410</v>
      </c>
      <c r="J812" s="1115" t="s">
        <v>823</v>
      </c>
    </row>
    <row r="813" customFormat="false" ht="14.1" hidden="false" customHeight="true" outlineLevel="0" collapsed="false">
      <c r="A813" s="1115" t="n">
        <v>22410</v>
      </c>
      <c r="B813" s="1115" t="s">
        <v>156</v>
      </c>
      <c r="C813" s="1115" t="n">
        <v>22410</v>
      </c>
      <c r="D813" s="1115" t="s">
        <v>1244</v>
      </c>
      <c r="E813" s="1115" t="s">
        <v>2049</v>
      </c>
      <c r="F813" s="1115" t="n">
        <v>22950</v>
      </c>
      <c r="G813" s="1115" t="n">
        <v>23190</v>
      </c>
      <c r="H813" s="1115" t="s">
        <v>2054</v>
      </c>
      <c r="I813" s="1115" t="n">
        <v>22430</v>
      </c>
      <c r="J813" s="1115" t="s">
        <v>823</v>
      </c>
    </row>
    <row r="814" customFormat="false" ht="14.1" hidden="false" customHeight="true" outlineLevel="0" collapsed="false">
      <c r="A814" s="1115" t="n">
        <v>22410</v>
      </c>
      <c r="B814" s="1115" t="s">
        <v>156</v>
      </c>
      <c r="C814" s="1115" t="n">
        <v>22410</v>
      </c>
      <c r="D814" s="1115" t="s">
        <v>1244</v>
      </c>
      <c r="E814" s="1115" t="s">
        <v>2055</v>
      </c>
      <c r="F814" s="1115" t="n">
        <v>93420</v>
      </c>
      <c r="G814" s="1115" t="n">
        <v>23200</v>
      </c>
      <c r="H814" s="1115" t="s">
        <v>2056</v>
      </c>
      <c r="I814" s="1115" t="n">
        <v>22430</v>
      </c>
      <c r="J814" s="1115" t="s">
        <v>823</v>
      </c>
    </row>
    <row r="815" customFormat="false" ht="14.1" hidden="false" customHeight="true" outlineLevel="0" collapsed="false">
      <c r="A815" s="1115" t="n">
        <v>22430</v>
      </c>
      <c r="B815" s="1115" t="s">
        <v>156</v>
      </c>
      <c r="C815" s="1115" t="n">
        <v>22430</v>
      </c>
      <c r="D815" s="1115" t="s">
        <v>1474</v>
      </c>
      <c r="E815" s="1115" t="s">
        <v>922</v>
      </c>
      <c r="F815" s="1115" t="n">
        <v>66300</v>
      </c>
      <c r="G815" s="1115" t="n">
        <v>23230</v>
      </c>
      <c r="H815" s="1115" t="s">
        <v>2057</v>
      </c>
      <c r="I815" s="1115" t="n">
        <v>22520</v>
      </c>
      <c r="J815" s="1115" t="s">
        <v>1519</v>
      </c>
    </row>
    <row r="816" customFormat="false" ht="14.1" hidden="false" customHeight="true" outlineLevel="0" collapsed="false">
      <c r="A816" s="1115" t="n">
        <v>22430</v>
      </c>
      <c r="B816" s="1115" t="s">
        <v>156</v>
      </c>
      <c r="C816" s="1115" t="n">
        <v>22430</v>
      </c>
      <c r="D816" s="1115" t="s">
        <v>1474</v>
      </c>
      <c r="E816" s="1115" t="s">
        <v>2058</v>
      </c>
      <c r="F816" s="1115" t="n">
        <v>44520</v>
      </c>
      <c r="G816" s="1115" t="n">
        <v>23240</v>
      </c>
      <c r="H816" s="1115" t="s">
        <v>1091</v>
      </c>
      <c r="I816" s="1115" t="n">
        <v>22520</v>
      </c>
      <c r="J816" s="1115" t="s">
        <v>1519</v>
      </c>
    </row>
    <row r="817" customFormat="false" ht="14.1" hidden="false" customHeight="true" outlineLevel="0" collapsed="false">
      <c r="A817" s="1115" t="n">
        <v>22520</v>
      </c>
      <c r="B817" s="1115" t="s">
        <v>156</v>
      </c>
      <c r="C817" s="1115" t="n">
        <v>22520</v>
      </c>
      <c r="D817" s="1115" t="s">
        <v>2028</v>
      </c>
      <c r="E817" s="1115" t="s">
        <v>1668</v>
      </c>
      <c r="F817" s="1115" t="n">
        <v>14870</v>
      </c>
      <c r="G817" s="1115" t="n">
        <v>23260</v>
      </c>
      <c r="H817" s="1115" t="s">
        <v>2059</v>
      </c>
      <c r="I817" s="1115" t="n">
        <v>22530</v>
      </c>
      <c r="J817" s="1115" t="s">
        <v>1519</v>
      </c>
    </row>
    <row r="818" customFormat="false" ht="14.1" hidden="false" customHeight="true" outlineLevel="0" collapsed="false">
      <c r="A818" s="1115" t="n">
        <v>22520</v>
      </c>
      <c r="B818" s="1115" t="s">
        <v>156</v>
      </c>
      <c r="C818" s="1115" t="n">
        <v>22520</v>
      </c>
      <c r="D818" s="1115" t="s">
        <v>2028</v>
      </c>
      <c r="E818" s="1115" t="s">
        <v>2060</v>
      </c>
      <c r="F818" s="1115" t="n">
        <v>97645</v>
      </c>
      <c r="G818" s="1115" t="n">
        <v>23310</v>
      </c>
      <c r="H818" s="1115" t="s">
        <v>1546</v>
      </c>
      <c r="I818" s="1115" t="n">
        <v>22530</v>
      </c>
      <c r="J818" s="1115" t="s">
        <v>1519</v>
      </c>
    </row>
    <row r="819" customFormat="false" ht="14.1" hidden="false" customHeight="true" outlineLevel="0" collapsed="false">
      <c r="A819" s="1115" t="n">
        <v>22530</v>
      </c>
      <c r="B819" s="1115" t="s">
        <v>156</v>
      </c>
      <c r="C819" s="1115" t="n">
        <v>22530</v>
      </c>
      <c r="D819" s="1115" t="s">
        <v>1519</v>
      </c>
      <c r="E819" s="1115" t="s">
        <v>924</v>
      </c>
      <c r="F819" s="1115" t="n">
        <v>83900</v>
      </c>
      <c r="G819" s="1115" t="n">
        <v>23360</v>
      </c>
      <c r="H819" s="1115" t="s">
        <v>1128</v>
      </c>
      <c r="I819" s="1115" t="n">
        <v>22550</v>
      </c>
      <c r="J819" s="1115" t="s">
        <v>1514</v>
      </c>
    </row>
    <row r="820" customFormat="false" ht="14.1" hidden="false" customHeight="true" outlineLevel="0" collapsed="false">
      <c r="A820" s="1115" t="n">
        <v>22530</v>
      </c>
      <c r="B820" s="1115" t="s">
        <v>156</v>
      </c>
      <c r="C820" s="1115" t="n">
        <v>22530</v>
      </c>
      <c r="D820" s="1115" t="s">
        <v>1519</v>
      </c>
      <c r="E820" s="1115" t="s">
        <v>2061</v>
      </c>
      <c r="F820" s="1115" t="n">
        <v>97635</v>
      </c>
      <c r="G820" s="1115" t="n">
        <v>23390</v>
      </c>
      <c r="H820" s="1115" t="s">
        <v>885</v>
      </c>
      <c r="I820" s="1115" t="n">
        <v>22550</v>
      </c>
      <c r="J820" s="1115" t="s">
        <v>1514</v>
      </c>
    </row>
    <row r="821" customFormat="false" ht="14.1" hidden="false" customHeight="true" outlineLevel="0" collapsed="false">
      <c r="A821" s="1115" t="n">
        <v>22550</v>
      </c>
      <c r="B821" s="1115" t="s">
        <v>156</v>
      </c>
      <c r="C821" s="1115" t="n">
        <v>22550</v>
      </c>
      <c r="D821" s="1115" t="s">
        <v>2030</v>
      </c>
      <c r="E821" s="1115" t="s">
        <v>926</v>
      </c>
      <c r="F821" s="1115" t="n">
        <v>35540</v>
      </c>
      <c r="G821" s="1115" t="n">
        <v>23440</v>
      </c>
      <c r="H821" s="1115" t="s">
        <v>2062</v>
      </c>
      <c r="I821" s="1115" t="n">
        <v>22610</v>
      </c>
      <c r="J821" s="1115" t="s">
        <v>1514</v>
      </c>
    </row>
    <row r="822" customFormat="false" ht="14.1" hidden="false" customHeight="true" outlineLevel="0" collapsed="false">
      <c r="A822" s="1115" t="n">
        <v>22550</v>
      </c>
      <c r="B822" s="1115" t="s">
        <v>156</v>
      </c>
      <c r="C822" s="1115" t="n">
        <v>22550</v>
      </c>
      <c r="D822" s="1115" t="s">
        <v>2030</v>
      </c>
      <c r="E822" s="1115" t="s">
        <v>2063</v>
      </c>
      <c r="F822" s="1115" t="n">
        <v>82580</v>
      </c>
      <c r="G822" s="1115" t="n">
        <v>23450</v>
      </c>
      <c r="H822" s="1115" t="s">
        <v>2064</v>
      </c>
      <c r="I822" s="1115" t="n">
        <v>22610</v>
      </c>
      <c r="J822" s="1115" t="s">
        <v>1514</v>
      </c>
    </row>
    <row r="823" customFormat="false" ht="14.1" hidden="false" customHeight="true" outlineLevel="0" collapsed="false">
      <c r="A823" s="1115" t="n">
        <v>22610</v>
      </c>
      <c r="B823" s="1115" t="s">
        <v>156</v>
      </c>
      <c r="C823" s="1115" t="n">
        <v>22610</v>
      </c>
      <c r="D823" s="1115" t="s">
        <v>1161</v>
      </c>
      <c r="E823" s="1115" t="s">
        <v>2065</v>
      </c>
      <c r="F823" s="1115" t="n">
        <v>88670</v>
      </c>
      <c r="G823" s="1115" t="n">
        <v>23470</v>
      </c>
      <c r="H823" s="1115" t="s">
        <v>1709</v>
      </c>
      <c r="I823" s="1115" t="n">
        <v>22630</v>
      </c>
      <c r="J823" s="1115" t="s">
        <v>1196</v>
      </c>
    </row>
    <row r="824" customFormat="false" ht="14.1" hidden="false" customHeight="true" outlineLevel="0" collapsed="false">
      <c r="A824" s="1115" t="n">
        <v>22610</v>
      </c>
      <c r="B824" s="1115" t="s">
        <v>156</v>
      </c>
      <c r="C824" s="1115" t="n">
        <v>22610</v>
      </c>
      <c r="D824" s="1115" t="s">
        <v>1161</v>
      </c>
      <c r="E824" s="1115" t="s">
        <v>2066</v>
      </c>
      <c r="F824" s="1115" t="n">
        <v>71260</v>
      </c>
      <c r="G824" s="1115" t="n">
        <v>23500</v>
      </c>
      <c r="H824" s="1115" t="s">
        <v>1586</v>
      </c>
      <c r="I824" s="1115" t="n">
        <v>22630</v>
      </c>
      <c r="J824" s="1115" t="s">
        <v>1196</v>
      </c>
    </row>
    <row r="825" customFormat="false" ht="14.1" hidden="false" customHeight="true" outlineLevel="0" collapsed="false">
      <c r="A825" s="1115" t="n">
        <v>22630</v>
      </c>
      <c r="B825" s="1115" t="s">
        <v>156</v>
      </c>
      <c r="C825" s="1115" t="n">
        <v>22630</v>
      </c>
      <c r="D825" s="1115" t="s">
        <v>1196</v>
      </c>
      <c r="E825" s="1115" t="s">
        <v>2067</v>
      </c>
      <c r="F825" s="1115" t="n">
        <v>42730</v>
      </c>
      <c r="G825" s="1115" t="n">
        <v>23520</v>
      </c>
      <c r="H825" s="1115" t="s">
        <v>1586</v>
      </c>
      <c r="I825" s="1115" t="n">
        <v>22630</v>
      </c>
      <c r="J825" s="1115" t="s">
        <v>1196</v>
      </c>
    </row>
    <row r="826" customFormat="false" ht="14.1" hidden="false" customHeight="true" outlineLevel="0" collapsed="false">
      <c r="A826" s="1115" t="n">
        <v>22630</v>
      </c>
      <c r="B826" s="1115" t="s">
        <v>156</v>
      </c>
      <c r="C826" s="1115" t="n">
        <v>22630</v>
      </c>
      <c r="D826" s="1115" t="s">
        <v>1196</v>
      </c>
      <c r="E826" s="1115" t="s">
        <v>2068</v>
      </c>
      <c r="F826" s="1115" t="n">
        <v>49340</v>
      </c>
      <c r="G826" s="1115" t="n">
        <v>23530</v>
      </c>
      <c r="H826" s="1115" t="s">
        <v>1586</v>
      </c>
      <c r="I826" s="1115" t="n">
        <v>22630</v>
      </c>
      <c r="J826" s="1115" t="s">
        <v>1196</v>
      </c>
    </row>
    <row r="827" customFormat="false" ht="14.1" hidden="false" customHeight="true" outlineLevel="0" collapsed="false">
      <c r="A827" s="1115" t="n">
        <v>22630</v>
      </c>
      <c r="B827" s="1115" t="s">
        <v>156</v>
      </c>
      <c r="C827" s="1115" t="n">
        <v>22630</v>
      </c>
      <c r="D827" s="1115" t="s">
        <v>1196</v>
      </c>
      <c r="E827" s="1115" t="s">
        <v>2069</v>
      </c>
      <c r="F827" s="1115" t="n">
        <v>97435</v>
      </c>
      <c r="G827" s="1115" t="n">
        <v>23600</v>
      </c>
      <c r="H827" s="1115" t="s">
        <v>2070</v>
      </c>
      <c r="I827" s="1115" t="n">
        <v>22710</v>
      </c>
      <c r="J827" s="1115" t="s">
        <v>796</v>
      </c>
    </row>
    <row r="828" customFormat="false" ht="14.1" hidden="false" customHeight="true" outlineLevel="0" collapsed="false">
      <c r="A828" s="1115" t="n">
        <v>22630</v>
      </c>
      <c r="B828" s="1115" t="s">
        <v>156</v>
      </c>
      <c r="C828" s="1115" t="n">
        <v>22630</v>
      </c>
      <c r="D828" s="1115" t="s">
        <v>1196</v>
      </c>
      <c r="E828" s="1115" t="s">
        <v>927</v>
      </c>
      <c r="F828" s="1115" t="n">
        <v>51900</v>
      </c>
      <c r="G828" s="1115" t="n">
        <v>23660</v>
      </c>
      <c r="H828" s="1115" t="s">
        <v>2070</v>
      </c>
      <c r="I828" s="1115" t="n">
        <v>22710</v>
      </c>
      <c r="J828" s="1115" t="s">
        <v>796</v>
      </c>
    </row>
    <row r="829" customFormat="false" ht="14.1" hidden="false" customHeight="true" outlineLevel="0" collapsed="false">
      <c r="A829" s="1115" t="n">
        <v>22710</v>
      </c>
      <c r="B829" s="1115" t="s">
        <v>156</v>
      </c>
      <c r="C829" s="1115" t="n">
        <v>22710</v>
      </c>
      <c r="D829" s="1115" t="s">
        <v>796</v>
      </c>
      <c r="E829" s="1115" t="s">
        <v>2071</v>
      </c>
      <c r="F829" s="1115" t="n">
        <v>52410</v>
      </c>
      <c r="G829" s="1115" t="n">
        <v>23730</v>
      </c>
      <c r="H829" s="1115" t="s">
        <v>2072</v>
      </c>
      <c r="I829" s="1115" t="n">
        <v>22720</v>
      </c>
      <c r="J829" s="1115" t="s">
        <v>1514</v>
      </c>
    </row>
    <row r="830" customFormat="false" ht="14.1" hidden="false" customHeight="true" outlineLevel="0" collapsed="false">
      <c r="A830" s="1115" t="n">
        <v>22710</v>
      </c>
      <c r="B830" s="1115" t="s">
        <v>156</v>
      </c>
      <c r="C830" s="1115" t="n">
        <v>22710</v>
      </c>
      <c r="D830" s="1115" t="s">
        <v>796</v>
      </c>
      <c r="E830" s="1115" t="s">
        <v>2073</v>
      </c>
      <c r="F830" s="1115" t="n">
        <v>58120</v>
      </c>
      <c r="G830" s="1115" t="n">
        <v>23800</v>
      </c>
      <c r="H830" s="1115" t="s">
        <v>1148</v>
      </c>
      <c r="I830" s="1115" t="n">
        <v>22720</v>
      </c>
      <c r="J830" s="1115" t="s">
        <v>1514</v>
      </c>
    </row>
    <row r="831" customFormat="false" ht="14.1" hidden="false" customHeight="true" outlineLevel="0" collapsed="false">
      <c r="A831" s="1115" t="n">
        <v>22720</v>
      </c>
      <c r="B831" s="1115" t="s">
        <v>156</v>
      </c>
      <c r="C831" s="1115" t="n">
        <v>22720</v>
      </c>
      <c r="D831" s="1115" t="s">
        <v>1514</v>
      </c>
      <c r="E831" s="1115" t="s">
        <v>2074</v>
      </c>
      <c r="F831" s="1115" t="n">
        <v>62230</v>
      </c>
      <c r="G831" s="1115" t="n">
        <v>23840</v>
      </c>
      <c r="H831" s="1115" t="s">
        <v>2075</v>
      </c>
      <c r="I831" s="1115" t="n">
        <v>22730</v>
      </c>
      <c r="J831" s="1115" t="s">
        <v>1514</v>
      </c>
    </row>
    <row r="832" customFormat="false" ht="14.1" hidden="false" customHeight="true" outlineLevel="0" collapsed="false">
      <c r="A832" s="1115" t="n">
        <v>22720</v>
      </c>
      <c r="B832" s="1115" t="s">
        <v>156</v>
      </c>
      <c r="C832" s="1115" t="n">
        <v>22720</v>
      </c>
      <c r="D832" s="1115" t="s">
        <v>1514</v>
      </c>
      <c r="E832" s="1115" t="s">
        <v>2076</v>
      </c>
      <c r="F832" s="1115" t="n">
        <v>91710</v>
      </c>
      <c r="G832" s="1115" t="n">
        <v>23880</v>
      </c>
      <c r="H832" s="1115" t="s">
        <v>2077</v>
      </c>
      <c r="I832" s="1115" t="n">
        <v>22730</v>
      </c>
      <c r="J832" s="1115" t="s">
        <v>1514</v>
      </c>
    </row>
    <row r="833" customFormat="false" ht="14.1" hidden="false" customHeight="true" outlineLevel="0" collapsed="false">
      <c r="A833" s="1115" t="n">
        <v>22730</v>
      </c>
      <c r="B833" s="1115" t="s">
        <v>156</v>
      </c>
      <c r="C833" s="1115" t="n">
        <v>22730</v>
      </c>
      <c r="D833" s="1115" t="s">
        <v>1144</v>
      </c>
      <c r="E833" s="1115" t="s">
        <v>2078</v>
      </c>
      <c r="F833" s="1115" t="n">
        <v>72810</v>
      </c>
      <c r="G833" s="1115" t="n">
        <v>23910</v>
      </c>
      <c r="H833" s="1115" t="s">
        <v>2079</v>
      </c>
      <c r="I833" s="1115" t="n">
        <v>22810</v>
      </c>
      <c r="J833" s="1115" t="s">
        <v>1120</v>
      </c>
    </row>
    <row r="834" customFormat="false" ht="14.1" hidden="false" customHeight="true" outlineLevel="0" collapsed="false">
      <c r="A834" s="1115" t="n">
        <v>22730</v>
      </c>
      <c r="B834" s="1115" t="s">
        <v>156</v>
      </c>
      <c r="C834" s="1115" t="n">
        <v>22730</v>
      </c>
      <c r="D834" s="1115" t="s">
        <v>1144</v>
      </c>
      <c r="E834" s="1115" t="s">
        <v>2080</v>
      </c>
      <c r="F834" s="1115" t="n">
        <v>39540</v>
      </c>
      <c r="G834" s="1115" t="n">
        <v>23930</v>
      </c>
      <c r="H834" s="1115" t="s">
        <v>2081</v>
      </c>
      <c r="I834" s="1115" t="n">
        <v>22810</v>
      </c>
      <c r="J834" s="1115" t="s">
        <v>1120</v>
      </c>
    </row>
    <row r="835" customFormat="false" ht="14.1" hidden="false" customHeight="true" outlineLevel="0" collapsed="false">
      <c r="A835" s="1115" t="n">
        <v>22810</v>
      </c>
      <c r="B835" s="1115" t="s">
        <v>156</v>
      </c>
      <c r="C835" s="1115" t="n">
        <v>22810</v>
      </c>
      <c r="D835" s="1115" t="s">
        <v>2036</v>
      </c>
      <c r="E835" s="1115" t="s">
        <v>2082</v>
      </c>
      <c r="F835" s="1115" t="n">
        <v>71695</v>
      </c>
      <c r="G835" s="1115" t="n">
        <v>23940</v>
      </c>
      <c r="H835" s="1115" t="s">
        <v>1060</v>
      </c>
      <c r="I835" s="1115" t="n">
        <v>22820</v>
      </c>
      <c r="J835" s="1115" t="s">
        <v>1120</v>
      </c>
    </row>
    <row r="836" customFormat="false" ht="14.1" hidden="false" customHeight="true" outlineLevel="0" collapsed="false">
      <c r="A836" s="1115" t="n">
        <v>22810</v>
      </c>
      <c r="B836" s="1115" t="s">
        <v>156</v>
      </c>
      <c r="C836" s="1115" t="n">
        <v>22810</v>
      </c>
      <c r="D836" s="1115" t="s">
        <v>2036</v>
      </c>
      <c r="E836" s="1115" t="s">
        <v>2083</v>
      </c>
      <c r="F836" s="1115" t="n">
        <v>80410</v>
      </c>
      <c r="G836" s="1115" t="n">
        <v>23950</v>
      </c>
      <c r="H836" s="1115" t="s">
        <v>1394</v>
      </c>
      <c r="I836" s="1115" t="n">
        <v>22820</v>
      </c>
      <c r="J836" s="1115" t="s">
        <v>1120</v>
      </c>
    </row>
    <row r="837" customFormat="false" ht="14.1" hidden="false" customHeight="true" outlineLevel="0" collapsed="false">
      <c r="A837" s="1115" t="n">
        <v>22820</v>
      </c>
      <c r="B837" s="1115" t="s">
        <v>156</v>
      </c>
      <c r="C837" s="1115" t="n">
        <v>22820</v>
      </c>
      <c r="D837" s="1115" t="s">
        <v>1120</v>
      </c>
      <c r="E837" s="1115" t="s">
        <v>2084</v>
      </c>
      <c r="F837" s="1115" t="n">
        <v>85340</v>
      </c>
      <c r="G837" s="1115" t="n">
        <v>23960</v>
      </c>
      <c r="H837" s="1115" t="s">
        <v>2085</v>
      </c>
      <c r="I837" s="1115" t="n">
        <v>22830</v>
      </c>
      <c r="J837" s="1115" t="s">
        <v>1120</v>
      </c>
    </row>
    <row r="838" customFormat="false" ht="14.1" hidden="false" customHeight="true" outlineLevel="0" collapsed="false">
      <c r="A838" s="1115" t="n">
        <v>22820</v>
      </c>
      <c r="B838" s="1115" t="s">
        <v>156</v>
      </c>
      <c r="C838" s="1115" t="n">
        <v>22820</v>
      </c>
      <c r="D838" s="1115" t="s">
        <v>1120</v>
      </c>
      <c r="E838" s="1115" t="s">
        <v>2086</v>
      </c>
      <c r="F838" s="1115" t="n">
        <v>74380</v>
      </c>
      <c r="G838" s="1115" t="n">
        <v>24100</v>
      </c>
      <c r="H838" s="1115" t="s">
        <v>1472</v>
      </c>
      <c r="I838" s="1115" t="n">
        <v>22830</v>
      </c>
      <c r="J838" s="1115" t="s">
        <v>1120</v>
      </c>
    </row>
    <row r="839" customFormat="false" ht="14.1" hidden="false" customHeight="true" outlineLevel="0" collapsed="false">
      <c r="A839" s="1115" t="n">
        <v>22830</v>
      </c>
      <c r="B839" s="1115" t="s">
        <v>156</v>
      </c>
      <c r="C839" s="1115" t="n">
        <v>22830</v>
      </c>
      <c r="D839" s="1115" t="s">
        <v>1088</v>
      </c>
      <c r="E839" s="1115" t="s">
        <v>2087</v>
      </c>
      <c r="F839" s="1115" t="n">
        <v>93930</v>
      </c>
      <c r="G839" s="1115" t="n">
        <v>24130</v>
      </c>
      <c r="H839" s="1115" t="s">
        <v>1472</v>
      </c>
      <c r="I839" s="1115" t="n">
        <v>22840</v>
      </c>
      <c r="J839" s="1115" t="s">
        <v>750</v>
      </c>
    </row>
    <row r="840" customFormat="false" ht="14.1" hidden="false" customHeight="true" outlineLevel="0" collapsed="false">
      <c r="A840" s="1115" t="n">
        <v>22830</v>
      </c>
      <c r="B840" s="1115" t="s">
        <v>156</v>
      </c>
      <c r="C840" s="1115" t="n">
        <v>22830</v>
      </c>
      <c r="D840" s="1115" t="s">
        <v>1088</v>
      </c>
      <c r="E840" s="1115" t="s">
        <v>2088</v>
      </c>
      <c r="F840" s="1115" t="n">
        <v>93875</v>
      </c>
      <c r="G840" s="1115" t="n">
        <v>24240</v>
      </c>
      <c r="H840" s="1115" t="s">
        <v>1472</v>
      </c>
      <c r="I840" s="1115" t="n">
        <v>22840</v>
      </c>
      <c r="J840" s="1115" t="s">
        <v>750</v>
      </c>
    </row>
    <row r="841" customFormat="false" ht="14.1" hidden="false" customHeight="true" outlineLevel="0" collapsed="false">
      <c r="A841" s="1115" t="n">
        <v>22840</v>
      </c>
      <c r="B841" s="1115" t="s">
        <v>156</v>
      </c>
      <c r="C841" s="1115" t="n">
        <v>22840</v>
      </c>
      <c r="D841" s="1115" t="s">
        <v>2040</v>
      </c>
      <c r="E841" s="1115" t="s">
        <v>2089</v>
      </c>
      <c r="F841" s="1115" t="n">
        <v>40420</v>
      </c>
      <c r="G841" s="1115" t="n">
        <v>24410</v>
      </c>
      <c r="H841" s="1115" t="s">
        <v>1472</v>
      </c>
      <c r="I841" s="1115" t="n">
        <v>22840</v>
      </c>
      <c r="J841" s="1115" t="s">
        <v>750</v>
      </c>
    </row>
    <row r="842" customFormat="false" ht="14.1" hidden="false" customHeight="true" outlineLevel="0" collapsed="false">
      <c r="A842" s="1115" t="n">
        <v>22840</v>
      </c>
      <c r="B842" s="1115" t="s">
        <v>156</v>
      </c>
      <c r="C842" s="1115" t="n">
        <v>22840</v>
      </c>
      <c r="D842" s="1115" t="s">
        <v>2040</v>
      </c>
      <c r="E842" s="1115" t="s">
        <v>164</v>
      </c>
      <c r="F842" s="1115" t="n">
        <v>40100</v>
      </c>
      <c r="G842" s="1115" t="n">
        <v>24520</v>
      </c>
      <c r="H842" s="1115" t="s">
        <v>1944</v>
      </c>
      <c r="I842" s="1115" t="n">
        <v>22840</v>
      </c>
      <c r="J842" s="1115" t="s">
        <v>750</v>
      </c>
    </row>
    <row r="843" customFormat="false" ht="14.1" hidden="false" customHeight="true" outlineLevel="0" collapsed="false">
      <c r="A843" s="1115" t="n">
        <v>22840</v>
      </c>
      <c r="B843" s="1115" t="s">
        <v>156</v>
      </c>
      <c r="C843" s="1115" t="n">
        <v>22840</v>
      </c>
      <c r="D843" s="1115" t="s">
        <v>2040</v>
      </c>
      <c r="E843" s="1115" t="s">
        <v>164</v>
      </c>
      <c r="F843" s="1115" t="n">
        <v>40100</v>
      </c>
      <c r="G843" s="1115" t="n">
        <v>24540</v>
      </c>
      <c r="H843" s="1115" t="s">
        <v>2090</v>
      </c>
      <c r="I843" s="1115" t="n">
        <v>22910</v>
      </c>
      <c r="J843" s="1115" t="s">
        <v>750</v>
      </c>
    </row>
    <row r="844" customFormat="false" ht="14.1" hidden="false" customHeight="true" outlineLevel="0" collapsed="false">
      <c r="A844" s="1115" t="n">
        <v>22840</v>
      </c>
      <c r="B844" s="1115" t="s">
        <v>156</v>
      </c>
      <c r="C844" s="1115" t="n">
        <v>22840</v>
      </c>
      <c r="D844" s="1115" t="s">
        <v>2040</v>
      </c>
      <c r="E844" s="1115" t="s">
        <v>164</v>
      </c>
      <c r="F844" s="1115" t="n">
        <v>40200</v>
      </c>
      <c r="G844" s="1115" t="n">
        <v>24800</v>
      </c>
      <c r="H844" s="1115" t="s">
        <v>812</v>
      </c>
      <c r="I844" s="1115" t="n">
        <v>22910</v>
      </c>
      <c r="J844" s="1115" t="s">
        <v>750</v>
      </c>
    </row>
    <row r="845" customFormat="false" ht="14.1" hidden="false" customHeight="true" outlineLevel="0" collapsed="false">
      <c r="A845" s="1115" t="n">
        <v>22910</v>
      </c>
      <c r="B845" s="1115" t="s">
        <v>156</v>
      </c>
      <c r="C845" s="1115" t="n">
        <v>22910</v>
      </c>
      <c r="D845" s="1115" t="s">
        <v>2043</v>
      </c>
      <c r="E845" s="1115" t="s">
        <v>164</v>
      </c>
      <c r="F845" s="1115" t="n">
        <v>40250</v>
      </c>
      <c r="G845" s="1115" t="n">
        <v>24910</v>
      </c>
      <c r="H845" s="1115" t="s">
        <v>812</v>
      </c>
      <c r="I845" s="1115" t="n">
        <v>22920</v>
      </c>
      <c r="J845" s="1115" t="s">
        <v>750</v>
      </c>
    </row>
    <row r="846" customFormat="false" ht="14.1" hidden="false" customHeight="true" outlineLevel="0" collapsed="false">
      <c r="A846" s="1115" t="n">
        <v>22910</v>
      </c>
      <c r="B846" s="1115" t="s">
        <v>156</v>
      </c>
      <c r="C846" s="1115" t="n">
        <v>22910</v>
      </c>
      <c r="D846" s="1115" t="s">
        <v>2043</v>
      </c>
      <c r="E846" s="1115" t="s">
        <v>164</v>
      </c>
      <c r="F846" s="1115" t="n">
        <v>40300</v>
      </c>
      <c r="G846" s="1115" t="n">
        <v>25110</v>
      </c>
      <c r="H846" s="1115" t="s">
        <v>2091</v>
      </c>
      <c r="I846" s="1115" t="n">
        <v>22920</v>
      </c>
      <c r="J846" s="1115" t="s">
        <v>750</v>
      </c>
    </row>
    <row r="847" customFormat="false" ht="14.1" hidden="false" customHeight="true" outlineLevel="0" collapsed="false">
      <c r="A847" s="1115" t="n">
        <v>22920</v>
      </c>
      <c r="B847" s="1115" t="s">
        <v>156</v>
      </c>
      <c r="C847" s="1115" t="n">
        <v>22920</v>
      </c>
      <c r="D847" s="1115" t="s">
        <v>750</v>
      </c>
      <c r="E847" s="1115" t="s">
        <v>164</v>
      </c>
      <c r="F847" s="1115" t="n">
        <v>40320</v>
      </c>
      <c r="G847" s="1115" t="n">
        <v>25130</v>
      </c>
      <c r="H847" s="1115" t="s">
        <v>1245</v>
      </c>
      <c r="I847" s="1115" t="n">
        <v>22930</v>
      </c>
      <c r="J847" s="1115" t="s">
        <v>750</v>
      </c>
    </row>
    <row r="848" customFormat="false" ht="14.1" hidden="false" customHeight="true" outlineLevel="0" collapsed="false">
      <c r="A848" s="1115" t="n">
        <v>22920</v>
      </c>
      <c r="B848" s="1115" t="s">
        <v>156</v>
      </c>
      <c r="C848" s="1115" t="n">
        <v>22920</v>
      </c>
      <c r="D848" s="1115" t="s">
        <v>750</v>
      </c>
      <c r="E848" s="1115" t="s">
        <v>164</v>
      </c>
      <c r="F848" s="1115" t="n">
        <v>40340</v>
      </c>
      <c r="G848" s="1115" t="n">
        <v>25160</v>
      </c>
      <c r="H848" s="1115" t="s">
        <v>2092</v>
      </c>
      <c r="I848" s="1115" t="n">
        <v>22930</v>
      </c>
      <c r="J848" s="1115" t="s">
        <v>750</v>
      </c>
    </row>
    <row r="849" customFormat="false" ht="14.1" hidden="false" customHeight="true" outlineLevel="0" collapsed="false">
      <c r="A849" s="1115" t="n">
        <v>22930</v>
      </c>
      <c r="B849" s="1115" t="s">
        <v>156</v>
      </c>
      <c r="C849" s="1115" t="n">
        <v>22930</v>
      </c>
      <c r="D849" s="1115" t="s">
        <v>1214</v>
      </c>
      <c r="E849" s="1115" t="s">
        <v>164</v>
      </c>
      <c r="F849" s="1115" t="n">
        <v>40400</v>
      </c>
      <c r="G849" s="1115" t="n">
        <v>25170</v>
      </c>
      <c r="H849" s="1115" t="s">
        <v>2093</v>
      </c>
      <c r="I849" s="1115" t="n">
        <v>22940</v>
      </c>
      <c r="J849" s="1115" t="s">
        <v>750</v>
      </c>
    </row>
    <row r="850" customFormat="false" ht="14.1" hidden="false" customHeight="true" outlineLevel="0" collapsed="false">
      <c r="A850" s="1115" t="n">
        <v>22930</v>
      </c>
      <c r="B850" s="1115" t="s">
        <v>156</v>
      </c>
      <c r="C850" s="1115" t="n">
        <v>22930</v>
      </c>
      <c r="D850" s="1115" t="s">
        <v>1214</v>
      </c>
      <c r="E850" s="1115" t="s">
        <v>164</v>
      </c>
      <c r="F850" s="1115" t="n">
        <v>40450</v>
      </c>
      <c r="G850" s="1115" t="n">
        <v>25210</v>
      </c>
      <c r="H850" s="1115" t="s">
        <v>2094</v>
      </c>
      <c r="I850" s="1115" t="n">
        <v>22940</v>
      </c>
      <c r="J850" s="1115" t="s">
        <v>750</v>
      </c>
    </row>
    <row r="851" customFormat="false" ht="14.1" hidden="false" customHeight="true" outlineLevel="0" collapsed="false">
      <c r="A851" s="1115" t="n">
        <v>22940</v>
      </c>
      <c r="B851" s="1115" t="s">
        <v>156</v>
      </c>
      <c r="C851" s="1115" t="n">
        <v>22940</v>
      </c>
      <c r="D851" s="1115" t="s">
        <v>2047</v>
      </c>
      <c r="E851" s="1115" t="s">
        <v>164</v>
      </c>
      <c r="F851" s="1115" t="n">
        <v>40500</v>
      </c>
      <c r="G851" s="1115" t="n">
        <v>25220</v>
      </c>
      <c r="H851" s="1115" t="s">
        <v>2095</v>
      </c>
      <c r="I851" s="1115" t="n">
        <v>22950</v>
      </c>
      <c r="J851" s="1115" t="s">
        <v>750</v>
      </c>
    </row>
    <row r="852" customFormat="false" ht="14.1" hidden="false" customHeight="true" outlineLevel="0" collapsed="false">
      <c r="A852" s="1115" t="n">
        <v>22940</v>
      </c>
      <c r="B852" s="1115" t="s">
        <v>156</v>
      </c>
      <c r="C852" s="1115" t="n">
        <v>22940</v>
      </c>
      <c r="D852" s="1115" t="s">
        <v>2047</v>
      </c>
      <c r="E852" s="1115" t="s">
        <v>164</v>
      </c>
      <c r="F852" s="1115" t="n">
        <v>40520</v>
      </c>
      <c r="G852" s="1115" t="n">
        <v>25230</v>
      </c>
      <c r="H852" s="1115" t="s">
        <v>893</v>
      </c>
      <c r="I852" s="1115" t="n">
        <v>22950</v>
      </c>
      <c r="J852" s="1115" t="s">
        <v>750</v>
      </c>
    </row>
    <row r="853" customFormat="false" ht="14.1" hidden="false" customHeight="true" outlineLevel="0" collapsed="false">
      <c r="A853" s="1115" t="n">
        <v>22950</v>
      </c>
      <c r="B853" s="1115" t="s">
        <v>156</v>
      </c>
      <c r="C853" s="1115" t="n">
        <v>22950</v>
      </c>
      <c r="D853" s="1115" t="s">
        <v>2049</v>
      </c>
      <c r="E853" s="1115" t="s">
        <v>164</v>
      </c>
      <c r="F853" s="1115" t="n">
        <v>40530</v>
      </c>
      <c r="G853" s="1115" t="n">
        <v>25240</v>
      </c>
      <c r="H853" s="1115" t="s">
        <v>1317</v>
      </c>
      <c r="I853" s="1115" t="n">
        <v>23100</v>
      </c>
      <c r="J853" s="1115" t="s">
        <v>1246</v>
      </c>
    </row>
    <row r="854" customFormat="false" ht="14.1" hidden="false" customHeight="true" outlineLevel="0" collapsed="false">
      <c r="A854" s="1115" t="n">
        <v>22950</v>
      </c>
      <c r="B854" s="1115" t="s">
        <v>156</v>
      </c>
      <c r="C854" s="1115" t="n">
        <v>22950</v>
      </c>
      <c r="D854" s="1115" t="s">
        <v>2049</v>
      </c>
      <c r="E854" s="1115" t="s">
        <v>164</v>
      </c>
      <c r="F854" s="1115" t="n">
        <v>40600</v>
      </c>
      <c r="G854" s="1115" t="n">
        <v>25250</v>
      </c>
      <c r="H854" s="1115" t="s">
        <v>2096</v>
      </c>
      <c r="I854" s="1115" t="n">
        <v>23110</v>
      </c>
      <c r="J854" s="1115" t="s">
        <v>1246</v>
      </c>
    </row>
    <row r="855" customFormat="false" ht="14.1" hidden="false" customHeight="true" outlineLevel="0" collapsed="false">
      <c r="A855" s="1115" t="n">
        <v>23100</v>
      </c>
      <c r="B855" s="1115" t="s">
        <v>160</v>
      </c>
      <c r="C855" s="1115" t="n">
        <v>23100</v>
      </c>
      <c r="D855" s="1115" t="s">
        <v>1246</v>
      </c>
      <c r="E855" s="1115" t="s">
        <v>164</v>
      </c>
      <c r="F855" s="1115" t="n">
        <v>40620</v>
      </c>
      <c r="G855" s="1115" t="n">
        <v>25260</v>
      </c>
      <c r="H855" s="1115" t="s">
        <v>2097</v>
      </c>
      <c r="I855" s="1115" t="n">
        <v>23120</v>
      </c>
      <c r="J855" s="1115" t="s">
        <v>1246</v>
      </c>
    </row>
    <row r="856" customFormat="false" ht="14.1" hidden="false" customHeight="true" outlineLevel="0" collapsed="false">
      <c r="A856" s="1115" t="n">
        <v>23110</v>
      </c>
      <c r="B856" s="1115" t="s">
        <v>160</v>
      </c>
      <c r="C856" s="1115" t="n">
        <v>23110</v>
      </c>
      <c r="D856" s="1115" t="s">
        <v>1246</v>
      </c>
      <c r="E856" s="1115" t="s">
        <v>164</v>
      </c>
      <c r="F856" s="1115" t="n">
        <v>40630</v>
      </c>
      <c r="G856" s="1115" t="n">
        <v>25270</v>
      </c>
      <c r="H856" s="1115" t="s">
        <v>2098</v>
      </c>
      <c r="I856" s="1115" t="n">
        <v>23140</v>
      </c>
      <c r="J856" s="1115" t="s">
        <v>1246</v>
      </c>
    </row>
    <row r="857" customFormat="false" ht="14.1" hidden="false" customHeight="true" outlineLevel="0" collapsed="false">
      <c r="A857" s="1115" t="n">
        <v>23120</v>
      </c>
      <c r="B857" s="1115" t="s">
        <v>160</v>
      </c>
      <c r="C857" s="1115" t="n">
        <v>23120</v>
      </c>
      <c r="D857" s="1115" t="s">
        <v>1231</v>
      </c>
      <c r="E857" s="1115" t="s">
        <v>164</v>
      </c>
      <c r="F857" s="1115" t="n">
        <v>40640</v>
      </c>
      <c r="G857" s="1115" t="n">
        <v>25310</v>
      </c>
      <c r="H857" s="1115" t="s">
        <v>1938</v>
      </c>
      <c r="I857" s="1115" t="n">
        <v>23170</v>
      </c>
      <c r="J857" s="1115" t="s">
        <v>1246</v>
      </c>
    </row>
    <row r="858" customFormat="false" ht="14.1" hidden="false" customHeight="true" outlineLevel="0" collapsed="false">
      <c r="A858" s="1115" t="n">
        <v>23140</v>
      </c>
      <c r="B858" s="1115" t="s">
        <v>160</v>
      </c>
      <c r="C858" s="1115" t="n">
        <v>23140</v>
      </c>
      <c r="D858" s="1115" t="s">
        <v>1684</v>
      </c>
      <c r="E858" s="1115" t="s">
        <v>164</v>
      </c>
      <c r="F858" s="1115" t="n">
        <v>40660</v>
      </c>
      <c r="G858" s="1115" t="n">
        <v>25320</v>
      </c>
      <c r="H858" s="1115" t="s">
        <v>2099</v>
      </c>
      <c r="I858" s="1115" t="n">
        <v>23190</v>
      </c>
      <c r="J858" s="1115" t="s">
        <v>1246</v>
      </c>
    </row>
    <row r="859" customFormat="false" ht="14.1" hidden="false" customHeight="true" outlineLevel="0" collapsed="false">
      <c r="A859" s="1115" t="n">
        <v>23170</v>
      </c>
      <c r="B859" s="1115" t="s">
        <v>160</v>
      </c>
      <c r="C859" s="1115" t="n">
        <v>23170</v>
      </c>
      <c r="D859" s="1115" t="s">
        <v>2053</v>
      </c>
      <c r="E859" s="1115" t="s">
        <v>164</v>
      </c>
      <c r="F859" s="1115" t="n">
        <v>40700</v>
      </c>
      <c r="G859" s="1115" t="n">
        <v>25330</v>
      </c>
      <c r="H859" s="1115" t="s">
        <v>1133</v>
      </c>
      <c r="I859" s="1115" t="n">
        <v>23200</v>
      </c>
      <c r="J859" s="1115" t="s">
        <v>1606</v>
      </c>
    </row>
    <row r="860" customFormat="false" ht="14.1" hidden="false" customHeight="true" outlineLevel="0" collapsed="false">
      <c r="A860" s="1115" t="n">
        <v>23190</v>
      </c>
      <c r="B860" s="1115" t="s">
        <v>160</v>
      </c>
      <c r="C860" s="1115" t="n">
        <v>23190</v>
      </c>
      <c r="D860" s="1115" t="s">
        <v>2054</v>
      </c>
      <c r="E860" s="1115" t="s">
        <v>164</v>
      </c>
      <c r="F860" s="1115" t="n">
        <v>40720</v>
      </c>
      <c r="G860" s="1115" t="n">
        <v>25340</v>
      </c>
      <c r="H860" s="1115" t="s">
        <v>2100</v>
      </c>
      <c r="I860" s="1115" t="n">
        <v>23230</v>
      </c>
      <c r="J860" s="1115" t="s">
        <v>1606</v>
      </c>
    </row>
    <row r="861" customFormat="false" ht="14.1" hidden="false" customHeight="true" outlineLevel="0" collapsed="false">
      <c r="A861" s="1115" t="n">
        <v>23200</v>
      </c>
      <c r="B861" s="1115" t="s">
        <v>160</v>
      </c>
      <c r="C861" s="1115" t="n">
        <v>23200</v>
      </c>
      <c r="D861" s="1115" t="s">
        <v>2056</v>
      </c>
      <c r="E861" s="1115" t="s">
        <v>164</v>
      </c>
      <c r="F861" s="1115" t="n">
        <v>40740</v>
      </c>
      <c r="G861" s="1115" t="n">
        <v>25350</v>
      </c>
      <c r="H861" s="1115" t="s">
        <v>1894</v>
      </c>
      <c r="I861" s="1115" t="n">
        <v>23240</v>
      </c>
      <c r="J861" s="1115" t="s">
        <v>1606</v>
      </c>
    </row>
    <row r="862" customFormat="false" ht="14.1" hidden="false" customHeight="true" outlineLevel="0" collapsed="false">
      <c r="A862" s="1115" t="n">
        <v>23230</v>
      </c>
      <c r="B862" s="1115" t="s">
        <v>160</v>
      </c>
      <c r="C862" s="1115" t="n">
        <v>23230</v>
      </c>
      <c r="D862" s="1115" t="s">
        <v>2057</v>
      </c>
      <c r="E862" s="1115" t="s">
        <v>2101</v>
      </c>
      <c r="F862" s="1115" t="n">
        <v>71860</v>
      </c>
      <c r="G862" s="1115" t="n">
        <v>25360</v>
      </c>
      <c r="H862" s="1115" t="s">
        <v>1334</v>
      </c>
      <c r="I862" s="1115" t="n">
        <v>23260</v>
      </c>
      <c r="J862" s="1115" t="s">
        <v>1606</v>
      </c>
    </row>
    <row r="863" customFormat="false" ht="14.1" hidden="false" customHeight="true" outlineLevel="0" collapsed="false">
      <c r="A863" s="1115" t="n">
        <v>23240</v>
      </c>
      <c r="B863" s="1115" t="s">
        <v>160</v>
      </c>
      <c r="C863" s="1115" t="n">
        <v>23240</v>
      </c>
      <c r="D863" s="1115" t="s">
        <v>1091</v>
      </c>
      <c r="E863" s="1115" t="s">
        <v>936</v>
      </c>
      <c r="F863" s="1115" t="n">
        <v>38800</v>
      </c>
      <c r="G863" s="1115" t="n">
        <v>25370</v>
      </c>
      <c r="H863" s="1115" t="s">
        <v>1695</v>
      </c>
      <c r="I863" s="1115" t="n">
        <v>23310</v>
      </c>
      <c r="J863" s="1115" t="s">
        <v>1546</v>
      </c>
    </row>
    <row r="864" customFormat="false" ht="14.1" hidden="false" customHeight="true" outlineLevel="0" collapsed="false">
      <c r="A864" s="1115" t="n">
        <v>23260</v>
      </c>
      <c r="B864" s="1115" t="s">
        <v>160</v>
      </c>
      <c r="C864" s="1115" t="n">
        <v>23260</v>
      </c>
      <c r="D864" s="1115" t="s">
        <v>2059</v>
      </c>
      <c r="E864" s="1115" t="s">
        <v>2102</v>
      </c>
      <c r="F864" s="1115" t="n">
        <v>34450</v>
      </c>
      <c r="G864" s="1115" t="n">
        <v>25380</v>
      </c>
      <c r="H864" s="1115" t="s">
        <v>2103</v>
      </c>
      <c r="I864" s="1115" t="n">
        <v>23360</v>
      </c>
      <c r="J864" s="1115" t="s">
        <v>1128</v>
      </c>
    </row>
    <row r="865" customFormat="false" ht="14.1" hidden="false" customHeight="true" outlineLevel="0" collapsed="false">
      <c r="A865" s="1115" t="n">
        <v>23310</v>
      </c>
      <c r="B865" s="1115" t="s">
        <v>160</v>
      </c>
      <c r="C865" s="1115" t="n">
        <v>23310</v>
      </c>
      <c r="D865" s="1115" t="s">
        <v>1546</v>
      </c>
      <c r="E865" s="1115" t="s">
        <v>939</v>
      </c>
      <c r="F865" s="1115" t="n">
        <v>42100</v>
      </c>
      <c r="G865" s="1115" t="n">
        <v>25385</v>
      </c>
      <c r="H865" s="1115" t="s">
        <v>1720</v>
      </c>
      <c r="I865" s="1115" t="n">
        <v>23390</v>
      </c>
      <c r="J865" s="1115" t="s">
        <v>1128</v>
      </c>
    </row>
    <row r="866" customFormat="false" ht="14.1" hidden="false" customHeight="true" outlineLevel="0" collapsed="false">
      <c r="A866" s="1115" t="n">
        <v>23360</v>
      </c>
      <c r="B866" s="1115" t="s">
        <v>160</v>
      </c>
      <c r="C866" s="1115" t="n">
        <v>23360</v>
      </c>
      <c r="D866" s="1115" t="s">
        <v>1128</v>
      </c>
      <c r="E866" s="1115" t="s">
        <v>939</v>
      </c>
      <c r="F866" s="1115" t="n">
        <v>42120</v>
      </c>
      <c r="G866" s="1115" t="n">
        <v>25390</v>
      </c>
      <c r="H866" s="1115" t="s">
        <v>1062</v>
      </c>
      <c r="I866" s="1115" t="n">
        <v>23440</v>
      </c>
      <c r="J866" s="1115" t="s">
        <v>1586</v>
      </c>
    </row>
    <row r="867" customFormat="false" ht="14.1" hidden="false" customHeight="true" outlineLevel="0" collapsed="false">
      <c r="A867" s="1115" t="n">
        <v>23390</v>
      </c>
      <c r="B867" s="1115" t="s">
        <v>160</v>
      </c>
      <c r="C867" s="1115" t="n">
        <v>23390</v>
      </c>
      <c r="D867" s="1115" t="s">
        <v>885</v>
      </c>
      <c r="E867" s="1115" t="s">
        <v>942</v>
      </c>
      <c r="F867" s="1115" t="n">
        <v>42300</v>
      </c>
      <c r="G867" s="1115" t="n">
        <v>25410</v>
      </c>
      <c r="H867" s="1115" t="s">
        <v>1528</v>
      </c>
      <c r="I867" s="1115" t="n">
        <v>23450</v>
      </c>
      <c r="J867" s="1115" t="s">
        <v>1586</v>
      </c>
    </row>
    <row r="868" customFormat="false" ht="14.1" hidden="false" customHeight="true" outlineLevel="0" collapsed="false">
      <c r="A868" s="1115" t="n">
        <v>23440</v>
      </c>
      <c r="B868" s="1115" t="s">
        <v>160</v>
      </c>
      <c r="C868" s="1115" t="n">
        <v>23440</v>
      </c>
      <c r="D868" s="1115" t="s">
        <v>2062</v>
      </c>
      <c r="E868" s="1115" t="s">
        <v>1242</v>
      </c>
      <c r="F868" s="1115" t="n">
        <v>4390</v>
      </c>
      <c r="G868" s="1115" t="n">
        <v>25420</v>
      </c>
      <c r="H868" s="1115" t="s">
        <v>2104</v>
      </c>
      <c r="I868" s="1115" t="n">
        <v>23470</v>
      </c>
      <c r="J868" s="1115" t="s">
        <v>1586</v>
      </c>
    </row>
    <row r="869" customFormat="false" ht="14.1" hidden="false" customHeight="true" outlineLevel="0" collapsed="false">
      <c r="A869" s="1115" t="n">
        <v>23450</v>
      </c>
      <c r="B869" s="1115" t="s">
        <v>160</v>
      </c>
      <c r="C869" s="1115" t="n">
        <v>23450</v>
      </c>
      <c r="D869" s="1115" t="s">
        <v>2064</v>
      </c>
      <c r="E869" s="1115" t="s">
        <v>2105</v>
      </c>
      <c r="F869" s="1115" t="n">
        <v>71370</v>
      </c>
      <c r="G869" s="1115" t="n">
        <v>25430</v>
      </c>
      <c r="H869" s="1115" t="s">
        <v>2106</v>
      </c>
      <c r="I869" s="1115" t="n">
        <v>23500</v>
      </c>
      <c r="J869" s="1115" t="s">
        <v>1586</v>
      </c>
    </row>
    <row r="870" customFormat="false" ht="14.1" hidden="false" customHeight="true" outlineLevel="0" collapsed="false">
      <c r="A870" s="1115" t="n">
        <v>23470</v>
      </c>
      <c r="B870" s="1115" t="s">
        <v>160</v>
      </c>
      <c r="C870" s="1115" t="n">
        <v>23470</v>
      </c>
      <c r="D870" s="1115" t="s">
        <v>1709</v>
      </c>
      <c r="E870" s="1115" t="s">
        <v>2107</v>
      </c>
      <c r="F870" s="1115" t="n">
        <v>70940</v>
      </c>
      <c r="G870" s="1115" t="n">
        <v>25440</v>
      </c>
      <c r="H870" s="1115" t="s">
        <v>2108</v>
      </c>
      <c r="I870" s="1115" t="n">
        <v>23520</v>
      </c>
      <c r="J870" s="1115" t="s">
        <v>1586</v>
      </c>
    </row>
    <row r="871" customFormat="false" ht="14.1" hidden="false" customHeight="true" outlineLevel="0" collapsed="false">
      <c r="A871" s="1115" t="n">
        <v>23500</v>
      </c>
      <c r="B871" s="1115" t="s">
        <v>160</v>
      </c>
      <c r="C871" s="1115" t="n">
        <v>23500</v>
      </c>
      <c r="D871" s="1115" t="s">
        <v>1586</v>
      </c>
      <c r="E871" s="1115" t="s">
        <v>2109</v>
      </c>
      <c r="F871" s="1115" t="n">
        <v>77570</v>
      </c>
      <c r="G871" s="1115" t="n">
        <v>25450</v>
      </c>
      <c r="H871" s="1115" t="s">
        <v>2110</v>
      </c>
      <c r="I871" s="1115" t="n">
        <v>23530</v>
      </c>
      <c r="J871" s="1115" t="s">
        <v>1586</v>
      </c>
    </row>
    <row r="872" customFormat="false" ht="14.1" hidden="false" customHeight="true" outlineLevel="0" collapsed="false">
      <c r="A872" s="1115" t="n">
        <v>23520</v>
      </c>
      <c r="B872" s="1115" t="s">
        <v>160</v>
      </c>
      <c r="C872" s="1115" t="n">
        <v>23520</v>
      </c>
      <c r="D872" s="1115" t="s">
        <v>1586</v>
      </c>
      <c r="E872" s="1115" t="s">
        <v>1754</v>
      </c>
      <c r="F872" s="1115" t="n">
        <v>16600</v>
      </c>
      <c r="G872" s="1115" t="n">
        <v>25460</v>
      </c>
      <c r="H872" s="1115" t="s">
        <v>2111</v>
      </c>
      <c r="I872" s="1115" t="n">
        <v>23600</v>
      </c>
      <c r="J872" s="1115" t="s">
        <v>1586</v>
      </c>
    </row>
    <row r="873" customFormat="false" ht="14.1" hidden="false" customHeight="true" outlineLevel="0" collapsed="false">
      <c r="A873" s="1115" t="n">
        <v>23530</v>
      </c>
      <c r="B873" s="1115" t="s">
        <v>160</v>
      </c>
      <c r="C873" s="1115" t="n">
        <v>23530</v>
      </c>
      <c r="D873" s="1115" t="s">
        <v>1586</v>
      </c>
      <c r="E873" s="1115" t="s">
        <v>1769</v>
      </c>
      <c r="F873" s="1115" t="n">
        <v>16780</v>
      </c>
      <c r="G873" s="1115" t="n">
        <v>25470</v>
      </c>
      <c r="H873" s="1115" t="s">
        <v>1079</v>
      </c>
      <c r="I873" s="1115" t="n">
        <v>23660</v>
      </c>
      <c r="J873" s="1115" t="s">
        <v>1586</v>
      </c>
    </row>
    <row r="874" customFormat="false" ht="14.1" hidden="false" customHeight="true" outlineLevel="0" collapsed="false">
      <c r="A874" s="1115" t="n">
        <v>23600</v>
      </c>
      <c r="B874" s="1115" t="s">
        <v>160</v>
      </c>
      <c r="C874" s="1115" t="n">
        <v>23600</v>
      </c>
      <c r="D874" s="1115" t="s">
        <v>2070</v>
      </c>
      <c r="E874" s="1115" t="s">
        <v>945</v>
      </c>
      <c r="F874" s="1115" t="n">
        <v>4400</v>
      </c>
      <c r="G874" s="1115" t="n">
        <v>25480</v>
      </c>
      <c r="H874" s="1115" t="s">
        <v>2112</v>
      </c>
      <c r="I874" s="1115" t="n">
        <v>23730</v>
      </c>
      <c r="J874" s="1115" t="s">
        <v>1148</v>
      </c>
    </row>
    <row r="875" customFormat="false" ht="14.1" hidden="false" customHeight="true" outlineLevel="0" collapsed="false">
      <c r="A875" s="1115" t="n">
        <v>23660</v>
      </c>
      <c r="B875" s="1115" t="s">
        <v>160</v>
      </c>
      <c r="C875" s="1115" t="n">
        <v>23660</v>
      </c>
      <c r="D875" s="1115" t="s">
        <v>2070</v>
      </c>
      <c r="E875" s="1115" t="s">
        <v>945</v>
      </c>
      <c r="F875" s="1115" t="n">
        <v>4410</v>
      </c>
      <c r="G875" s="1115" t="n">
        <v>25500</v>
      </c>
      <c r="H875" s="1115" t="s">
        <v>1332</v>
      </c>
      <c r="I875" s="1115" t="n">
        <v>23800</v>
      </c>
      <c r="J875" s="1115" t="s">
        <v>1148</v>
      </c>
    </row>
    <row r="876" customFormat="false" ht="14.1" hidden="false" customHeight="true" outlineLevel="0" collapsed="false">
      <c r="A876" s="1115" t="n">
        <v>23730</v>
      </c>
      <c r="B876" s="1115" t="s">
        <v>160</v>
      </c>
      <c r="C876" s="1115" t="n">
        <v>23730</v>
      </c>
      <c r="D876" s="1115" t="s">
        <v>2072</v>
      </c>
      <c r="E876" s="1115" t="s">
        <v>945</v>
      </c>
      <c r="F876" s="1115" t="n">
        <v>4420</v>
      </c>
      <c r="G876" s="1115" t="n">
        <v>25520</v>
      </c>
      <c r="H876" s="1115" t="s">
        <v>1332</v>
      </c>
      <c r="I876" s="1115" t="n">
        <v>23840</v>
      </c>
      <c r="J876" s="1115" t="s">
        <v>1148</v>
      </c>
    </row>
    <row r="877" customFormat="false" ht="14.1" hidden="false" customHeight="true" outlineLevel="0" collapsed="false">
      <c r="A877" s="1115" t="n">
        <v>23800</v>
      </c>
      <c r="B877" s="1115" t="s">
        <v>160</v>
      </c>
      <c r="C877" s="1115" t="n">
        <v>23800</v>
      </c>
      <c r="D877" s="1115" t="s">
        <v>1148</v>
      </c>
      <c r="E877" s="1115" t="s">
        <v>945</v>
      </c>
      <c r="F877" s="1115" t="n">
        <v>4430</v>
      </c>
      <c r="G877" s="1115" t="n">
        <v>25530</v>
      </c>
      <c r="H877" s="1115" t="s">
        <v>1109</v>
      </c>
      <c r="I877" s="1115" t="n">
        <v>23880</v>
      </c>
      <c r="J877" s="1115" t="s">
        <v>1148</v>
      </c>
    </row>
    <row r="878" customFormat="false" ht="14.1" hidden="false" customHeight="true" outlineLevel="0" collapsed="false">
      <c r="A878" s="1115" t="n">
        <v>23840</v>
      </c>
      <c r="B878" s="1115" t="s">
        <v>160</v>
      </c>
      <c r="C878" s="1115" t="n">
        <v>23840</v>
      </c>
      <c r="D878" s="1115" t="s">
        <v>2075</v>
      </c>
      <c r="E878" s="1115" t="s">
        <v>945</v>
      </c>
      <c r="F878" s="1115" t="n">
        <v>4440</v>
      </c>
      <c r="G878" s="1115" t="n">
        <v>25540</v>
      </c>
      <c r="H878" s="1115" t="s">
        <v>2113</v>
      </c>
      <c r="I878" s="1115" t="n">
        <v>23910</v>
      </c>
      <c r="J878" s="1115" t="s">
        <v>1148</v>
      </c>
    </row>
    <row r="879" customFormat="false" ht="14.1" hidden="false" customHeight="true" outlineLevel="0" collapsed="false">
      <c r="A879" s="1115" t="n">
        <v>23880</v>
      </c>
      <c r="B879" s="1115" t="s">
        <v>160</v>
      </c>
      <c r="C879" s="1115" t="n">
        <v>23880</v>
      </c>
      <c r="D879" s="1115" t="s">
        <v>2077</v>
      </c>
      <c r="E879" s="1115" t="s">
        <v>1452</v>
      </c>
      <c r="F879" s="1115" t="n">
        <v>7810</v>
      </c>
      <c r="G879" s="1115" t="n">
        <v>25550</v>
      </c>
      <c r="H879" s="1115" t="s">
        <v>790</v>
      </c>
      <c r="I879" s="1115" t="n">
        <v>23930</v>
      </c>
      <c r="J879" s="1115" t="s">
        <v>1148</v>
      </c>
    </row>
    <row r="880" customFormat="false" ht="14.1" hidden="false" customHeight="true" outlineLevel="0" collapsed="false">
      <c r="A880" s="1115" t="n">
        <v>23910</v>
      </c>
      <c r="B880" s="1115" t="s">
        <v>160</v>
      </c>
      <c r="C880" s="1115" t="n">
        <v>23910</v>
      </c>
      <c r="D880" s="1115" t="s">
        <v>2079</v>
      </c>
      <c r="E880" s="1115" t="s">
        <v>2114</v>
      </c>
      <c r="F880" s="1115" t="n">
        <v>29280</v>
      </c>
      <c r="G880" s="1115" t="n">
        <v>25560</v>
      </c>
      <c r="H880" s="1115" t="s">
        <v>1773</v>
      </c>
      <c r="I880" s="1115" t="n">
        <v>23940</v>
      </c>
      <c r="J880" s="1115" t="s">
        <v>1394</v>
      </c>
    </row>
    <row r="881" customFormat="false" ht="14.1" hidden="false" customHeight="true" outlineLevel="0" collapsed="false">
      <c r="A881" s="1115" t="n">
        <v>23930</v>
      </c>
      <c r="B881" s="1115" t="s">
        <v>160</v>
      </c>
      <c r="C881" s="1115" t="n">
        <v>23930</v>
      </c>
      <c r="D881" s="1115" t="s">
        <v>2081</v>
      </c>
      <c r="E881" s="1115" t="s">
        <v>1526</v>
      </c>
      <c r="F881" s="1115" t="n">
        <v>9840</v>
      </c>
      <c r="G881" s="1115" t="n">
        <v>25570</v>
      </c>
      <c r="H881" s="1115" t="s">
        <v>2115</v>
      </c>
      <c r="I881" s="1115" t="n">
        <v>23950</v>
      </c>
      <c r="J881" s="1115" t="s">
        <v>1394</v>
      </c>
    </row>
    <row r="882" customFormat="false" ht="14.1" hidden="false" customHeight="true" outlineLevel="0" collapsed="false">
      <c r="A882" s="1115" t="n">
        <v>23940</v>
      </c>
      <c r="B882" s="1115" t="s">
        <v>160</v>
      </c>
      <c r="C882" s="1115" t="n">
        <v>23940</v>
      </c>
      <c r="D882" s="1115" t="s">
        <v>1060</v>
      </c>
      <c r="E882" s="1115" t="s">
        <v>2116</v>
      </c>
      <c r="F882" s="1115" t="n">
        <v>34850</v>
      </c>
      <c r="G882" s="1115" t="n">
        <v>25610</v>
      </c>
      <c r="H882" s="1115" t="s">
        <v>2117</v>
      </c>
      <c r="I882" s="1115" t="n">
        <v>23960</v>
      </c>
      <c r="J882" s="1115" t="s">
        <v>1394</v>
      </c>
    </row>
    <row r="883" customFormat="false" ht="14.1" hidden="false" customHeight="true" outlineLevel="0" collapsed="false">
      <c r="A883" s="1115" t="n">
        <v>23950</v>
      </c>
      <c r="B883" s="1115" t="s">
        <v>160</v>
      </c>
      <c r="C883" s="1115" t="n">
        <v>23950</v>
      </c>
      <c r="D883" s="1115" t="s">
        <v>1394</v>
      </c>
      <c r="E883" s="1115" t="s">
        <v>2118</v>
      </c>
      <c r="F883" s="1115" t="n">
        <v>99790</v>
      </c>
      <c r="G883" s="1115" t="n">
        <v>25630</v>
      </c>
      <c r="H883" s="1115" t="s">
        <v>1541</v>
      </c>
      <c r="I883" s="1115" t="n">
        <v>24100</v>
      </c>
      <c r="J883" s="1115" t="s">
        <v>1472</v>
      </c>
    </row>
    <row r="884" customFormat="false" ht="14.1" hidden="false" customHeight="true" outlineLevel="0" collapsed="false">
      <c r="A884" s="1115" t="n">
        <v>23960</v>
      </c>
      <c r="B884" s="1115" t="s">
        <v>160</v>
      </c>
      <c r="C884" s="1115" t="n">
        <v>23960</v>
      </c>
      <c r="D884" s="1115" t="s">
        <v>2085</v>
      </c>
      <c r="E884" s="1115" t="s">
        <v>2119</v>
      </c>
      <c r="F884" s="1115" t="n">
        <v>90940</v>
      </c>
      <c r="G884" s="1115" t="n">
        <v>25640</v>
      </c>
      <c r="H884" s="1115" t="s">
        <v>1233</v>
      </c>
      <c r="I884" s="1115" t="n">
        <v>24130</v>
      </c>
      <c r="J884" s="1115" t="s">
        <v>1472</v>
      </c>
    </row>
    <row r="885" customFormat="false" ht="14.1" hidden="false" customHeight="true" outlineLevel="0" collapsed="false">
      <c r="A885" s="1115" t="n">
        <v>24100</v>
      </c>
      <c r="B885" s="1115" t="s">
        <v>160</v>
      </c>
      <c r="C885" s="1115" t="n">
        <v>24100</v>
      </c>
      <c r="D885" s="1115" t="s">
        <v>1472</v>
      </c>
      <c r="E885" s="1115" t="s">
        <v>2120</v>
      </c>
      <c r="F885" s="1115" t="n">
        <v>97350</v>
      </c>
      <c r="G885" s="1115" t="n">
        <v>25650</v>
      </c>
      <c r="H885" s="1115" t="s">
        <v>2121</v>
      </c>
      <c r="I885" s="1115" t="n">
        <v>24240</v>
      </c>
      <c r="J885" s="1115" t="s">
        <v>1472</v>
      </c>
    </row>
    <row r="886" customFormat="false" ht="14.1" hidden="false" customHeight="true" outlineLevel="0" collapsed="false">
      <c r="A886" s="1115" t="n">
        <v>24130</v>
      </c>
      <c r="B886" s="1115" t="s">
        <v>160</v>
      </c>
      <c r="C886" s="1115" t="n">
        <v>24130</v>
      </c>
      <c r="D886" s="1115" t="s">
        <v>1472</v>
      </c>
      <c r="E886" s="1115" t="s">
        <v>2122</v>
      </c>
      <c r="F886" s="1115" t="n">
        <v>99910</v>
      </c>
      <c r="G886" s="1115" t="n">
        <v>25660</v>
      </c>
      <c r="H886" s="1115" t="s">
        <v>2123</v>
      </c>
      <c r="I886" s="1115" t="n">
        <v>24410</v>
      </c>
      <c r="J886" s="1115" t="s">
        <v>1472</v>
      </c>
    </row>
    <row r="887" customFormat="false" ht="14.1" hidden="false" customHeight="true" outlineLevel="0" collapsed="false">
      <c r="A887" s="1115" t="n">
        <v>24240</v>
      </c>
      <c r="B887" s="1115" t="s">
        <v>160</v>
      </c>
      <c r="C887" s="1115" t="n">
        <v>24240</v>
      </c>
      <c r="D887" s="1115" t="s">
        <v>1472</v>
      </c>
      <c r="E887" s="1115" t="s">
        <v>1366</v>
      </c>
      <c r="F887" s="1115" t="n">
        <v>7220</v>
      </c>
      <c r="G887" s="1115" t="n">
        <v>25690</v>
      </c>
      <c r="H887" s="1115" t="s">
        <v>2124</v>
      </c>
      <c r="I887" s="1115" t="n">
        <v>24520</v>
      </c>
      <c r="J887" s="1115" t="s">
        <v>1472</v>
      </c>
    </row>
    <row r="888" customFormat="false" ht="14.1" hidden="false" customHeight="true" outlineLevel="0" collapsed="false">
      <c r="A888" s="1115" t="n">
        <v>24410</v>
      </c>
      <c r="B888" s="1115" t="s">
        <v>160</v>
      </c>
      <c r="C888" s="1115" t="n">
        <v>24410</v>
      </c>
      <c r="D888" s="1115" t="s">
        <v>1472</v>
      </c>
      <c r="E888" s="1115" t="s">
        <v>948</v>
      </c>
      <c r="F888" s="1115" t="n">
        <v>20780</v>
      </c>
      <c r="G888" s="1115" t="n">
        <v>25700</v>
      </c>
      <c r="H888" s="1115" t="s">
        <v>1041</v>
      </c>
      <c r="I888" s="1115" t="n">
        <v>24540</v>
      </c>
      <c r="J888" s="1115" t="s">
        <v>1472</v>
      </c>
    </row>
    <row r="889" customFormat="false" ht="14.1" hidden="false" customHeight="true" outlineLevel="0" collapsed="false">
      <c r="A889" s="1115" t="n">
        <v>24520</v>
      </c>
      <c r="B889" s="1115" t="s">
        <v>160</v>
      </c>
      <c r="C889" s="1115" t="n">
        <v>24520</v>
      </c>
      <c r="D889" s="1115" t="s">
        <v>1944</v>
      </c>
      <c r="E889" s="1115" t="s">
        <v>2125</v>
      </c>
      <c r="F889" s="1115" t="n">
        <v>83340</v>
      </c>
      <c r="G889" s="1115" t="n">
        <v>25710</v>
      </c>
      <c r="H889" s="1115" t="s">
        <v>2126</v>
      </c>
      <c r="I889" s="1115" t="n">
        <v>24800</v>
      </c>
      <c r="J889" s="1115" t="s">
        <v>1472</v>
      </c>
    </row>
    <row r="890" customFormat="false" ht="14.1" hidden="false" customHeight="true" outlineLevel="0" collapsed="false">
      <c r="A890" s="1115" t="n">
        <v>24540</v>
      </c>
      <c r="B890" s="1115" t="s">
        <v>160</v>
      </c>
      <c r="C890" s="1115" t="n">
        <v>24540</v>
      </c>
      <c r="D890" s="1115" t="s">
        <v>2090</v>
      </c>
      <c r="E890" s="1115" t="s">
        <v>2127</v>
      </c>
      <c r="F890" s="1115" t="n">
        <v>26410</v>
      </c>
      <c r="G890" s="1115" t="n">
        <v>25730</v>
      </c>
      <c r="H890" s="1115" t="s">
        <v>2128</v>
      </c>
      <c r="I890" s="1115" t="n">
        <v>24910</v>
      </c>
      <c r="J890" s="1115" t="s">
        <v>1472</v>
      </c>
    </row>
    <row r="891" customFormat="false" ht="14.1" hidden="false" customHeight="true" outlineLevel="0" collapsed="false">
      <c r="A891" s="1115" t="n">
        <v>24800</v>
      </c>
      <c r="B891" s="1115" t="s">
        <v>160</v>
      </c>
      <c r="C891" s="1115" t="n">
        <v>24800</v>
      </c>
      <c r="D891" s="1115" t="s">
        <v>812</v>
      </c>
      <c r="E891" s="1115" t="s">
        <v>2129</v>
      </c>
      <c r="F891" s="1115" t="n">
        <v>58720</v>
      </c>
      <c r="G891" s="1115" t="n">
        <v>25760</v>
      </c>
      <c r="H891" s="1115" t="s">
        <v>2130</v>
      </c>
      <c r="I891" s="1115" t="n">
        <v>25110</v>
      </c>
      <c r="J891" s="1115" t="s">
        <v>1472</v>
      </c>
    </row>
    <row r="892" customFormat="false" ht="14.1" hidden="false" customHeight="true" outlineLevel="0" collapsed="false">
      <c r="A892" s="1115" t="n">
        <v>24910</v>
      </c>
      <c r="B892" s="1115" t="s">
        <v>160</v>
      </c>
      <c r="C892" s="1115" t="n">
        <v>24910</v>
      </c>
      <c r="D892" s="1115" t="s">
        <v>812</v>
      </c>
      <c r="E892" s="1115" t="s">
        <v>2131</v>
      </c>
      <c r="F892" s="1115" t="n">
        <v>29310</v>
      </c>
      <c r="G892" s="1115" t="n">
        <v>25770</v>
      </c>
      <c r="H892" s="1115" t="s">
        <v>2132</v>
      </c>
      <c r="I892" s="1115" t="n">
        <v>25130</v>
      </c>
      <c r="J892" s="1115" t="s">
        <v>1472</v>
      </c>
    </row>
    <row r="893" customFormat="false" ht="14.1" hidden="false" customHeight="true" outlineLevel="0" collapsed="false">
      <c r="A893" s="1115" t="n">
        <v>25110</v>
      </c>
      <c r="B893" s="1115" t="s">
        <v>160</v>
      </c>
      <c r="C893" s="1115" t="n">
        <v>25110</v>
      </c>
      <c r="D893" s="1115" t="s">
        <v>2091</v>
      </c>
      <c r="E893" s="1115" t="s">
        <v>2133</v>
      </c>
      <c r="F893" s="1115" t="n">
        <v>83330</v>
      </c>
      <c r="G893" s="1115" t="n">
        <v>25780</v>
      </c>
      <c r="H893" s="1115" t="s">
        <v>2134</v>
      </c>
      <c r="I893" s="1115" t="n">
        <v>25160</v>
      </c>
      <c r="J893" s="1115" t="s">
        <v>1472</v>
      </c>
    </row>
    <row r="894" customFormat="false" ht="14.1" hidden="false" customHeight="true" outlineLevel="0" collapsed="false">
      <c r="A894" s="1115" t="n">
        <v>25130</v>
      </c>
      <c r="B894" s="1115" t="s">
        <v>160</v>
      </c>
      <c r="C894" s="1115" t="n">
        <v>25130</v>
      </c>
      <c r="D894" s="1115" t="s">
        <v>1245</v>
      </c>
      <c r="E894" s="1115" t="s">
        <v>951</v>
      </c>
      <c r="F894" s="1115" t="n">
        <v>73600</v>
      </c>
      <c r="G894" s="1115" t="n">
        <v>25810</v>
      </c>
      <c r="H894" s="1115" t="s">
        <v>2135</v>
      </c>
      <c r="I894" s="1115" t="n">
        <v>25170</v>
      </c>
      <c r="J894" s="1115" t="s">
        <v>1472</v>
      </c>
    </row>
    <row r="895" customFormat="false" ht="14.1" hidden="false" customHeight="true" outlineLevel="0" collapsed="false">
      <c r="A895" s="1115" t="n">
        <v>25160</v>
      </c>
      <c r="B895" s="1115" t="s">
        <v>160</v>
      </c>
      <c r="C895" s="1115" t="n">
        <v>25160</v>
      </c>
      <c r="D895" s="1115" t="s">
        <v>2092</v>
      </c>
      <c r="E895" s="1115" t="s">
        <v>2136</v>
      </c>
      <c r="F895" s="1115" t="n">
        <v>34350</v>
      </c>
      <c r="G895" s="1115" t="n">
        <v>25820</v>
      </c>
      <c r="H895" s="1115" t="s">
        <v>2137</v>
      </c>
      <c r="I895" s="1115" t="n">
        <v>25210</v>
      </c>
      <c r="J895" s="1115" t="s">
        <v>1472</v>
      </c>
    </row>
    <row r="896" customFormat="false" ht="14.1" hidden="false" customHeight="true" outlineLevel="0" collapsed="false">
      <c r="A896" s="1115" t="n">
        <v>25170</v>
      </c>
      <c r="B896" s="1115" t="s">
        <v>160</v>
      </c>
      <c r="C896" s="1115" t="n">
        <v>25170</v>
      </c>
      <c r="D896" s="1115" t="s">
        <v>2093</v>
      </c>
      <c r="E896" s="1115" t="s">
        <v>2138</v>
      </c>
      <c r="F896" s="1115" t="n">
        <v>51335</v>
      </c>
      <c r="G896" s="1115" t="n">
        <v>25830</v>
      </c>
      <c r="H896" s="1115" t="s">
        <v>1631</v>
      </c>
      <c r="I896" s="1115" t="n">
        <v>25220</v>
      </c>
      <c r="J896" s="1115" t="s">
        <v>1472</v>
      </c>
    </row>
    <row r="897" customFormat="false" ht="14.1" hidden="false" customHeight="true" outlineLevel="0" collapsed="false">
      <c r="A897" s="1115" t="n">
        <v>25210</v>
      </c>
      <c r="B897" s="1115" t="s">
        <v>160</v>
      </c>
      <c r="C897" s="1115" t="n">
        <v>25210</v>
      </c>
      <c r="D897" s="1115" t="s">
        <v>2094</v>
      </c>
      <c r="E897" s="1115" t="s">
        <v>2139</v>
      </c>
      <c r="F897" s="1115" t="n">
        <v>89780</v>
      </c>
      <c r="G897" s="1115" t="n">
        <v>25840</v>
      </c>
      <c r="H897" s="1115" t="s">
        <v>2140</v>
      </c>
      <c r="I897" s="1115" t="n">
        <v>25230</v>
      </c>
      <c r="J897" s="1115" t="s">
        <v>1472</v>
      </c>
    </row>
    <row r="898" customFormat="false" ht="14.1" hidden="false" customHeight="true" outlineLevel="0" collapsed="false">
      <c r="A898" s="1115" t="n">
        <v>25220</v>
      </c>
      <c r="B898" s="1115" t="s">
        <v>160</v>
      </c>
      <c r="C898" s="1115" t="n">
        <v>25220</v>
      </c>
      <c r="D898" s="1115" t="s">
        <v>2095</v>
      </c>
      <c r="E898" s="1115" t="s">
        <v>2141</v>
      </c>
      <c r="F898" s="1115" t="n">
        <v>61820</v>
      </c>
      <c r="G898" s="1115" t="n">
        <v>25850</v>
      </c>
      <c r="H898" s="1115" t="s">
        <v>1902</v>
      </c>
      <c r="I898" s="1115" t="n">
        <v>25240</v>
      </c>
      <c r="J898" s="1115" t="s">
        <v>1472</v>
      </c>
    </row>
    <row r="899" customFormat="false" ht="14.1" hidden="false" customHeight="true" outlineLevel="0" collapsed="false">
      <c r="A899" s="1115" t="n">
        <v>25230</v>
      </c>
      <c r="B899" s="1115" t="s">
        <v>160</v>
      </c>
      <c r="C899" s="1115" t="n">
        <v>25230</v>
      </c>
      <c r="D899" s="1115" t="s">
        <v>893</v>
      </c>
      <c r="E899" s="1115" t="s">
        <v>2142</v>
      </c>
      <c r="F899" s="1115" t="n">
        <v>95610</v>
      </c>
      <c r="G899" s="1115" t="n">
        <v>25860</v>
      </c>
      <c r="H899" s="1115" t="s">
        <v>987</v>
      </c>
      <c r="I899" s="1115" t="n">
        <v>25250</v>
      </c>
      <c r="J899" s="1115" t="s">
        <v>1472</v>
      </c>
    </row>
    <row r="900" customFormat="false" ht="14.1" hidden="false" customHeight="true" outlineLevel="0" collapsed="false">
      <c r="A900" s="1115" t="n">
        <v>25240</v>
      </c>
      <c r="B900" s="1115" t="s">
        <v>160</v>
      </c>
      <c r="C900" s="1115" t="n">
        <v>25240</v>
      </c>
      <c r="D900" s="1115" t="s">
        <v>1317</v>
      </c>
      <c r="E900" s="1115" t="s">
        <v>2143</v>
      </c>
      <c r="F900" s="1115" t="n">
        <v>74285</v>
      </c>
      <c r="G900" s="1115" t="n">
        <v>25870</v>
      </c>
      <c r="H900" s="1115" t="s">
        <v>752</v>
      </c>
      <c r="I900" s="1115" t="n">
        <v>25260</v>
      </c>
      <c r="J900" s="1115" t="s">
        <v>1472</v>
      </c>
    </row>
    <row r="901" customFormat="false" ht="14.1" hidden="false" customHeight="true" outlineLevel="0" collapsed="false">
      <c r="A901" s="1115" t="n">
        <v>25250</v>
      </c>
      <c r="B901" s="1115" t="s">
        <v>160</v>
      </c>
      <c r="C901" s="1115" t="n">
        <v>25250</v>
      </c>
      <c r="D901" s="1115" t="s">
        <v>2096</v>
      </c>
      <c r="E901" s="1115" t="s">
        <v>2144</v>
      </c>
      <c r="F901" s="1115" t="n">
        <v>46400</v>
      </c>
      <c r="G901" s="1115" t="n">
        <v>25900</v>
      </c>
      <c r="H901" s="1115" t="s">
        <v>2145</v>
      </c>
      <c r="I901" s="1115" t="n">
        <v>25270</v>
      </c>
      <c r="J901" s="1115" t="s">
        <v>1472</v>
      </c>
    </row>
    <row r="902" customFormat="false" ht="14.1" hidden="false" customHeight="true" outlineLevel="0" collapsed="false">
      <c r="A902" s="1115" t="n">
        <v>25260</v>
      </c>
      <c r="B902" s="1115" t="s">
        <v>160</v>
      </c>
      <c r="C902" s="1115" t="n">
        <v>25260</v>
      </c>
      <c r="D902" s="1115" t="s">
        <v>2097</v>
      </c>
      <c r="E902" s="1115" t="s">
        <v>2146</v>
      </c>
      <c r="F902" s="1115" t="n">
        <v>39195</v>
      </c>
      <c r="G902" s="1115" t="n">
        <v>25910</v>
      </c>
      <c r="H902" s="1115" t="s">
        <v>2147</v>
      </c>
      <c r="I902" s="1115" t="n">
        <v>25310</v>
      </c>
      <c r="J902" s="1115" t="s">
        <v>1472</v>
      </c>
    </row>
    <row r="903" customFormat="false" ht="14.1" hidden="false" customHeight="true" outlineLevel="0" collapsed="false">
      <c r="A903" s="1115" t="n">
        <v>25270</v>
      </c>
      <c r="B903" s="1115" t="s">
        <v>160</v>
      </c>
      <c r="C903" s="1115" t="n">
        <v>25270</v>
      </c>
      <c r="D903" s="1115" t="s">
        <v>2098</v>
      </c>
      <c r="E903" s="1115" t="s">
        <v>2148</v>
      </c>
      <c r="F903" s="1115" t="n">
        <v>42220</v>
      </c>
      <c r="G903" s="1115" t="n">
        <v>25920</v>
      </c>
      <c r="H903" s="1115" t="s">
        <v>994</v>
      </c>
      <c r="I903" s="1115" t="n">
        <v>25320</v>
      </c>
      <c r="J903" s="1115" t="s">
        <v>1472</v>
      </c>
    </row>
    <row r="904" customFormat="false" ht="14.1" hidden="false" customHeight="true" outlineLevel="0" collapsed="false">
      <c r="A904" s="1115" t="n">
        <v>25310</v>
      </c>
      <c r="B904" s="1115" t="s">
        <v>160</v>
      </c>
      <c r="C904" s="1115" t="n">
        <v>25310</v>
      </c>
      <c r="D904" s="1115" t="s">
        <v>1938</v>
      </c>
      <c r="E904" s="1115" t="s">
        <v>2149</v>
      </c>
      <c r="F904" s="1115" t="n">
        <v>98560</v>
      </c>
      <c r="G904" s="1115" t="n">
        <v>25930</v>
      </c>
      <c r="H904" s="1115" t="s">
        <v>2150</v>
      </c>
      <c r="I904" s="1115" t="n">
        <v>25330</v>
      </c>
      <c r="J904" s="1115" t="s">
        <v>1472</v>
      </c>
    </row>
    <row r="905" customFormat="false" ht="14.1" hidden="false" customHeight="true" outlineLevel="0" collapsed="false">
      <c r="A905" s="1115" t="n">
        <v>25320</v>
      </c>
      <c r="B905" s="1115" t="s">
        <v>160</v>
      </c>
      <c r="C905" s="1115" t="n">
        <v>25320</v>
      </c>
      <c r="D905" s="1115" t="s">
        <v>2099</v>
      </c>
      <c r="E905" s="1115" t="s">
        <v>2151</v>
      </c>
      <c r="F905" s="1115" t="n">
        <v>72830</v>
      </c>
      <c r="G905" s="1115" t="n">
        <v>25940</v>
      </c>
      <c r="H905" s="1115" t="s">
        <v>1701</v>
      </c>
      <c r="I905" s="1115" t="n">
        <v>25340</v>
      </c>
      <c r="J905" s="1115" t="s">
        <v>1472</v>
      </c>
    </row>
    <row r="906" customFormat="false" ht="14.1" hidden="false" customHeight="true" outlineLevel="0" collapsed="false">
      <c r="A906" s="1115" t="n">
        <v>25330</v>
      </c>
      <c r="B906" s="1115" t="s">
        <v>160</v>
      </c>
      <c r="C906" s="1115" t="n">
        <v>25330</v>
      </c>
      <c r="D906" s="1115" t="s">
        <v>1133</v>
      </c>
      <c r="E906" s="1115" t="s">
        <v>2152</v>
      </c>
      <c r="F906" s="1115" t="n">
        <v>95330</v>
      </c>
      <c r="G906" s="1115" t="n">
        <v>25950</v>
      </c>
      <c r="H906" s="1115" t="s">
        <v>2153</v>
      </c>
      <c r="I906" s="1115" t="n">
        <v>25350</v>
      </c>
      <c r="J906" s="1115" t="s">
        <v>1507</v>
      </c>
    </row>
    <row r="907" customFormat="false" ht="14.1" hidden="false" customHeight="true" outlineLevel="0" collapsed="false">
      <c r="A907" s="1115" t="n">
        <v>25340</v>
      </c>
      <c r="B907" s="1115" t="s">
        <v>160</v>
      </c>
      <c r="C907" s="1115" t="n">
        <v>25340</v>
      </c>
      <c r="D907" s="1115" t="s">
        <v>2100</v>
      </c>
      <c r="E907" s="1115" t="s">
        <v>2154</v>
      </c>
      <c r="F907" s="1115" t="n">
        <v>71520</v>
      </c>
      <c r="G907" s="1115" t="n">
        <v>25960</v>
      </c>
      <c r="H907" s="1115" t="s">
        <v>1904</v>
      </c>
      <c r="I907" s="1115" t="n">
        <v>25360</v>
      </c>
      <c r="J907" s="1115" t="s">
        <v>1507</v>
      </c>
    </row>
    <row r="908" customFormat="false" ht="14.1" hidden="false" customHeight="true" outlineLevel="0" collapsed="false">
      <c r="A908" s="1115" t="n">
        <v>25350</v>
      </c>
      <c r="B908" s="1115" t="s">
        <v>160</v>
      </c>
      <c r="C908" s="1115" t="n">
        <v>25350</v>
      </c>
      <c r="D908" s="1115" t="s">
        <v>1894</v>
      </c>
      <c r="E908" s="1115" t="s">
        <v>2155</v>
      </c>
      <c r="F908" s="1115" t="n">
        <v>79690</v>
      </c>
      <c r="G908" s="1115" t="n">
        <v>25970</v>
      </c>
      <c r="H908" s="1115" t="s">
        <v>1753</v>
      </c>
      <c r="I908" s="1115" t="n">
        <v>25370</v>
      </c>
      <c r="J908" s="1115" t="s">
        <v>1507</v>
      </c>
    </row>
    <row r="909" customFormat="false" ht="14.1" hidden="false" customHeight="true" outlineLevel="0" collapsed="false">
      <c r="A909" s="1115" t="n">
        <v>25360</v>
      </c>
      <c r="B909" s="1115" t="s">
        <v>160</v>
      </c>
      <c r="C909" s="1115" t="n">
        <v>25360</v>
      </c>
      <c r="D909" s="1115" t="s">
        <v>1334</v>
      </c>
      <c r="E909" s="1115" t="s">
        <v>2156</v>
      </c>
      <c r="F909" s="1115" t="n">
        <v>45550</v>
      </c>
      <c r="G909" s="1115" t="n">
        <v>26100</v>
      </c>
      <c r="H909" s="1115" t="s">
        <v>1421</v>
      </c>
      <c r="I909" s="1115" t="n">
        <v>25380</v>
      </c>
      <c r="J909" s="1115" t="s">
        <v>1507</v>
      </c>
    </row>
    <row r="910" customFormat="false" ht="14.1" hidden="false" customHeight="true" outlineLevel="0" collapsed="false">
      <c r="A910" s="1115" t="n">
        <v>25370</v>
      </c>
      <c r="B910" s="1115" t="s">
        <v>160</v>
      </c>
      <c r="C910" s="1115" t="n">
        <v>25370</v>
      </c>
      <c r="D910" s="1115" t="s">
        <v>1695</v>
      </c>
      <c r="E910" s="1115" t="s">
        <v>2157</v>
      </c>
      <c r="F910" s="1115" t="n">
        <v>66710</v>
      </c>
      <c r="G910" s="1115" t="n">
        <v>26130</v>
      </c>
      <c r="H910" s="1115" t="s">
        <v>1421</v>
      </c>
      <c r="I910" s="1115" t="n">
        <v>25385</v>
      </c>
      <c r="J910" s="1115" t="s">
        <v>1507</v>
      </c>
    </row>
    <row r="911" customFormat="false" ht="14.1" hidden="false" customHeight="true" outlineLevel="0" collapsed="false">
      <c r="A911" s="1115" t="n">
        <v>25380</v>
      </c>
      <c r="B911" s="1115" t="s">
        <v>160</v>
      </c>
      <c r="C911" s="1115" t="n">
        <v>25380</v>
      </c>
      <c r="D911" s="1115" t="s">
        <v>2103</v>
      </c>
      <c r="E911" s="1115" t="s">
        <v>2158</v>
      </c>
      <c r="F911" s="1115" t="n">
        <v>56410</v>
      </c>
      <c r="G911" s="1115" t="n">
        <v>26200</v>
      </c>
      <c r="H911" s="1115" t="s">
        <v>1421</v>
      </c>
      <c r="I911" s="1115" t="n">
        <v>25390</v>
      </c>
      <c r="J911" s="1115" t="s">
        <v>1507</v>
      </c>
    </row>
    <row r="912" customFormat="false" ht="14.1" hidden="false" customHeight="true" outlineLevel="0" collapsed="false">
      <c r="A912" s="1115" t="n">
        <v>25385</v>
      </c>
      <c r="B912" s="1115" t="s">
        <v>160</v>
      </c>
      <c r="C912" s="1115" t="n">
        <v>25385</v>
      </c>
      <c r="D912" s="1115" t="s">
        <v>1720</v>
      </c>
      <c r="E912" s="1115" t="s">
        <v>2159</v>
      </c>
      <c r="F912" s="1115" t="n">
        <v>36570</v>
      </c>
      <c r="G912" s="1115" t="n">
        <v>26410</v>
      </c>
      <c r="H912" s="1115" t="s">
        <v>2127</v>
      </c>
      <c r="I912" s="1115" t="n">
        <v>25410</v>
      </c>
      <c r="J912" s="1115" t="s">
        <v>1507</v>
      </c>
    </row>
    <row r="913" customFormat="false" ht="14.1" hidden="false" customHeight="true" outlineLevel="0" collapsed="false">
      <c r="A913" s="1115" t="n">
        <v>25390</v>
      </c>
      <c r="B913" s="1115" t="s">
        <v>160</v>
      </c>
      <c r="C913" s="1115" t="n">
        <v>25390</v>
      </c>
      <c r="D913" s="1115" t="s">
        <v>1062</v>
      </c>
      <c r="E913" s="1115" t="s">
        <v>168</v>
      </c>
      <c r="F913" s="1115" t="n">
        <v>87100</v>
      </c>
      <c r="G913" s="1115" t="n">
        <v>26510</v>
      </c>
      <c r="H913" s="1115" t="s">
        <v>2160</v>
      </c>
      <c r="I913" s="1115" t="n">
        <v>25420</v>
      </c>
      <c r="J913" s="1115" t="s">
        <v>1507</v>
      </c>
    </row>
    <row r="914" customFormat="false" ht="14.1" hidden="false" customHeight="true" outlineLevel="0" collapsed="false">
      <c r="A914" s="1115" t="n">
        <v>25410</v>
      </c>
      <c r="B914" s="1115" t="s">
        <v>160</v>
      </c>
      <c r="C914" s="1115" t="n">
        <v>25410</v>
      </c>
      <c r="D914" s="1115" t="s">
        <v>1528</v>
      </c>
      <c r="E914" s="1115" t="s">
        <v>168</v>
      </c>
      <c r="F914" s="1115" t="n">
        <v>87100</v>
      </c>
      <c r="G914" s="1115" t="n">
        <v>26560</v>
      </c>
      <c r="H914" s="1115" t="s">
        <v>2161</v>
      </c>
      <c r="I914" s="1115" t="n">
        <v>25430</v>
      </c>
      <c r="J914" s="1115" t="s">
        <v>1507</v>
      </c>
    </row>
    <row r="915" customFormat="false" ht="14.1" hidden="false" customHeight="true" outlineLevel="0" collapsed="false">
      <c r="A915" s="1115" t="n">
        <v>25420</v>
      </c>
      <c r="B915" s="1115" t="s">
        <v>160</v>
      </c>
      <c r="C915" s="1115" t="n">
        <v>25420</v>
      </c>
      <c r="D915" s="1115" t="s">
        <v>2104</v>
      </c>
      <c r="E915" s="1115" t="s">
        <v>168</v>
      </c>
      <c r="F915" s="1115" t="n">
        <v>87140</v>
      </c>
      <c r="G915" s="1115" t="n">
        <v>26660</v>
      </c>
      <c r="H915" s="1115" t="s">
        <v>1421</v>
      </c>
      <c r="I915" s="1115" t="n">
        <v>25440</v>
      </c>
      <c r="J915" s="1115" t="s">
        <v>1507</v>
      </c>
    </row>
    <row r="916" customFormat="false" ht="14.1" hidden="false" customHeight="true" outlineLevel="0" collapsed="false">
      <c r="A916" s="1115" t="n">
        <v>25430</v>
      </c>
      <c r="B916" s="1115" t="s">
        <v>160</v>
      </c>
      <c r="C916" s="1115" t="n">
        <v>25430</v>
      </c>
      <c r="D916" s="1115" t="s">
        <v>2106</v>
      </c>
      <c r="E916" s="1115" t="s">
        <v>168</v>
      </c>
      <c r="F916" s="1115" t="n">
        <v>87150</v>
      </c>
      <c r="G916" s="1115" t="n">
        <v>26720</v>
      </c>
      <c r="H916" s="1115" t="s">
        <v>2162</v>
      </c>
      <c r="I916" s="1115" t="n">
        <v>25450</v>
      </c>
      <c r="J916" s="1115" t="s">
        <v>1507</v>
      </c>
    </row>
    <row r="917" customFormat="false" ht="14.1" hidden="false" customHeight="true" outlineLevel="0" collapsed="false">
      <c r="A917" s="1115" t="n">
        <v>25440</v>
      </c>
      <c r="B917" s="1115" t="s">
        <v>160</v>
      </c>
      <c r="C917" s="1115" t="n">
        <v>25440</v>
      </c>
      <c r="D917" s="1115" t="s">
        <v>2108</v>
      </c>
      <c r="E917" s="1115" t="s">
        <v>168</v>
      </c>
      <c r="F917" s="1115" t="n">
        <v>87200</v>
      </c>
      <c r="G917" s="1115" t="n">
        <v>26740</v>
      </c>
      <c r="H917" s="1115" t="s">
        <v>2163</v>
      </c>
      <c r="I917" s="1115" t="n">
        <v>25460</v>
      </c>
      <c r="J917" s="1115" t="s">
        <v>1507</v>
      </c>
    </row>
    <row r="918" customFormat="false" ht="14.1" hidden="false" customHeight="true" outlineLevel="0" collapsed="false">
      <c r="A918" s="1115" t="n">
        <v>25450</v>
      </c>
      <c r="B918" s="1115" t="s">
        <v>160</v>
      </c>
      <c r="C918" s="1115" t="n">
        <v>25450</v>
      </c>
      <c r="D918" s="1115" t="s">
        <v>2110</v>
      </c>
      <c r="E918" s="1115" t="s">
        <v>168</v>
      </c>
      <c r="F918" s="1115" t="n">
        <v>87300</v>
      </c>
      <c r="G918" s="1115" t="n">
        <v>26820</v>
      </c>
      <c r="H918" s="1115" t="s">
        <v>1421</v>
      </c>
      <c r="I918" s="1115" t="n">
        <v>25470</v>
      </c>
      <c r="J918" s="1115" t="s">
        <v>1507</v>
      </c>
    </row>
    <row r="919" customFormat="false" ht="14.1" hidden="false" customHeight="true" outlineLevel="0" collapsed="false">
      <c r="A919" s="1115" t="n">
        <v>25460</v>
      </c>
      <c r="B919" s="1115" t="s">
        <v>160</v>
      </c>
      <c r="C919" s="1115" t="n">
        <v>25460</v>
      </c>
      <c r="D919" s="1115" t="s">
        <v>2111</v>
      </c>
      <c r="E919" s="1115" t="s">
        <v>168</v>
      </c>
      <c r="F919" s="1115" t="n">
        <v>87400</v>
      </c>
      <c r="G919" s="1115" t="n">
        <v>26840</v>
      </c>
      <c r="H919" s="1115" t="s">
        <v>2164</v>
      </c>
      <c r="I919" s="1115" t="n">
        <v>25480</v>
      </c>
      <c r="J919" s="1115" t="s">
        <v>1507</v>
      </c>
    </row>
    <row r="920" customFormat="false" ht="14.1" hidden="false" customHeight="true" outlineLevel="0" collapsed="false">
      <c r="A920" s="1115" t="n">
        <v>25470</v>
      </c>
      <c r="B920" s="1115" t="s">
        <v>160</v>
      </c>
      <c r="C920" s="1115" t="n">
        <v>25470</v>
      </c>
      <c r="D920" s="1115" t="s">
        <v>1079</v>
      </c>
      <c r="E920" s="1115" t="s">
        <v>168</v>
      </c>
      <c r="F920" s="1115" t="n">
        <v>87500</v>
      </c>
      <c r="G920" s="1115" t="n">
        <v>26910</v>
      </c>
      <c r="H920" s="1115" t="s">
        <v>2165</v>
      </c>
      <c r="I920" s="1115" t="n">
        <v>25500</v>
      </c>
      <c r="J920" s="1115" t="s">
        <v>1507</v>
      </c>
    </row>
    <row r="921" customFormat="false" ht="14.1" hidden="false" customHeight="true" outlineLevel="0" collapsed="false">
      <c r="A921" s="1115" t="n">
        <v>25480</v>
      </c>
      <c r="B921" s="1115" t="s">
        <v>160</v>
      </c>
      <c r="C921" s="1115" t="n">
        <v>25480</v>
      </c>
      <c r="D921" s="1115" t="s">
        <v>2112</v>
      </c>
      <c r="E921" s="1115" t="s">
        <v>168</v>
      </c>
      <c r="F921" s="1115" t="n">
        <v>87600</v>
      </c>
      <c r="G921" s="1115" t="n">
        <v>26930</v>
      </c>
      <c r="H921" s="1115" t="s">
        <v>2166</v>
      </c>
      <c r="I921" s="1115" t="n">
        <v>25520</v>
      </c>
      <c r="J921" s="1115" t="s">
        <v>1507</v>
      </c>
    </row>
    <row r="922" customFormat="false" ht="14.1" hidden="false" customHeight="true" outlineLevel="0" collapsed="false">
      <c r="A922" s="1115" t="n">
        <v>25500</v>
      </c>
      <c r="B922" s="1115" t="s">
        <v>160</v>
      </c>
      <c r="C922" s="1115" t="n">
        <v>25500</v>
      </c>
      <c r="D922" s="1115" t="s">
        <v>1332</v>
      </c>
      <c r="E922" s="1115" t="s">
        <v>2167</v>
      </c>
      <c r="F922" s="1115" t="n">
        <v>83880</v>
      </c>
      <c r="G922" s="1115" t="n">
        <v>26950</v>
      </c>
      <c r="H922" s="1115" t="s">
        <v>2168</v>
      </c>
      <c r="I922" s="1115" t="n">
        <v>25530</v>
      </c>
      <c r="J922" s="1115" t="s">
        <v>1507</v>
      </c>
    </row>
    <row r="923" customFormat="false" ht="14.1" hidden="false" customHeight="true" outlineLevel="0" collapsed="false">
      <c r="A923" s="1115" t="n">
        <v>25520</v>
      </c>
      <c r="B923" s="1115" t="s">
        <v>160</v>
      </c>
      <c r="C923" s="1115" t="n">
        <v>25520</v>
      </c>
      <c r="D923" s="1115" t="s">
        <v>1332</v>
      </c>
      <c r="E923" s="1115" t="s">
        <v>2169</v>
      </c>
      <c r="F923" s="1115" t="n">
        <v>27840</v>
      </c>
      <c r="G923" s="1115" t="n">
        <v>27100</v>
      </c>
      <c r="H923" s="1115" t="s">
        <v>780</v>
      </c>
      <c r="I923" s="1115" t="n">
        <v>25540</v>
      </c>
      <c r="J923" s="1115" t="s">
        <v>1507</v>
      </c>
    </row>
    <row r="924" customFormat="false" ht="14.1" hidden="false" customHeight="true" outlineLevel="0" collapsed="false">
      <c r="A924" s="1115" t="n">
        <v>25530</v>
      </c>
      <c r="B924" s="1115" t="s">
        <v>160</v>
      </c>
      <c r="C924" s="1115" t="n">
        <v>25530</v>
      </c>
      <c r="D924" s="1115" t="s">
        <v>1109</v>
      </c>
      <c r="E924" s="1115" t="s">
        <v>2170</v>
      </c>
      <c r="F924" s="1115" t="n">
        <v>85185</v>
      </c>
      <c r="G924" s="1115" t="n">
        <v>27110</v>
      </c>
      <c r="H924" s="1115" t="s">
        <v>1949</v>
      </c>
      <c r="I924" s="1115" t="n">
        <v>25550</v>
      </c>
      <c r="J924" s="1115" t="s">
        <v>1507</v>
      </c>
    </row>
    <row r="925" customFormat="false" ht="14.1" hidden="false" customHeight="true" outlineLevel="0" collapsed="false">
      <c r="A925" s="1115" t="n">
        <v>25540</v>
      </c>
      <c r="B925" s="1115" t="s">
        <v>160</v>
      </c>
      <c r="C925" s="1115" t="n">
        <v>25540</v>
      </c>
      <c r="D925" s="1115" t="s">
        <v>2113</v>
      </c>
      <c r="E925" s="1115" t="s">
        <v>962</v>
      </c>
      <c r="F925" s="1115" t="n">
        <v>85100</v>
      </c>
      <c r="G925" s="1115" t="n">
        <v>27130</v>
      </c>
      <c r="H925" s="1115" t="s">
        <v>780</v>
      </c>
      <c r="I925" s="1115" t="n">
        <v>25560</v>
      </c>
      <c r="J925" s="1115" t="s">
        <v>1507</v>
      </c>
    </row>
    <row r="926" customFormat="false" ht="14.1" hidden="false" customHeight="true" outlineLevel="0" collapsed="false">
      <c r="A926" s="1115" t="n">
        <v>25550</v>
      </c>
      <c r="B926" s="1115" t="s">
        <v>160</v>
      </c>
      <c r="C926" s="1115" t="n">
        <v>25550</v>
      </c>
      <c r="D926" s="1115" t="s">
        <v>790</v>
      </c>
      <c r="E926" s="1115" t="s">
        <v>2171</v>
      </c>
      <c r="F926" s="1115" t="n">
        <v>85880</v>
      </c>
      <c r="G926" s="1115" t="n">
        <v>27150</v>
      </c>
      <c r="H926" s="1115" t="s">
        <v>2172</v>
      </c>
      <c r="I926" s="1115" t="n">
        <v>25570</v>
      </c>
      <c r="J926" s="1115" t="s">
        <v>1507</v>
      </c>
    </row>
    <row r="927" customFormat="false" ht="14.1" hidden="false" customHeight="true" outlineLevel="0" collapsed="false">
      <c r="A927" s="1115" t="n">
        <v>25560</v>
      </c>
      <c r="B927" s="1115" t="s">
        <v>160</v>
      </c>
      <c r="C927" s="1115" t="n">
        <v>25560</v>
      </c>
      <c r="D927" s="1115" t="s">
        <v>1773</v>
      </c>
      <c r="E927" s="1115" t="s">
        <v>2173</v>
      </c>
      <c r="F927" s="1115" t="n">
        <v>61650</v>
      </c>
      <c r="G927" s="1115" t="n">
        <v>27160</v>
      </c>
      <c r="H927" s="1115" t="s">
        <v>2174</v>
      </c>
      <c r="I927" s="1115" t="n">
        <v>25610</v>
      </c>
      <c r="J927" s="1115" t="s">
        <v>1507</v>
      </c>
    </row>
    <row r="928" customFormat="false" ht="14.1" hidden="false" customHeight="true" outlineLevel="0" collapsed="false">
      <c r="A928" s="1115" t="n">
        <v>25570</v>
      </c>
      <c r="B928" s="1115" t="s">
        <v>160</v>
      </c>
      <c r="C928" s="1115" t="n">
        <v>25570</v>
      </c>
      <c r="D928" s="1115" t="s">
        <v>2115</v>
      </c>
      <c r="E928" s="1115" t="s">
        <v>2175</v>
      </c>
      <c r="F928" s="1115" t="n">
        <v>44460</v>
      </c>
      <c r="G928" s="1115" t="n">
        <v>27170</v>
      </c>
      <c r="H928" s="1115" t="s">
        <v>2176</v>
      </c>
      <c r="I928" s="1115" t="n">
        <v>25630</v>
      </c>
      <c r="J928" s="1115" t="s">
        <v>1507</v>
      </c>
    </row>
    <row r="929" customFormat="false" ht="14.1" hidden="false" customHeight="true" outlineLevel="0" collapsed="false">
      <c r="A929" s="1115" t="n">
        <v>25610</v>
      </c>
      <c r="B929" s="1115" t="s">
        <v>160</v>
      </c>
      <c r="C929" s="1115" t="n">
        <v>25610</v>
      </c>
      <c r="D929" s="1115" t="s">
        <v>2117</v>
      </c>
      <c r="E929" s="1115" t="s">
        <v>2070</v>
      </c>
      <c r="F929" s="1115" t="n">
        <v>23600</v>
      </c>
      <c r="G929" s="1115" t="n">
        <v>27210</v>
      </c>
      <c r="H929" s="1115" t="s">
        <v>2177</v>
      </c>
      <c r="I929" s="1115" t="n">
        <v>25640</v>
      </c>
      <c r="J929" s="1115" t="s">
        <v>1507</v>
      </c>
    </row>
    <row r="930" customFormat="false" ht="14.1" hidden="false" customHeight="true" outlineLevel="0" collapsed="false">
      <c r="A930" s="1115" t="n">
        <v>25630</v>
      </c>
      <c r="B930" s="1115" t="s">
        <v>160</v>
      </c>
      <c r="C930" s="1115" t="n">
        <v>25630</v>
      </c>
      <c r="D930" s="1115" t="s">
        <v>1541</v>
      </c>
      <c r="E930" s="1115" t="s">
        <v>2070</v>
      </c>
      <c r="F930" s="1115" t="n">
        <v>23660</v>
      </c>
      <c r="G930" s="1115" t="n">
        <v>27220</v>
      </c>
      <c r="H930" s="1115" t="s">
        <v>837</v>
      </c>
      <c r="I930" s="1115" t="n">
        <v>25650</v>
      </c>
      <c r="J930" s="1115" t="s">
        <v>2178</v>
      </c>
    </row>
    <row r="931" customFormat="false" ht="14.1" hidden="false" customHeight="true" outlineLevel="0" collapsed="false">
      <c r="A931" s="1115" t="n">
        <v>25640</v>
      </c>
      <c r="B931" s="1115" t="s">
        <v>160</v>
      </c>
      <c r="C931" s="1115" t="n">
        <v>25640</v>
      </c>
      <c r="D931" s="1115" t="s">
        <v>1233</v>
      </c>
      <c r="E931" s="1115" t="s">
        <v>2179</v>
      </c>
      <c r="F931" s="1115" t="n">
        <v>64210</v>
      </c>
      <c r="G931" s="1115" t="n">
        <v>27230</v>
      </c>
      <c r="H931" s="1115" t="s">
        <v>1153</v>
      </c>
      <c r="I931" s="1115" t="n">
        <v>25660</v>
      </c>
      <c r="J931" s="1115" t="s">
        <v>2178</v>
      </c>
    </row>
    <row r="932" customFormat="false" ht="14.1" hidden="false" customHeight="true" outlineLevel="0" collapsed="false">
      <c r="A932" s="1115" t="n">
        <v>25650</v>
      </c>
      <c r="B932" s="1115" t="s">
        <v>160</v>
      </c>
      <c r="C932" s="1115" t="n">
        <v>25650</v>
      </c>
      <c r="D932" s="1115" t="s">
        <v>2121</v>
      </c>
      <c r="E932" s="1115" t="s">
        <v>2180</v>
      </c>
      <c r="F932" s="1115" t="n">
        <v>42540</v>
      </c>
      <c r="G932" s="1115" t="n">
        <v>27240</v>
      </c>
      <c r="H932" s="1115" t="s">
        <v>2181</v>
      </c>
      <c r="I932" s="1115" t="n">
        <v>25690</v>
      </c>
      <c r="J932" s="1115" t="s">
        <v>2178</v>
      </c>
    </row>
    <row r="933" customFormat="false" ht="14.1" hidden="false" customHeight="true" outlineLevel="0" collapsed="false">
      <c r="A933" s="1115" t="n">
        <v>25660</v>
      </c>
      <c r="B933" s="1115" t="s">
        <v>160</v>
      </c>
      <c r="C933" s="1115" t="n">
        <v>25660</v>
      </c>
      <c r="D933" s="1115" t="s">
        <v>2123</v>
      </c>
      <c r="E933" s="1115" t="s">
        <v>1879</v>
      </c>
      <c r="F933" s="1115" t="n">
        <v>19630</v>
      </c>
      <c r="G933" s="1115" t="n">
        <v>27250</v>
      </c>
      <c r="H933" s="1115" t="s">
        <v>2182</v>
      </c>
      <c r="I933" s="1115" t="n">
        <v>25700</v>
      </c>
      <c r="J933" s="1115" t="s">
        <v>2178</v>
      </c>
    </row>
    <row r="934" customFormat="false" ht="14.1" hidden="false" customHeight="true" outlineLevel="0" collapsed="false">
      <c r="A934" s="1115" t="n">
        <v>25690</v>
      </c>
      <c r="B934" s="1115" t="s">
        <v>160</v>
      </c>
      <c r="C934" s="1115" t="n">
        <v>25690</v>
      </c>
      <c r="D934" s="1115" t="s">
        <v>2124</v>
      </c>
      <c r="E934" s="1115" t="s">
        <v>1800</v>
      </c>
      <c r="F934" s="1115" t="n">
        <v>17240</v>
      </c>
      <c r="G934" s="1115" t="n">
        <v>27260</v>
      </c>
      <c r="H934" s="1115" t="s">
        <v>2183</v>
      </c>
      <c r="I934" s="1115" t="n">
        <v>25710</v>
      </c>
      <c r="J934" s="1115" t="s">
        <v>2178</v>
      </c>
    </row>
    <row r="935" customFormat="false" ht="14.1" hidden="false" customHeight="true" outlineLevel="0" collapsed="false">
      <c r="A935" s="1115" t="n">
        <v>25700</v>
      </c>
      <c r="B935" s="1115" t="s">
        <v>160</v>
      </c>
      <c r="C935" s="1115" t="n">
        <v>25700</v>
      </c>
      <c r="D935" s="1115" t="s">
        <v>1041</v>
      </c>
      <c r="E935" s="1115" t="s">
        <v>949</v>
      </c>
      <c r="F935" s="1115" t="n">
        <v>1180</v>
      </c>
      <c r="G935" s="1115" t="n">
        <v>27310</v>
      </c>
      <c r="H935" s="1115" t="s">
        <v>1090</v>
      </c>
      <c r="I935" s="1115" t="n">
        <v>25730</v>
      </c>
      <c r="J935" s="1115" t="s">
        <v>2178</v>
      </c>
    </row>
    <row r="936" customFormat="false" ht="14.1" hidden="false" customHeight="true" outlineLevel="0" collapsed="false">
      <c r="A936" s="1115" t="n">
        <v>25710</v>
      </c>
      <c r="B936" s="1115" t="s">
        <v>160</v>
      </c>
      <c r="C936" s="1115" t="n">
        <v>25710</v>
      </c>
      <c r="D936" s="1115" t="s">
        <v>2126</v>
      </c>
      <c r="E936" s="1115" t="s">
        <v>2184</v>
      </c>
      <c r="F936" s="1115" t="n">
        <v>98440</v>
      </c>
      <c r="G936" s="1115" t="n">
        <v>27320</v>
      </c>
      <c r="H936" s="1115" t="s">
        <v>1911</v>
      </c>
      <c r="I936" s="1115" t="n">
        <v>25760</v>
      </c>
      <c r="J936" s="1115" t="s">
        <v>2178</v>
      </c>
    </row>
    <row r="937" customFormat="false" ht="14.1" hidden="false" customHeight="true" outlineLevel="0" collapsed="false">
      <c r="A937" s="1115" t="n">
        <v>25730</v>
      </c>
      <c r="B937" s="1115" t="s">
        <v>160</v>
      </c>
      <c r="C937" s="1115" t="n">
        <v>25730</v>
      </c>
      <c r="D937" s="1115" t="s">
        <v>2128</v>
      </c>
      <c r="E937" s="1115" t="s">
        <v>2185</v>
      </c>
      <c r="F937" s="1115" t="n">
        <v>38670</v>
      </c>
      <c r="G937" s="1115" t="n">
        <v>27330</v>
      </c>
      <c r="H937" s="1115" t="s">
        <v>2186</v>
      </c>
      <c r="I937" s="1115" t="n">
        <v>25770</v>
      </c>
      <c r="J937" s="1115" t="s">
        <v>2178</v>
      </c>
    </row>
    <row r="938" customFormat="false" ht="14.1" hidden="false" customHeight="true" outlineLevel="0" collapsed="false">
      <c r="A938" s="1115" t="n">
        <v>25760</v>
      </c>
      <c r="B938" s="1115" t="s">
        <v>160</v>
      </c>
      <c r="C938" s="1115" t="n">
        <v>25760</v>
      </c>
      <c r="D938" s="1115" t="s">
        <v>2130</v>
      </c>
      <c r="E938" s="1115" t="s">
        <v>2187</v>
      </c>
      <c r="F938" s="1115" t="n">
        <v>41510</v>
      </c>
      <c r="G938" s="1115" t="n">
        <v>27340</v>
      </c>
      <c r="H938" s="1115" t="s">
        <v>2188</v>
      </c>
      <c r="I938" s="1115" t="n">
        <v>25780</v>
      </c>
      <c r="J938" s="1115" t="s">
        <v>2178</v>
      </c>
    </row>
    <row r="939" customFormat="false" ht="14.1" hidden="false" customHeight="true" outlineLevel="0" collapsed="false">
      <c r="A939" s="1115" t="n">
        <v>25770</v>
      </c>
      <c r="B939" s="1115" t="s">
        <v>160</v>
      </c>
      <c r="C939" s="1115" t="n">
        <v>25770</v>
      </c>
      <c r="D939" s="1115" t="s">
        <v>2132</v>
      </c>
      <c r="E939" s="1115" t="s">
        <v>2189</v>
      </c>
      <c r="F939" s="1115" t="n">
        <v>88850</v>
      </c>
      <c r="G939" s="1115" t="n">
        <v>27400</v>
      </c>
      <c r="H939" s="1115" t="s">
        <v>1085</v>
      </c>
      <c r="I939" s="1115" t="n">
        <v>25810</v>
      </c>
      <c r="J939" s="1115" t="s">
        <v>2178</v>
      </c>
    </row>
    <row r="940" customFormat="false" ht="14.1" hidden="false" customHeight="true" outlineLevel="0" collapsed="false">
      <c r="A940" s="1115" t="n">
        <v>25780</v>
      </c>
      <c r="B940" s="1115" t="s">
        <v>160</v>
      </c>
      <c r="C940" s="1115" t="n">
        <v>25780</v>
      </c>
      <c r="D940" s="1115" t="s">
        <v>2134</v>
      </c>
      <c r="E940" s="1115" t="s">
        <v>2190</v>
      </c>
      <c r="F940" s="1115" t="n">
        <v>49750</v>
      </c>
      <c r="G940" s="1115" t="n">
        <v>27420</v>
      </c>
      <c r="H940" s="1115" t="s">
        <v>2191</v>
      </c>
      <c r="I940" s="1115" t="n">
        <v>25820</v>
      </c>
      <c r="J940" s="1115" t="s">
        <v>2178</v>
      </c>
    </row>
    <row r="941" customFormat="false" ht="14.1" hidden="false" customHeight="true" outlineLevel="0" collapsed="false">
      <c r="A941" s="1115" t="n">
        <v>25810</v>
      </c>
      <c r="B941" s="1115" t="s">
        <v>160</v>
      </c>
      <c r="C941" s="1115" t="n">
        <v>25810</v>
      </c>
      <c r="D941" s="1115" t="s">
        <v>2135</v>
      </c>
      <c r="E941" s="1115" t="s">
        <v>2192</v>
      </c>
      <c r="F941" s="1115" t="n">
        <v>74770</v>
      </c>
      <c r="G941" s="1115" t="n">
        <v>27430</v>
      </c>
      <c r="H941" s="1115" t="s">
        <v>2191</v>
      </c>
      <c r="I941" s="1115" t="n">
        <v>25830</v>
      </c>
      <c r="J941" s="1115" t="s">
        <v>2178</v>
      </c>
    </row>
    <row r="942" customFormat="false" ht="14.1" hidden="false" customHeight="true" outlineLevel="0" collapsed="false">
      <c r="A942" s="1115" t="n">
        <v>25820</v>
      </c>
      <c r="B942" s="1115" t="s">
        <v>160</v>
      </c>
      <c r="C942" s="1115" t="n">
        <v>25820</v>
      </c>
      <c r="D942" s="1115" t="s">
        <v>2137</v>
      </c>
      <c r="E942" s="1115" t="s">
        <v>2193</v>
      </c>
      <c r="F942" s="1115" t="n">
        <v>74345</v>
      </c>
      <c r="G942" s="1115" t="n">
        <v>27440</v>
      </c>
      <c r="H942" s="1115" t="s">
        <v>2194</v>
      </c>
      <c r="I942" s="1115" t="n">
        <v>25840</v>
      </c>
      <c r="J942" s="1115" t="s">
        <v>2178</v>
      </c>
    </row>
    <row r="943" customFormat="false" ht="14.1" hidden="false" customHeight="true" outlineLevel="0" collapsed="false">
      <c r="A943" s="1115" t="n">
        <v>25830</v>
      </c>
      <c r="B943" s="1115" t="s">
        <v>160</v>
      </c>
      <c r="C943" s="1115" t="n">
        <v>25830</v>
      </c>
      <c r="D943" s="1115" t="s">
        <v>1631</v>
      </c>
      <c r="E943" s="1115" t="s">
        <v>2195</v>
      </c>
      <c r="F943" s="1115" t="n">
        <v>58810</v>
      </c>
      <c r="G943" s="1115" t="n">
        <v>27450</v>
      </c>
      <c r="H943" s="1115" t="s">
        <v>1430</v>
      </c>
      <c r="I943" s="1115" t="n">
        <v>25850</v>
      </c>
      <c r="J943" s="1115" t="s">
        <v>2178</v>
      </c>
    </row>
    <row r="944" customFormat="false" ht="14.1" hidden="false" customHeight="true" outlineLevel="0" collapsed="false">
      <c r="A944" s="1115" t="n">
        <v>25840</v>
      </c>
      <c r="B944" s="1115" t="s">
        <v>160</v>
      </c>
      <c r="C944" s="1115" t="n">
        <v>25840</v>
      </c>
      <c r="D944" s="1115" t="s">
        <v>2140</v>
      </c>
      <c r="E944" s="1115" t="s">
        <v>2196</v>
      </c>
      <c r="F944" s="1115" t="n">
        <v>99120</v>
      </c>
      <c r="G944" s="1115" t="n">
        <v>27500</v>
      </c>
      <c r="H944" s="1115" t="s">
        <v>2197</v>
      </c>
      <c r="I944" s="1115" t="n">
        <v>25860</v>
      </c>
      <c r="J944" s="1115" t="s">
        <v>2178</v>
      </c>
    </row>
    <row r="945" customFormat="false" ht="14.1" hidden="false" customHeight="true" outlineLevel="0" collapsed="false">
      <c r="A945" s="1115" t="n">
        <v>25850</v>
      </c>
      <c r="B945" s="1115" t="s">
        <v>160</v>
      </c>
      <c r="C945" s="1115" t="n">
        <v>25850</v>
      </c>
      <c r="D945" s="1115" t="s">
        <v>1902</v>
      </c>
      <c r="E945" s="1115" t="s">
        <v>2198</v>
      </c>
      <c r="F945" s="1115" t="n">
        <v>64450</v>
      </c>
      <c r="G945" s="1115" t="n">
        <v>27510</v>
      </c>
      <c r="H945" s="1115" t="s">
        <v>776</v>
      </c>
      <c r="I945" s="1115" t="n">
        <v>25870</v>
      </c>
      <c r="J945" s="1115" t="s">
        <v>2178</v>
      </c>
    </row>
    <row r="946" customFormat="false" ht="14.1" hidden="false" customHeight="true" outlineLevel="0" collapsed="false">
      <c r="A946" s="1115" t="n">
        <v>25860</v>
      </c>
      <c r="B946" s="1115" t="s">
        <v>160</v>
      </c>
      <c r="C946" s="1115" t="n">
        <v>25860</v>
      </c>
      <c r="D946" s="1115" t="s">
        <v>987</v>
      </c>
      <c r="E946" s="1115" t="s">
        <v>2199</v>
      </c>
      <c r="F946" s="1115" t="n">
        <v>98980</v>
      </c>
      <c r="G946" s="1115" t="n">
        <v>27530</v>
      </c>
      <c r="H946" s="1115" t="s">
        <v>2200</v>
      </c>
      <c r="I946" s="1115" t="n">
        <v>25900</v>
      </c>
      <c r="J946" s="1115" t="s">
        <v>2178</v>
      </c>
    </row>
    <row r="947" customFormat="false" ht="14.1" hidden="false" customHeight="true" outlineLevel="0" collapsed="false">
      <c r="A947" s="1115" t="n">
        <v>25870</v>
      </c>
      <c r="B947" s="1115" t="s">
        <v>160</v>
      </c>
      <c r="C947" s="1115" t="n">
        <v>25870</v>
      </c>
      <c r="D947" s="1115" t="s">
        <v>752</v>
      </c>
      <c r="E947" s="1115" t="s">
        <v>2201</v>
      </c>
      <c r="F947" s="1115" t="n">
        <v>43270</v>
      </c>
      <c r="G947" s="1115" t="n">
        <v>27600</v>
      </c>
      <c r="H947" s="1115" t="s">
        <v>1711</v>
      </c>
      <c r="I947" s="1115" t="n">
        <v>25910</v>
      </c>
      <c r="J947" s="1115" t="s">
        <v>2178</v>
      </c>
    </row>
    <row r="948" customFormat="false" ht="14.1" hidden="false" customHeight="true" outlineLevel="0" collapsed="false">
      <c r="A948" s="1115" t="n">
        <v>25900</v>
      </c>
      <c r="B948" s="1115" t="s">
        <v>160</v>
      </c>
      <c r="C948" s="1115" t="n">
        <v>25900</v>
      </c>
      <c r="D948" s="1115" t="s">
        <v>2145</v>
      </c>
      <c r="E948" s="1115" t="s">
        <v>2202</v>
      </c>
      <c r="F948" s="1115" t="n">
        <v>52350</v>
      </c>
      <c r="G948" s="1115" t="n">
        <v>27610</v>
      </c>
      <c r="H948" s="1115" t="s">
        <v>2203</v>
      </c>
      <c r="I948" s="1115" t="n">
        <v>25920</v>
      </c>
      <c r="J948" s="1115" t="s">
        <v>2178</v>
      </c>
    </row>
    <row r="949" customFormat="false" ht="14.1" hidden="false" customHeight="true" outlineLevel="0" collapsed="false">
      <c r="A949" s="1115" t="n">
        <v>25910</v>
      </c>
      <c r="B949" s="1115" t="s">
        <v>160</v>
      </c>
      <c r="C949" s="1115" t="n">
        <v>25910</v>
      </c>
      <c r="D949" s="1115" t="s">
        <v>2147</v>
      </c>
      <c r="E949" s="1115" t="s">
        <v>1654</v>
      </c>
      <c r="F949" s="1115" t="n">
        <v>14330</v>
      </c>
      <c r="G949" s="1115" t="n">
        <v>27640</v>
      </c>
      <c r="H949" s="1115" t="s">
        <v>1764</v>
      </c>
      <c r="I949" s="1115" t="n">
        <v>25930</v>
      </c>
      <c r="J949" s="1115" t="s">
        <v>2178</v>
      </c>
    </row>
    <row r="950" customFormat="false" ht="14.1" hidden="false" customHeight="true" outlineLevel="0" collapsed="false">
      <c r="A950" s="1115" t="n">
        <v>25920</v>
      </c>
      <c r="B950" s="1115" t="s">
        <v>160</v>
      </c>
      <c r="C950" s="1115" t="n">
        <v>25920</v>
      </c>
      <c r="D950" s="1115" t="s">
        <v>994</v>
      </c>
      <c r="E950" s="1115" t="s">
        <v>1914</v>
      </c>
      <c r="F950" s="1115" t="n">
        <v>20620</v>
      </c>
      <c r="G950" s="1115" t="n">
        <v>27650</v>
      </c>
      <c r="H950" s="1115" t="s">
        <v>1764</v>
      </c>
      <c r="I950" s="1115" t="n">
        <v>25940</v>
      </c>
      <c r="J950" s="1115" t="s">
        <v>2178</v>
      </c>
    </row>
    <row r="951" customFormat="false" ht="14.1" hidden="false" customHeight="true" outlineLevel="0" collapsed="false">
      <c r="A951" s="1115" t="n">
        <v>25930</v>
      </c>
      <c r="B951" s="1115" t="s">
        <v>160</v>
      </c>
      <c r="C951" s="1115" t="n">
        <v>25930</v>
      </c>
      <c r="D951" s="1115" t="s">
        <v>2150</v>
      </c>
      <c r="E951" s="1115" t="s">
        <v>2204</v>
      </c>
      <c r="F951" s="1115" t="n">
        <v>51540</v>
      </c>
      <c r="G951" s="1115" t="n">
        <v>27660</v>
      </c>
      <c r="H951" s="1115" t="s">
        <v>2205</v>
      </c>
      <c r="I951" s="1115" t="n">
        <v>25950</v>
      </c>
      <c r="J951" s="1115" t="s">
        <v>2178</v>
      </c>
    </row>
    <row r="952" customFormat="false" ht="14.1" hidden="false" customHeight="true" outlineLevel="0" collapsed="false">
      <c r="A952" s="1115" t="n">
        <v>25940</v>
      </c>
      <c r="B952" s="1115" t="s">
        <v>160</v>
      </c>
      <c r="C952" s="1115" t="n">
        <v>25940</v>
      </c>
      <c r="D952" s="1115" t="s">
        <v>1701</v>
      </c>
      <c r="E952" s="1115" t="s">
        <v>2206</v>
      </c>
      <c r="F952" s="1115" t="n">
        <v>69550</v>
      </c>
      <c r="G952" s="1115" t="n">
        <v>27670</v>
      </c>
      <c r="H952" s="1115" t="s">
        <v>2207</v>
      </c>
      <c r="I952" s="1115" t="n">
        <v>25960</v>
      </c>
      <c r="J952" s="1115" t="s">
        <v>2178</v>
      </c>
    </row>
    <row r="953" customFormat="false" ht="14.1" hidden="false" customHeight="true" outlineLevel="0" collapsed="false">
      <c r="A953" s="1115" t="n">
        <v>25950</v>
      </c>
      <c r="B953" s="1115" t="s">
        <v>160</v>
      </c>
      <c r="C953" s="1115" t="n">
        <v>25950</v>
      </c>
      <c r="D953" s="1115" t="s">
        <v>2153</v>
      </c>
      <c r="E953" s="1115" t="s">
        <v>2208</v>
      </c>
      <c r="F953" s="1115" t="n">
        <v>89120</v>
      </c>
      <c r="G953" s="1115" t="n">
        <v>27710</v>
      </c>
      <c r="H953" s="1115" t="s">
        <v>1146</v>
      </c>
      <c r="I953" s="1115" t="n">
        <v>25970</v>
      </c>
      <c r="J953" s="1115" t="s">
        <v>2178</v>
      </c>
    </row>
    <row r="954" customFormat="false" ht="14.1" hidden="false" customHeight="true" outlineLevel="0" collapsed="false">
      <c r="A954" s="1115" t="n">
        <v>25960</v>
      </c>
      <c r="B954" s="1115" t="s">
        <v>160</v>
      </c>
      <c r="C954" s="1115" t="n">
        <v>25960</v>
      </c>
      <c r="D954" s="1115" t="s">
        <v>1904</v>
      </c>
      <c r="E954" s="1115" t="s">
        <v>2209</v>
      </c>
      <c r="F954" s="1115" t="n">
        <v>43490</v>
      </c>
      <c r="G954" s="1115" t="n">
        <v>27730</v>
      </c>
      <c r="H954" s="1115" t="s">
        <v>2210</v>
      </c>
      <c r="I954" s="1115" t="n">
        <v>26100</v>
      </c>
      <c r="J954" s="1115" t="s">
        <v>1421</v>
      </c>
    </row>
    <row r="955" customFormat="false" ht="14.1" hidden="false" customHeight="true" outlineLevel="0" collapsed="false">
      <c r="A955" s="1115" t="n">
        <v>25970</v>
      </c>
      <c r="B955" s="1115" t="s">
        <v>160</v>
      </c>
      <c r="C955" s="1115" t="n">
        <v>25970</v>
      </c>
      <c r="D955" s="1115" t="s">
        <v>1753</v>
      </c>
      <c r="E955" s="1115" t="s">
        <v>970</v>
      </c>
      <c r="F955" s="1115" t="n">
        <v>36100</v>
      </c>
      <c r="G955" s="1115" t="n">
        <v>27740</v>
      </c>
      <c r="H955" s="1115" t="s">
        <v>2211</v>
      </c>
      <c r="I955" s="1115" t="n">
        <v>26130</v>
      </c>
      <c r="J955" s="1115" t="s">
        <v>1421</v>
      </c>
    </row>
    <row r="956" customFormat="false" ht="14.1" hidden="false" customHeight="true" outlineLevel="0" collapsed="false">
      <c r="A956" s="1115" t="n">
        <v>26100</v>
      </c>
      <c r="B956" s="1115" t="s">
        <v>159</v>
      </c>
      <c r="C956" s="1115" t="n">
        <v>26100</v>
      </c>
      <c r="D956" s="1115" t="s">
        <v>1421</v>
      </c>
      <c r="E956" s="1115" t="s">
        <v>970</v>
      </c>
      <c r="F956" s="1115" t="n">
        <v>36200</v>
      </c>
      <c r="G956" s="1115" t="n">
        <v>27750</v>
      </c>
      <c r="H956" s="1115" t="s">
        <v>2212</v>
      </c>
      <c r="I956" s="1115" t="n">
        <v>26200</v>
      </c>
      <c r="J956" s="1115" t="s">
        <v>1421</v>
      </c>
    </row>
    <row r="957" customFormat="false" ht="14.1" hidden="false" customHeight="true" outlineLevel="0" collapsed="false">
      <c r="A957" s="1115" t="n">
        <v>26130</v>
      </c>
      <c r="B957" s="1115" t="s">
        <v>159</v>
      </c>
      <c r="C957" s="1115" t="n">
        <v>26130</v>
      </c>
      <c r="D957" s="1115" t="s">
        <v>1421</v>
      </c>
      <c r="E957" s="1115" t="s">
        <v>970</v>
      </c>
      <c r="F957" s="1115" t="n">
        <v>36220</v>
      </c>
      <c r="G957" s="1115" t="n">
        <v>27800</v>
      </c>
      <c r="H957" s="1115" t="s">
        <v>1539</v>
      </c>
      <c r="I957" s="1115" t="n">
        <v>26410</v>
      </c>
      <c r="J957" s="1115" t="s">
        <v>1421</v>
      </c>
    </row>
    <row r="958" customFormat="false" ht="14.1" hidden="false" customHeight="true" outlineLevel="0" collapsed="false">
      <c r="A958" s="1115" t="n">
        <v>26200</v>
      </c>
      <c r="B958" s="1115" t="s">
        <v>159</v>
      </c>
      <c r="C958" s="1115" t="n">
        <v>26200</v>
      </c>
      <c r="D958" s="1115" t="s">
        <v>1421</v>
      </c>
      <c r="E958" s="1115" t="s">
        <v>970</v>
      </c>
      <c r="F958" s="1115" t="n">
        <v>36240</v>
      </c>
      <c r="G958" s="1115" t="n">
        <v>27820</v>
      </c>
      <c r="H958" s="1115" t="s">
        <v>1957</v>
      </c>
      <c r="I958" s="1115" t="n">
        <v>26510</v>
      </c>
      <c r="J958" s="1115" t="s">
        <v>1421</v>
      </c>
    </row>
    <row r="959" customFormat="false" ht="14.1" hidden="false" customHeight="true" outlineLevel="0" collapsed="false">
      <c r="A959" s="1115" t="n">
        <v>26410</v>
      </c>
      <c r="B959" s="1115" t="s">
        <v>159</v>
      </c>
      <c r="C959" s="1115" t="n">
        <v>26410</v>
      </c>
      <c r="D959" s="1115" t="s">
        <v>2127</v>
      </c>
      <c r="E959" s="1115" t="s">
        <v>970</v>
      </c>
      <c r="F959" s="1115" t="n">
        <v>36270</v>
      </c>
      <c r="G959" s="1115" t="n">
        <v>27840</v>
      </c>
      <c r="H959" s="1115" t="s">
        <v>2169</v>
      </c>
      <c r="I959" s="1115" t="n">
        <v>26560</v>
      </c>
      <c r="J959" s="1115" t="s">
        <v>1421</v>
      </c>
    </row>
    <row r="960" customFormat="false" ht="14.1" hidden="false" customHeight="true" outlineLevel="0" collapsed="false">
      <c r="A960" s="1115" t="n">
        <v>26510</v>
      </c>
      <c r="B960" s="1115" t="s">
        <v>159</v>
      </c>
      <c r="C960" s="1115" t="n">
        <v>26510</v>
      </c>
      <c r="D960" s="1115" t="s">
        <v>2160</v>
      </c>
      <c r="E960" s="1115" t="s">
        <v>2213</v>
      </c>
      <c r="F960" s="1115" t="n">
        <v>41290</v>
      </c>
      <c r="G960" s="1115" t="n">
        <v>27860</v>
      </c>
      <c r="H960" s="1115" t="s">
        <v>2214</v>
      </c>
      <c r="I960" s="1115" t="n">
        <v>26660</v>
      </c>
      <c r="J960" s="1115" t="s">
        <v>1421</v>
      </c>
    </row>
    <row r="961" customFormat="false" ht="14.1" hidden="false" customHeight="true" outlineLevel="0" collapsed="false">
      <c r="A961" s="1115" t="n">
        <v>26560</v>
      </c>
      <c r="B961" s="1115" t="s">
        <v>159</v>
      </c>
      <c r="C961" s="1115" t="n">
        <v>26560</v>
      </c>
      <c r="D961" s="1115" t="s">
        <v>2161</v>
      </c>
      <c r="E961" s="1115" t="s">
        <v>2215</v>
      </c>
      <c r="F961" s="1115" t="n">
        <v>85930</v>
      </c>
      <c r="G961" s="1115" t="n">
        <v>27910</v>
      </c>
      <c r="H961" s="1115" t="s">
        <v>1816</v>
      </c>
      <c r="I961" s="1115" t="n">
        <v>26720</v>
      </c>
      <c r="J961" s="1115" t="s">
        <v>1421</v>
      </c>
    </row>
    <row r="962" customFormat="false" ht="14.1" hidden="false" customHeight="true" outlineLevel="0" collapsed="false">
      <c r="A962" s="1115" t="n">
        <v>26660</v>
      </c>
      <c r="B962" s="1115" t="s">
        <v>159</v>
      </c>
      <c r="C962" s="1115" t="n">
        <v>26660</v>
      </c>
      <c r="D962" s="1115" t="s">
        <v>1421</v>
      </c>
      <c r="E962" s="1115" t="s">
        <v>2216</v>
      </c>
      <c r="F962" s="1115" t="n">
        <v>73990</v>
      </c>
      <c r="G962" s="1115" t="n">
        <v>27920</v>
      </c>
      <c r="H962" s="1115" t="s">
        <v>2217</v>
      </c>
      <c r="I962" s="1115" t="n">
        <v>26740</v>
      </c>
      <c r="J962" s="1115" t="s">
        <v>1421</v>
      </c>
    </row>
    <row r="963" customFormat="false" ht="14.1" hidden="false" customHeight="true" outlineLevel="0" collapsed="false">
      <c r="A963" s="1115" t="n">
        <v>26720</v>
      </c>
      <c r="B963" s="1115" t="s">
        <v>159</v>
      </c>
      <c r="C963" s="1115" t="n">
        <v>26720</v>
      </c>
      <c r="D963" s="1115" t="s">
        <v>2162</v>
      </c>
      <c r="E963" s="1115" t="s">
        <v>2218</v>
      </c>
      <c r="F963" s="1115" t="n">
        <v>79480</v>
      </c>
      <c r="G963" s="1115" t="n">
        <v>27960</v>
      </c>
      <c r="H963" s="1115" t="s">
        <v>2219</v>
      </c>
      <c r="I963" s="1115" t="n">
        <v>26820</v>
      </c>
      <c r="J963" s="1115" t="s">
        <v>1421</v>
      </c>
    </row>
    <row r="964" customFormat="false" ht="14.1" hidden="false" customHeight="true" outlineLevel="0" collapsed="false">
      <c r="A964" s="1115" t="n">
        <v>26740</v>
      </c>
      <c r="B964" s="1115" t="s">
        <v>159</v>
      </c>
      <c r="C964" s="1115" t="n">
        <v>26740</v>
      </c>
      <c r="D964" s="1115" t="s">
        <v>2163</v>
      </c>
      <c r="E964" s="1115" t="s">
        <v>2220</v>
      </c>
      <c r="F964" s="1115" t="n">
        <v>54830</v>
      </c>
      <c r="G964" s="1115" t="n">
        <v>27970</v>
      </c>
      <c r="H964" s="1115" t="s">
        <v>2221</v>
      </c>
      <c r="I964" s="1115" t="n">
        <v>26840</v>
      </c>
      <c r="J964" s="1115" t="s">
        <v>1421</v>
      </c>
    </row>
    <row r="965" customFormat="false" ht="14.1" hidden="false" customHeight="true" outlineLevel="0" collapsed="false">
      <c r="A965" s="1115" t="n">
        <v>26820</v>
      </c>
      <c r="B965" s="1115" t="s">
        <v>159</v>
      </c>
      <c r="C965" s="1115" t="n">
        <v>26820</v>
      </c>
      <c r="D965" s="1115" t="s">
        <v>1421</v>
      </c>
      <c r="E965" s="1115" t="s">
        <v>974</v>
      </c>
      <c r="F965" s="1115" t="n">
        <v>51200</v>
      </c>
      <c r="G965" s="1115" t="n">
        <v>28007</v>
      </c>
      <c r="H965" s="1115" t="s">
        <v>159</v>
      </c>
      <c r="I965" s="1115" t="n">
        <v>26910</v>
      </c>
      <c r="J965" s="1115" t="s">
        <v>1421</v>
      </c>
    </row>
    <row r="966" customFormat="false" ht="14.1" hidden="false" customHeight="true" outlineLevel="0" collapsed="false">
      <c r="A966" s="1115" t="n">
        <v>26840</v>
      </c>
      <c r="B966" s="1115" t="s">
        <v>159</v>
      </c>
      <c r="C966" s="1115" t="n">
        <v>26840</v>
      </c>
      <c r="D966" s="1115" t="s">
        <v>2164</v>
      </c>
      <c r="E966" s="1115" t="s">
        <v>2222</v>
      </c>
      <c r="F966" s="1115" t="n">
        <v>62370</v>
      </c>
      <c r="G966" s="1115" t="n">
        <v>28100</v>
      </c>
      <c r="H966" s="1115" t="s">
        <v>159</v>
      </c>
      <c r="I966" s="1115" t="n">
        <v>26930</v>
      </c>
      <c r="J966" s="1115" t="s">
        <v>1421</v>
      </c>
    </row>
    <row r="967" customFormat="false" ht="14.1" hidden="false" customHeight="true" outlineLevel="0" collapsed="false">
      <c r="A967" s="1115" t="n">
        <v>26910</v>
      </c>
      <c r="B967" s="1115" t="s">
        <v>159</v>
      </c>
      <c r="C967" s="1115" t="n">
        <v>26910</v>
      </c>
      <c r="D967" s="1115" t="s">
        <v>2165</v>
      </c>
      <c r="E967" s="1115" t="s">
        <v>2223</v>
      </c>
      <c r="F967" s="1115" t="n">
        <v>99360</v>
      </c>
      <c r="G967" s="1115" t="n">
        <v>28130</v>
      </c>
      <c r="H967" s="1115" t="s">
        <v>159</v>
      </c>
      <c r="I967" s="1115" t="n">
        <v>26950</v>
      </c>
      <c r="J967" s="1115" t="s">
        <v>1421</v>
      </c>
    </row>
    <row r="968" customFormat="false" ht="14.1" hidden="false" customHeight="true" outlineLevel="0" collapsed="false">
      <c r="A968" s="1115" t="n">
        <v>26930</v>
      </c>
      <c r="B968" s="1115" t="s">
        <v>159</v>
      </c>
      <c r="C968" s="1115" t="n">
        <v>26930</v>
      </c>
      <c r="D968" s="1115" t="s">
        <v>2166</v>
      </c>
      <c r="E968" s="1115" t="s">
        <v>2095</v>
      </c>
      <c r="F968" s="1115" t="n">
        <v>25220</v>
      </c>
      <c r="G968" s="1115" t="n">
        <v>28200</v>
      </c>
      <c r="H968" s="1115" t="s">
        <v>159</v>
      </c>
      <c r="I968" s="1115" t="n">
        <v>27100</v>
      </c>
      <c r="J968" s="1115" t="s">
        <v>780</v>
      </c>
    </row>
    <row r="969" customFormat="false" ht="14.1" hidden="false" customHeight="true" outlineLevel="0" collapsed="false">
      <c r="A969" s="1115" t="n">
        <v>26950</v>
      </c>
      <c r="B969" s="1115" t="s">
        <v>159</v>
      </c>
      <c r="C969" s="1115" t="n">
        <v>26950</v>
      </c>
      <c r="D969" s="1115" t="s">
        <v>2168</v>
      </c>
      <c r="E969" s="1115" t="s">
        <v>977</v>
      </c>
      <c r="F969" s="1115" t="n">
        <v>38700</v>
      </c>
      <c r="G969" s="1115" t="n">
        <v>28220</v>
      </c>
      <c r="H969" s="1115" t="s">
        <v>159</v>
      </c>
      <c r="I969" s="1115" t="n">
        <v>27110</v>
      </c>
      <c r="J969" s="1115" t="s">
        <v>780</v>
      </c>
    </row>
    <row r="970" customFormat="false" ht="14.1" hidden="false" customHeight="true" outlineLevel="0" collapsed="false">
      <c r="A970" s="1115" t="n">
        <v>27100</v>
      </c>
      <c r="B970" s="1115" t="s">
        <v>159</v>
      </c>
      <c r="C970" s="1115" t="n">
        <v>27100</v>
      </c>
      <c r="D970" s="1115" t="s">
        <v>780</v>
      </c>
      <c r="E970" s="1115" t="s">
        <v>977</v>
      </c>
      <c r="F970" s="1115" t="n">
        <v>38710</v>
      </c>
      <c r="G970" s="1115" t="n">
        <v>28230</v>
      </c>
      <c r="H970" s="1115" t="s">
        <v>159</v>
      </c>
      <c r="I970" s="1115" t="n">
        <v>27130</v>
      </c>
      <c r="J970" s="1115" t="s">
        <v>780</v>
      </c>
    </row>
    <row r="971" customFormat="false" ht="14.1" hidden="false" customHeight="true" outlineLevel="0" collapsed="false">
      <c r="A971" s="1115" t="n">
        <v>27110</v>
      </c>
      <c r="B971" s="1115" t="s">
        <v>159</v>
      </c>
      <c r="C971" s="1115" t="n">
        <v>27110</v>
      </c>
      <c r="D971" s="1115" t="s">
        <v>1949</v>
      </c>
      <c r="E971" s="1115" t="s">
        <v>2221</v>
      </c>
      <c r="F971" s="1115" t="n">
        <v>27970</v>
      </c>
      <c r="G971" s="1115" t="n">
        <v>28240</v>
      </c>
      <c r="H971" s="1115" t="s">
        <v>159</v>
      </c>
      <c r="I971" s="1115" t="n">
        <v>27150</v>
      </c>
      <c r="J971" s="1115" t="s">
        <v>780</v>
      </c>
    </row>
    <row r="972" customFormat="false" ht="14.1" hidden="false" customHeight="true" outlineLevel="0" collapsed="false">
      <c r="A972" s="1115" t="n">
        <v>27130</v>
      </c>
      <c r="B972" s="1115" t="s">
        <v>159</v>
      </c>
      <c r="C972" s="1115" t="n">
        <v>27130</v>
      </c>
      <c r="D972" s="1115" t="s">
        <v>780</v>
      </c>
      <c r="E972" s="1115" t="s">
        <v>2224</v>
      </c>
      <c r="F972" s="1115" t="n">
        <v>41410</v>
      </c>
      <c r="G972" s="1115" t="n">
        <v>28260</v>
      </c>
      <c r="H972" s="1115" t="s">
        <v>1420</v>
      </c>
      <c r="I972" s="1115" t="n">
        <v>27160</v>
      </c>
      <c r="J972" s="1115" t="s">
        <v>780</v>
      </c>
    </row>
    <row r="973" customFormat="false" ht="14.1" hidden="false" customHeight="true" outlineLevel="0" collapsed="false">
      <c r="A973" s="1115" t="n">
        <v>27150</v>
      </c>
      <c r="B973" s="1115" t="s">
        <v>159</v>
      </c>
      <c r="C973" s="1115" t="n">
        <v>27150</v>
      </c>
      <c r="D973" s="1115" t="s">
        <v>2172</v>
      </c>
      <c r="E973" s="1115" t="s">
        <v>2225</v>
      </c>
      <c r="F973" s="1115" t="n">
        <v>91730</v>
      </c>
      <c r="G973" s="1115" t="n">
        <v>28290</v>
      </c>
      <c r="H973" s="1115" t="s">
        <v>159</v>
      </c>
      <c r="I973" s="1115" t="n">
        <v>27170</v>
      </c>
      <c r="J973" s="1115" t="s">
        <v>780</v>
      </c>
    </row>
    <row r="974" customFormat="false" ht="14.1" hidden="false" customHeight="true" outlineLevel="0" collapsed="false">
      <c r="A974" s="1115" t="n">
        <v>27160</v>
      </c>
      <c r="B974" s="1115" t="s">
        <v>159</v>
      </c>
      <c r="C974" s="1115" t="n">
        <v>27160</v>
      </c>
      <c r="D974" s="1115" t="s">
        <v>2174</v>
      </c>
      <c r="E974" s="1115" t="s">
        <v>1435</v>
      </c>
      <c r="F974" s="1115" t="n">
        <v>7690</v>
      </c>
      <c r="G974" s="1115" t="n">
        <v>28300</v>
      </c>
      <c r="H974" s="1115" t="s">
        <v>159</v>
      </c>
      <c r="I974" s="1115" t="n">
        <v>27210</v>
      </c>
      <c r="J974" s="1115" t="s">
        <v>780</v>
      </c>
    </row>
    <row r="975" customFormat="false" ht="14.1" hidden="false" customHeight="true" outlineLevel="0" collapsed="false">
      <c r="A975" s="1115" t="n">
        <v>27170</v>
      </c>
      <c r="B975" s="1115" t="s">
        <v>159</v>
      </c>
      <c r="C975" s="1115" t="n">
        <v>27170</v>
      </c>
      <c r="D975" s="1115" t="s">
        <v>2176</v>
      </c>
      <c r="E975" s="1115" t="s">
        <v>2226</v>
      </c>
      <c r="F975" s="1115" t="n">
        <v>88650</v>
      </c>
      <c r="G975" s="1115" t="n">
        <v>28330</v>
      </c>
      <c r="H975" s="1115" t="s">
        <v>159</v>
      </c>
      <c r="I975" s="1115" t="n">
        <v>27220</v>
      </c>
      <c r="J975" s="1115" t="s">
        <v>780</v>
      </c>
    </row>
    <row r="976" customFormat="false" ht="14.1" hidden="false" customHeight="true" outlineLevel="0" collapsed="false">
      <c r="A976" s="1115" t="n">
        <v>27210</v>
      </c>
      <c r="B976" s="1115" t="s">
        <v>159</v>
      </c>
      <c r="C976" s="1115" t="n">
        <v>27210</v>
      </c>
      <c r="D976" s="1115" t="s">
        <v>2177</v>
      </c>
      <c r="E976" s="1115" t="s">
        <v>2227</v>
      </c>
      <c r="F976" s="1115" t="n">
        <v>43340</v>
      </c>
      <c r="G976" s="1115" t="n">
        <v>28360</v>
      </c>
      <c r="H976" s="1115" t="s">
        <v>159</v>
      </c>
      <c r="I976" s="1115" t="n">
        <v>27230</v>
      </c>
      <c r="J976" s="1115" t="s">
        <v>780</v>
      </c>
    </row>
    <row r="977" customFormat="false" ht="14.1" hidden="false" customHeight="true" outlineLevel="0" collapsed="false">
      <c r="A977" s="1115" t="n">
        <v>27220</v>
      </c>
      <c r="B977" s="1115" t="s">
        <v>159</v>
      </c>
      <c r="C977" s="1115" t="n">
        <v>27220</v>
      </c>
      <c r="D977" s="1115" t="s">
        <v>837</v>
      </c>
      <c r="E977" s="1115" t="s">
        <v>981</v>
      </c>
      <c r="F977" s="1115" t="n">
        <v>43300</v>
      </c>
      <c r="G977" s="1115" t="n">
        <v>28400</v>
      </c>
      <c r="H977" s="1115" t="s">
        <v>1579</v>
      </c>
      <c r="I977" s="1115" t="n">
        <v>27240</v>
      </c>
      <c r="J977" s="1115" t="s">
        <v>780</v>
      </c>
    </row>
    <row r="978" customFormat="false" ht="14.1" hidden="false" customHeight="true" outlineLevel="0" collapsed="false">
      <c r="A978" s="1115" t="n">
        <v>27230</v>
      </c>
      <c r="B978" s="1115" t="s">
        <v>159</v>
      </c>
      <c r="C978" s="1115" t="n">
        <v>27230</v>
      </c>
      <c r="D978" s="1115" t="s">
        <v>1153</v>
      </c>
      <c r="E978" s="1115" t="s">
        <v>2228</v>
      </c>
      <c r="F978" s="1115" t="n">
        <v>43320</v>
      </c>
      <c r="G978" s="1115" t="n">
        <v>28430</v>
      </c>
      <c r="H978" s="1115" t="s">
        <v>159</v>
      </c>
      <c r="I978" s="1115" t="n">
        <v>27250</v>
      </c>
      <c r="J978" s="1115" t="s">
        <v>780</v>
      </c>
    </row>
    <row r="979" customFormat="false" ht="14.1" hidden="false" customHeight="true" outlineLevel="0" collapsed="false">
      <c r="A979" s="1115" t="n">
        <v>27240</v>
      </c>
      <c r="B979" s="1115" t="s">
        <v>159</v>
      </c>
      <c r="C979" s="1115" t="n">
        <v>27240</v>
      </c>
      <c r="D979" s="1115" t="s">
        <v>2181</v>
      </c>
      <c r="E979" s="1115" t="s">
        <v>985</v>
      </c>
      <c r="F979" s="1115" t="n">
        <v>69100</v>
      </c>
      <c r="G979" s="1115" t="n">
        <v>28450</v>
      </c>
      <c r="H979" s="1115" t="s">
        <v>2229</v>
      </c>
      <c r="I979" s="1115" t="n">
        <v>27260</v>
      </c>
      <c r="J979" s="1115" t="s">
        <v>780</v>
      </c>
    </row>
    <row r="980" customFormat="false" ht="14.1" hidden="false" customHeight="true" outlineLevel="0" collapsed="false">
      <c r="A980" s="1115" t="n">
        <v>27250</v>
      </c>
      <c r="B980" s="1115" t="s">
        <v>159</v>
      </c>
      <c r="C980" s="1115" t="n">
        <v>27250</v>
      </c>
      <c r="D980" s="1115" t="s">
        <v>2182</v>
      </c>
      <c r="E980" s="1115" t="s">
        <v>2230</v>
      </c>
      <c r="F980" s="1115" t="n">
        <v>49570</v>
      </c>
      <c r="G980" s="1115" t="n">
        <v>28500</v>
      </c>
      <c r="H980" s="1115" t="s">
        <v>159</v>
      </c>
      <c r="I980" s="1115" t="n">
        <v>27310</v>
      </c>
      <c r="J980" s="1115" t="s">
        <v>780</v>
      </c>
    </row>
    <row r="981" customFormat="false" ht="14.1" hidden="false" customHeight="true" outlineLevel="0" collapsed="false">
      <c r="A981" s="1115" t="n">
        <v>27260</v>
      </c>
      <c r="B981" s="1115" t="s">
        <v>159</v>
      </c>
      <c r="C981" s="1115" t="n">
        <v>27260</v>
      </c>
      <c r="D981" s="1115" t="s">
        <v>2183</v>
      </c>
      <c r="E981" s="1115" t="s">
        <v>2231</v>
      </c>
      <c r="F981" s="1115" t="n">
        <v>46530</v>
      </c>
      <c r="G981" s="1115" t="n">
        <v>28560</v>
      </c>
      <c r="H981" s="1115" t="s">
        <v>159</v>
      </c>
      <c r="I981" s="1115" t="n">
        <v>27320</v>
      </c>
      <c r="J981" s="1115" t="s">
        <v>780</v>
      </c>
    </row>
    <row r="982" customFormat="false" ht="14.1" hidden="false" customHeight="true" outlineLevel="0" collapsed="false">
      <c r="A982" s="1115" t="n">
        <v>27310</v>
      </c>
      <c r="B982" s="1115" t="s">
        <v>159</v>
      </c>
      <c r="C982" s="1115" t="n">
        <v>27310</v>
      </c>
      <c r="D982" s="1115" t="s">
        <v>1090</v>
      </c>
      <c r="E982" s="1115" t="s">
        <v>2232</v>
      </c>
      <c r="F982" s="1115" t="n">
        <v>77380</v>
      </c>
      <c r="G982" s="1115" t="n">
        <v>28580</v>
      </c>
      <c r="H982" s="1115" t="s">
        <v>159</v>
      </c>
      <c r="I982" s="1115" t="n">
        <v>27330</v>
      </c>
      <c r="J982" s="1115" t="s">
        <v>780</v>
      </c>
    </row>
    <row r="983" customFormat="false" ht="14.1" hidden="false" customHeight="true" outlineLevel="0" collapsed="false">
      <c r="A983" s="1115" t="n">
        <v>27320</v>
      </c>
      <c r="B983" s="1115" t="s">
        <v>159</v>
      </c>
      <c r="C983" s="1115" t="n">
        <v>27320</v>
      </c>
      <c r="D983" s="1115" t="s">
        <v>1911</v>
      </c>
      <c r="E983" s="1115" t="s">
        <v>2233</v>
      </c>
      <c r="F983" s="1115" t="n">
        <v>31970</v>
      </c>
      <c r="G983" s="1115" t="n">
        <v>28600</v>
      </c>
      <c r="H983" s="1115" t="s">
        <v>159</v>
      </c>
      <c r="I983" s="1115" t="n">
        <v>27340</v>
      </c>
      <c r="J983" s="1115" t="s">
        <v>780</v>
      </c>
    </row>
    <row r="984" customFormat="false" ht="14.1" hidden="false" customHeight="true" outlineLevel="0" collapsed="false">
      <c r="A984" s="1115" t="n">
        <v>27330</v>
      </c>
      <c r="B984" s="1115" t="s">
        <v>159</v>
      </c>
      <c r="C984" s="1115" t="n">
        <v>27330</v>
      </c>
      <c r="D984" s="1115" t="s">
        <v>2186</v>
      </c>
      <c r="E984" s="1115" t="s">
        <v>1416</v>
      </c>
      <c r="F984" s="1115" t="n">
        <v>7565</v>
      </c>
      <c r="G984" s="1115" t="n">
        <v>28610</v>
      </c>
      <c r="H984" s="1115" t="s">
        <v>159</v>
      </c>
      <c r="I984" s="1115" t="n">
        <v>27400</v>
      </c>
      <c r="J984" s="1115" t="s">
        <v>776</v>
      </c>
    </row>
    <row r="985" customFormat="false" ht="14.1" hidden="false" customHeight="true" outlineLevel="0" collapsed="false">
      <c r="A985" s="1115" t="n">
        <v>27340</v>
      </c>
      <c r="B985" s="1115" t="s">
        <v>159</v>
      </c>
      <c r="C985" s="1115" t="n">
        <v>27340</v>
      </c>
      <c r="D985" s="1115" t="s">
        <v>2188</v>
      </c>
      <c r="E985" s="1115" t="s">
        <v>2234</v>
      </c>
      <c r="F985" s="1115" t="n">
        <v>93710</v>
      </c>
      <c r="G985" s="1115" t="n">
        <v>28640</v>
      </c>
      <c r="H985" s="1115" t="s">
        <v>159</v>
      </c>
      <c r="I985" s="1115" t="n">
        <v>27420</v>
      </c>
      <c r="J985" s="1115" t="s">
        <v>776</v>
      </c>
    </row>
    <row r="986" customFormat="false" ht="14.1" hidden="false" customHeight="true" outlineLevel="0" collapsed="false">
      <c r="A986" s="1115" t="n">
        <v>27400</v>
      </c>
      <c r="B986" s="1115" t="s">
        <v>159</v>
      </c>
      <c r="C986" s="1115" t="n">
        <v>27400</v>
      </c>
      <c r="D986" s="1115" t="s">
        <v>1085</v>
      </c>
      <c r="E986" s="1115" t="s">
        <v>2235</v>
      </c>
      <c r="F986" s="1115" t="n">
        <v>95660</v>
      </c>
      <c r="G986" s="1115" t="n">
        <v>28660</v>
      </c>
      <c r="H986" s="1115" t="s">
        <v>159</v>
      </c>
      <c r="I986" s="1115" t="n">
        <v>27430</v>
      </c>
      <c r="J986" s="1115" t="s">
        <v>776</v>
      </c>
    </row>
    <row r="987" customFormat="false" ht="14.1" hidden="false" customHeight="true" outlineLevel="0" collapsed="false">
      <c r="A987" s="1115" t="n">
        <v>27420</v>
      </c>
      <c r="B987" s="1115" t="s">
        <v>159</v>
      </c>
      <c r="C987" s="1115" t="n">
        <v>27420</v>
      </c>
      <c r="D987" s="1115" t="s">
        <v>2191</v>
      </c>
      <c r="E987" s="1115" t="s">
        <v>2236</v>
      </c>
      <c r="F987" s="1115" t="n">
        <v>39940</v>
      </c>
      <c r="G987" s="1115" t="n">
        <v>28680</v>
      </c>
      <c r="H987" s="1115" t="s">
        <v>159</v>
      </c>
      <c r="I987" s="1115" t="n">
        <v>27440</v>
      </c>
      <c r="J987" s="1115" t="s">
        <v>776</v>
      </c>
    </row>
    <row r="988" customFormat="false" ht="14.1" hidden="false" customHeight="true" outlineLevel="0" collapsed="false">
      <c r="A988" s="1115" t="n">
        <v>27430</v>
      </c>
      <c r="B988" s="1115" t="s">
        <v>159</v>
      </c>
      <c r="C988" s="1115" t="n">
        <v>27430</v>
      </c>
      <c r="D988" s="1115" t="s">
        <v>2191</v>
      </c>
      <c r="E988" s="1115" t="s">
        <v>1127</v>
      </c>
      <c r="F988" s="1115" t="n">
        <v>2460</v>
      </c>
      <c r="G988" s="1115" t="n">
        <v>28760</v>
      </c>
      <c r="H988" s="1115" t="s">
        <v>159</v>
      </c>
      <c r="I988" s="1115" t="n">
        <v>27450</v>
      </c>
      <c r="J988" s="1115" t="s">
        <v>776</v>
      </c>
    </row>
    <row r="989" customFormat="false" ht="14.1" hidden="false" customHeight="true" outlineLevel="0" collapsed="false">
      <c r="A989" s="1115" t="n">
        <v>27440</v>
      </c>
      <c r="B989" s="1115" t="s">
        <v>159</v>
      </c>
      <c r="C989" s="1115" t="n">
        <v>27440</v>
      </c>
      <c r="D989" s="1115" t="s">
        <v>2194</v>
      </c>
      <c r="E989" s="1115" t="s">
        <v>2100</v>
      </c>
      <c r="F989" s="1115" t="n">
        <v>25340</v>
      </c>
      <c r="G989" s="1115" t="n">
        <v>28780</v>
      </c>
      <c r="H989" s="1115" t="s">
        <v>159</v>
      </c>
      <c r="I989" s="1115" t="n">
        <v>27500</v>
      </c>
      <c r="J989" s="1115" t="s">
        <v>776</v>
      </c>
    </row>
    <row r="990" customFormat="false" ht="14.1" hidden="false" customHeight="true" outlineLevel="0" collapsed="false">
      <c r="A990" s="1115" t="n">
        <v>27450</v>
      </c>
      <c r="B990" s="1115" t="s">
        <v>159</v>
      </c>
      <c r="C990" s="1115" t="n">
        <v>27450</v>
      </c>
      <c r="D990" s="1115" t="s">
        <v>1430</v>
      </c>
      <c r="E990" s="1115" t="s">
        <v>2237</v>
      </c>
      <c r="F990" s="1115" t="n">
        <v>95695</v>
      </c>
      <c r="G990" s="1115" t="n">
        <v>28840</v>
      </c>
      <c r="H990" s="1115" t="s">
        <v>159</v>
      </c>
      <c r="I990" s="1115" t="n">
        <v>27510</v>
      </c>
      <c r="J990" s="1115" t="s">
        <v>776</v>
      </c>
    </row>
    <row r="991" customFormat="false" ht="14.1" hidden="false" customHeight="true" outlineLevel="0" collapsed="false">
      <c r="A991" s="1115" t="n">
        <v>27500</v>
      </c>
      <c r="B991" s="1115" t="s">
        <v>159</v>
      </c>
      <c r="C991" s="1115" t="n">
        <v>27500</v>
      </c>
      <c r="D991" s="1115" t="s">
        <v>2197</v>
      </c>
      <c r="E991" s="1115" t="s">
        <v>2238</v>
      </c>
      <c r="F991" s="1115" t="n">
        <v>52720</v>
      </c>
      <c r="G991" s="1115" t="n">
        <v>28850</v>
      </c>
      <c r="H991" s="1115" t="s">
        <v>2239</v>
      </c>
      <c r="I991" s="1115" t="n">
        <v>27530</v>
      </c>
      <c r="J991" s="1115" t="s">
        <v>776</v>
      </c>
    </row>
    <row r="992" customFormat="false" ht="14.1" hidden="false" customHeight="true" outlineLevel="0" collapsed="false">
      <c r="A992" s="1115" t="n">
        <v>27510</v>
      </c>
      <c r="B992" s="1115" t="s">
        <v>159</v>
      </c>
      <c r="C992" s="1115" t="n">
        <v>27510</v>
      </c>
      <c r="D992" s="1115" t="s">
        <v>776</v>
      </c>
      <c r="E992" s="1115" t="s">
        <v>2240</v>
      </c>
      <c r="F992" s="1115" t="n">
        <v>99470</v>
      </c>
      <c r="G992" s="1115" t="n">
        <v>28880</v>
      </c>
      <c r="H992" s="1115" t="s">
        <v>159</v>
      </c>
      <c r="I992" s="1115" t="n">
        <v>27600</v>
      </c>
      <c r="J992" s="1115" t="s">
        <v>776</v>
      </c>
    </row>
    <row r="993" customFormat="false" ht="14.1" hidden="false" customHeight="true" outlineLevel="0" collapsed="false">
      <c r="A993" s="1115" t="n">
        <v>27530</v>
      </c>
      <c r="B993" s="1115" t="s">
        <v>159</v>
      </c>
      <c r="C993" s="1115" t="n">
        <v>27530</v>
      </c>
      <c r="D993" s="1115" t="s">
        <v>2200</v>
      </c>
      <c r="E993" s="1115" t="s">
        <v>2241</v>
      </c>
      <c r="F993" s="1115" t="n">
        <v>39340</v>
      </c>
      <c r="G993" s="1115" t="n">
        <v>28900</v>
      </c>
      <c r="H993" s="1115" t="s">
        <v>159</v>
      </c>
      <c r="I993" s="1115" t="n">
        <v>27610</v>
      </c>
      <c r="J993" s="1115" t="s">
        <v>776</v>
      </c>
    </row>
    <row r="994" customFormat="false" ht="14.1" hidden="false" customHeight="true" outlineLevel="0" collapsed="false">
      <c r="A994" s="1115" t="n">
        <v>27600</v>
      </c>
      <c r="B994" s="1115" t="s">
        <v>159</v>
      </c>
      <c r="C994" s="1115" t="n">
        <v>27600</v>
      </c>
      <c r="D994" s="1115" t="s">
        <v>1711</v>
      </c>
      <c r="E994" s="1115" t="s">
        <v>2242</v>
      </c>
      <c r="F994" s="1115" t="n">
        <v>68220</v>
      </c>
      <c r="G994" s="1115" t="n">
        <v>29100</v>
      </c>
      <c r="H994" s="1115" t="s">
        <v>1204</v>
      </c>
      <c r="I994" s="1115" t="n">
        <v>27640</v>
      </c>
      <c r="J994" s="1115" t="s">
        <v>776</v>
      </c>
    </row>
    <row r="995" customFormat="false" ht="14.1" hidden="false" customHeight="true" outlineLevel="0" collapsed="false">
      <c r="A995" s="1115" t="n">
        <v>27610</v>
      </c>
      <c r="B995" s="1115" t="s">
        <v>159</v>
      </c>
      <c r="C995" s="1115" t="n">
        <v>27610</v>
      </c>
      <c r="D995" s="1115" t="s">
        <v>2203</v>
      </c>
      <c r="E995" s="1115" t="s">
        <v>2243</v>
      </c>
      <c r="F995" s="1115" t="n">
        <v>86480</v>
      </c>
      <c r="G995" s="1115" t="n">
        <v>29120</v>
      </c>
      <c r="H995" s="1115" t="s">
        <v>2244</v>
      </c>
      <c r="I995" s="1115" t="n">
        <v>27650</v>
      </c>
      <c r="J995" s="1115" t="s">
        <v>776</v>
      </c>
    </row>
    <row r="996" customFormat="false" ht="14.1" hidden="false" customHeight="true" outlineLevel="0" collapsed="false">
      <c r="A996" s="1115" t="n">
        <v>27640</v>
      </c>
      <c r="B996" s="1115" t="s">
        <v>159</v>
      </c>
      <c r="C996" s="1115" t="n">
        <v>27640</v>
      </c>
      <c r="D996" s="1115" t="s">
        <v>1764</v>
      </c>
      <c r="E996" s="1115" t="s">
        <v>2245</v>
      </c>
      <c r="F996" s="1115" t="n">
        <v>62160</v>
      </c>
      <c r="G996" s="1115" t="n">
        <v>29180</v>
      </c>
      <c r="H996" s="1115" t="s">
        <v>2246</v>
      </c>
      <c r="I996" s="1115" t="n">
        <v>27660</v>
      </c>
      <c r="J996" s="1115" t="s">
        <v>776</v>
      </c>
    </row>
    <row r="997" customFormat="false" ht="14.1" hidden="false" customHeight="true" outlineLevel="0" collapsed="false">
      <c r="A997" s="1115" t="n">
        <v>27650</v>
      </c>
      <c r="B997" s="1115" t="s">
        <v>159</v>
      </c>
      <c r="C997" s="1115" t="n">
        <v>27650</v>
      </c>
      <c r="D997" s="1115" t="s">
        <v>1764</v>
      </c>
      <c r="E997" s="1115" t="s">
        <v>2247</v>
      </c>
      <c r="F997" s="1115" t="n">
        <v>75710</v>
      </c>
      <c r="G997" s="1115" t="n">
        <v>29200</v>
      </c>
      <c r="H997" s="1115" t="s">
        <v>826</v>
      </c>
      <c r="I997" s="1115" t="n">
        <v>27670</v>
      </c>
      <c r="J997" s="1115" t="s">
        <v>776</v>
      </c>
    </row>
    <row r="998" customFormat="false" ht="14.1" hidden="false" customHeight="true" outlineLevel="0" collapsed="false">
      <c r="A998" s="1115" t="n">
        <v>27660</v>
      </c>
      <c r="B998" s="1115" t="s">
        <v>159</v>
      </c>
      <c r="C998" s="1115" t="n">
        <v>27660</v>
      </c>
      <c r="D998" s="1115" t="s">
        <v>2205</v>
      </c>
      <c r="E998" s="1115" t="s">
        <v>2181</v>
      </c>
      <c r="F998" s="1115" t="n">
        <v>27240</v>
      </c>
      <c r="G998" s="1115" t="n">
        <v>29210</v>
      </c>
      <c r="H998" s="1115" t="s">
        <v>2248</v>
      </c>
      <c r="I998" s="1115" t="n">
        <v>27710</v>
      </c>
      <c r="J998" s="1115" t="s">
        <v>1146</v>
      </c>
    </row>
    <row r="999" customFormat="false" ht="14.1" hidden="false" customHeight="true" outlineLevel="0" collapsed="false">
      <c r="A999" s="1115" t="n">
        <v>27670</v>
      </c>
      <c r="B999" s="1115" t="s">
        <v>159</v>
      </c>
      <c r="C999" s="1115" t="n">
        <v>27670</v>
      </c>
      <c r="D999" s="1115" t="s">
        <v>2207</v>
      </c>
      <c r="E999" s="1115" t="s">
        <v>2249</v>
      </c>
      <c r="F999" s="1115" t="n">
        <v>89560</v>
      </c>
      <c r="G999" s="1115" t="n">
        <v>29220</v>
      </c>
      <c r="H999" s="1115" t="s">
        <v>2250</v>
      </c>
      <c r="I999" s="1115" t="n">
        <v>27730</v>
      </c>
      <c r="J999" s="1115" t="s">
        <v>1146</v>
      </c>
    </row>
    <row r="1000" customFormat="false" ht="14.1" hidden="false" customHeight="true" outlineLevel="0" collapsed="false">
      <c r="A1000" s="1115" t="n">
        <v>27710</v>
      </c>
      <c r="B1000" s="1115" t="s">
        <v>159</v>
      </c>
      <c r="C1000" s="1115" t="n">
        <v>27710</v>
      </c>
      <c r="D1000" s="1115" t="s">
        <v>1146</v>
      </c>
      <c r="E1000" s="1115" t="s">
        <v>2251</v>
      </c>
      <c r="F1000" s="1115" t="n">
        <v>99950</v>
      </c>
      <c r="G1000" s="1115" t="n">
        <v>29230</v>
      </c>
      <c r="H1000" s="1115" t="s">
        <v>2252</v>
      </c>
      <c r="I1000" s="1115" t="n">
        <v>27740</v>
      </c>
      <c r="J1000" s="1115" t="s">
        <v>1146</v>
      </c>
    </row>
    <row r="1001" customFormat="false" ht="14.1" hidden="false" customHeight="true" outlineLevel="0" collapsed="false">
      <c r="A1001" s="1115" t="n">
        <v>27730</v>
      </c>
      <c r="B1001" s="1115" t="s">
        <v>159</v>
      </c>
      <c r="C1001" s="1115" t="n">
        <v>27730</v>
      </c>
      <c r="D1001" s="1115" t="s">
        <v>2210</v>
      </c>
      <c r="E1001" s="1115" t="s">
        <v>988</v>
      </c>
      <c r="F1001" s="1115" t="n">
        <v>64350</v>
      </c>
      <c r="G1001" s="1115" t="n">
        <v>29250</v>
      </c>
      <c r="H1001" s="1115" t="s">
        <v>1258</v>
      </c>
      <c r="I1001" s="1115" t="n">
        <v>27750</v>
      </c>
      <c r="J1001" s="1115" t="s">
        <v>1146</v>
      </c>
    </row>
    <row r="1002" customFormat="false" ht="14.1" hidden="false" customHeight="true" outlineLevel="0" collapsed="false">
      <c r="A1002" s="1115" t="n">
        <v>27740</v>
      </c>
      <c r="B1002" s="1115" t="s">
        <v>159</v>
      </c>
      <c r="C1002" s="1115" t="n">
        <v>27740</v>
      </c>
      <c r="D1002" s="1115" t="s">
        <v>2211</v>
      </c>
      <c r="E1002" s="1115" t="s">
        <v>1856</v>
      </c>
      <c r="F1002" s="1115" t="n">
        <v>19310</v>
      </c>
      <c r="G1002" s="1115" t="n">
        <v>29270</v>
      </c>
      <c r="H1002" s="1115" t="s">
        <v>1770</v>
      </c>
      <c r="I1002" s="1115" t="n">
        <v>27800</v>
      </c>
      <c r="J1002" s="1115" t="s">
        <v>1146</v>
      </c>
    </row>
    <row r="1003" customFormat="false" ht="14.1" hidden="false" customHeight="true" outlineLevel="0" collapsed="false">
      <c r="A1003" s="1115" t="n">
        <v>27750</v>
      </c>
      <c r="B1003" s="1115" t="s">
        <v>159</v>
      </c>
      <c r="C1003" s="1115" t="n">
        <v>27750</v>
      </c>
      <c r="D1003" s="1115" t="s">
        <v>2212</v>
      </c>
      <c r="E1003" s="1115" t="s">
        <v>2003</v>
      </c>
      <c r="F1003" s="1115" t="n">
        <v>21840</v>
      </c>
      <c r="G1003" s="1115" t="n">
        <v>29280</v>
      </c>
      <c r="H1003" s="1115" t="s">
        <v>2114</v>
      </c>
      <c r="I1003" s="1115" t="n">
        <v>27820</v>
      </c>
      <c r="J1003" s="1115" t="s">
        <v>1146</v>
      </c>
    </row>
    <row r="1004" customFormat="false" ht="14.1" hidden="false" customHeight="true" outlineLevel="0" collapsed="false">
      <c r="A1004" s="1115" t="n">
        <v>27800</v>
      </c>
      <c r="B1004" s="1115" t="s">
        <v>159</v>
      </c>
      <c r="C1004" s="1115" t="n">
        <v>27800</v>
      </c>
      <c r="D1004" s="1115" t="s">
        <v>1539</v>
      </c>
      <c r="E1004" s="1115" t="s">
        <v>2253</v>
      </c>
      <c r="F1004" s="1115" t="n">
        <v>92330</v>
      </c>
      <c r="G1004" s="1115" t="n">
        <v>29310</v>
      </c>
      <c r="H1004" s="1115" t="s">
        <v>2131</v>
      </c>
      <c r="I1004" s="1115" t="n">
        <v>27840</v>
      </c>
      <c r="J1004" s="1115" t="s">
        <v>1146</v>
      </c>
    </row>
    <row r="1005" customFormat="false" ht="14.1" hidden="false" customHeight="true" outlineLevel="0" collapsed="false">
      <c r="A1005" s="1115" t="n">
        <v>27820</v>
      </c>
      <c r="B1005" s="1115" t="s">
        <v>159</v>
      </c>
      <c r="C1005" s="1115" t="n">
        <v>27820</v>
      </c>
      <c r="D1005" s="1115" t="s">
        <v>1957</v>
      </c>
      <c r="E1005" s="1115" t="s">
        <v>991</v>
      </c>
      <c r="F1005" s="1115" t="n">
        <v>10300</v>
      </c>
      <c r="G1005" s="1115" t="n">
        <v>29320</v>
      </c>
      <c r="H1005" s="1115" t="s">
        <v>2254</v>
      </c>
      <c r="I1005" s="1115" t="n">
        <v>27860</v>
      </c>
      <c r="J1005" s="1115" t="s">
        <v>1146</v>
      </c>
    </row>
    <row r="1006" customFormat="false" ht="14.1" hidden="false" customHeight="true" outlineLevel="0" collapsed="false">
      <c r="A1006" s="1115" t="n">
        <v>27840</v>
      </c>
      <c r="B1006" s="1115" t="s">
        <v>159</v>
      </c>
      <c r="C1006" s="1115" t="n">
        <v>27840</v>
      </c>
      <c r="D1006" s="1115" t="s">
        <v>2169</v>
      </c>
      <c r="E1006" s="1115" t="s">
        <v>2255</v>
      </c>
      <c r="F1006" s="1115" t="n">
        <v>82270</v>
      </c>
      <c r="G1006" s="1115" t="n">
        <v>29330</v>
      </c>
      <c r="H1006" s="1115" t="s">
        <v>2256</v>
      </c>
      <c r="I1006" s="1115" t="n">
        <v>27910</v>
      </c>
      <c r="J1006" s="1115" t="s">
        <v>1146</v>
      </c>
    </row>
    <row r="1007" customFormat="false" ht="14.1" hidden="false" customHeight="true" outlineLevel="0" collapsed="false">
      <c r="A1007" s="1115" t="n">
        <v>27860</v>
      </c>
      <c r="B1007" s="1115" t="s">
        <v>159</v>
      </c>
      <c r="C1007" s="1115" t="n">
        <v>27860</v>
      </c>
      <c r="D1007" s="1115" t="s">
        <v>2214</v>
      </c>
      <c r="E1007" s="1115" t="s">
        <v>2054</v>
      </c>
      <c r="F1007" s="1115" t="n">
        <v>23190</v>
      </c>
      <c r="G1007" s="1115" t="n">
        <v>29350</v>
      </c>
      <c r="H1007" s="1115" t="s">
        <v>2257</v>
      </c>
      <c r="I1007" s="1115" t="n">
        <v>27920</v>
      </c>
      <c r="J1007" s="1115" t="s">
        <v>1146</v>
      </c>
    </row>
    <row r="1008" customFormat="false" ht="14.1" hidden="false" customHeight="true" outlineLevel="0" collapsed="false">
      <c r="A1008" s="1115" t="n">
        <v>27910</v>
      </c>
      <c r="B1008" s="1115" t="s">
        <v>159</v>
      </c>
      <c r="C1008" s="1115" t="n">
        <v>27910</v>
      </c>
      <c r="D1008" s="1115" t="s">
        <v>1816</v>
      </c>
      <c r="E1008" s="1115" t="s">
        <v>2258</v>
      </c>
      <c r="F1008" s="1115" t="n">
        <v>97890</v>
      </c>
      <c r="G1008" s="1115" t="n">
        <v>29360</v>
      </c>
      <c r="H1008" s="1115" t="s">
        <v>2259</v>
      </c>
      <c r="I1008" s="1115" t="n">
        <v>27960</v>
      </c>
      <c r="J1008" s="1115" t="s">
        <v>1146</v>
      </c>
    </row>
    <row r="1009" customFormat="false" ht="14.1" hidden="false" customHeight="true" outlineLevel="0" collapsed="false">
      <c r="A1009" s="1115" t="n">
        <v>27920</v>
      </c>
      <c r="B1009" s="1115" t="s">
        <v>159</v>
      </c>
      <c r="C1009" s="1115" t="n">
        <v>27920</v>
      </c>
      <c r="D1009" s="1115" t="s">
        <v>2217</v>
      </c>
      <c r="E1009" s="1115" t="s">
        <v>2260</v>
      </c>
      <c r="F1009" s="1115" t="n">
        <v>91220</v>
      </c>
      <c r="G1009" s="1115" t="n">
        <v>29370</v>
      </c>
      <c r="H1009" s="1115" t="s">
        <v>2261</v>
      </c>
      <c r="I1009" s="1115" t="n">
        <v>27970</v>
      </c>
      <c r="J1009" s="1115" t="s">
        <v>1297</v>
      </c>
    </row>
    <row r="1010" customFormat="false" ht="14.1" hidden="false" customHeight="true" outlineLevel="0" collapsed="false">
      <c r="A1010" s="1115" t="n">
        <v>27960</v>
      </c>
      <c r="B1010" s="1115" t="s">
        <v>159</v>
      </c>
      <c r="C1010" s="1115" t="n">
        <v>27960</v>
      </c>
      <c r="D1010" s="1115" t="s">
        <v>2219</v>
      </c>
      <c r="E1010" s="1115" t="s">
        <v>995</v>
      </c>
      <c r="F1010" s="1115" t="n">
        <v>9120</v>
      </c>
      <c r="G1010" s="1115" t="n">
        <v>29430</v>
      </c>
      <c r="H1010" s="1115" t="s">
        <v>2262</v>
      </c>
      <c r="I1010" s="1115" t="n">
        <v>28007</v>
      </c>
      <c r="J1010" s="1115" t="s">
        <v>159</v>
      </c>
    </row>
    <row r="1011" customFormat="false" ht="14.1" hidden="false" customHeight="true" outlineLevel="0" collapsed="false">
      <c r="A1011" s="1115" t="n">
        <v>27970</v>
      </c>
      <c r="B1011" s="1115" t="s">
        <v>159</v>
      </c>
      <c r="C1011" s="1115" t="n">
        <v>27970</v>
      </c>
      <c r="D1011" s="1115" t="s">
        <v>2221</v>
      </c>
      <c r="E1011" s="1115" t="s">
        <v>2263</v>
      </c>
      <c r="F1011" s="1115" t="n">
        <v>58730</v>
      </c>
      <c r="G1011" s="1115" t="n">
        <v>29570</v>
      </c>
      <c r="H1011" s="1115" t="s">
        <v>2264</v>
      </c>
      <c r="I1011" s="1115" t="n">
        <v>28100</v>
      </c>
      <c r="J1011" s="1115" t="s">
        <v>159</v>
      </c>
    </row>
    <row r="1012" customFormat="false" ht="14.1" hidden="false" customHeight="true" outlineLevel="0" collapsed="false">
      <c r="A1012" s="1115" t="n">
        <v>28007</v>
      </c>
      <c r="B1012" s="1115" t="s">
        <v>159</v>
      </c>
      <c r="C1012" s="1115" t="n">
        <v>28007</v>
      </c>
      <c r="D1012" s="1115" t="s">
        <v>159</v>
      </c>
      <c r="E1012" s="1115" t="s">
        <v>998</v>
      </c>
      <c r="F1012" s="1115" t="n">
        <v>3600</v>
      </c>
      <c r="G1012" s="1115" t="n">
        <v>29580</v>
      </c>
      <c r="H1012" s="1115" t="s">
        <v>2265</v>
      </c>
      <c r="I1012" s="1115" t="n">
        <v>28130</v>
      </c>
      <c r="J1012" s="1115" t="s">
        <v>159</v>
      </c>
    </row>
    <row r="1013" customFormat="false" ht="14.1" hidden="false" customHeight="true" outlineLevel="0" collapsed="false">
      <c r="A1013" s="1115" t="n">
        <v>28100</v>
      </c>
      <c r="B1013" s="1115" t="s">
        <v>159</v>
      </c>
      <c r="C1013" s="1115" t="n">
        <v>28100</v>
      </c>
      <c r="D1013" s="1115" t="s">
        <v>159</v>
      </c>
      <c r="E1013" s="1115" t="s">
        <v>2266</v>
      </c>
      <c r="F1013" s="1115" t="n">
        <v>38100</v>
      </c>
      <c r="G1013" s="1115" t="n">
        <v>29600</v>
      </c>
      <c r="H1013" s="1115" t="s">
        <v>1274</v>
      </c>
      <c r="I1013" s="1115" t="n">
        <v>28200</v>
      </c>
      <c r="J1013" s="1115" t="s">
        <v>159</v>
      </c>
    </row>
    <row r="1014" customFormat="false" ht="14.1" hidden="false" customHeight="true" outlineLevel="0" collapsed="false">
      <c r="A1014" s="1115" t="n">
        <v>28130</v>
      </c>
      <c r="B1014" s="1115" t="s">
        <v>159</v>
      </c>
      <c r="C1014" s="1115" t="n">
        <v>28130</v>
      </c>
      <c r="D1014" s="1115" t="s">
        <v>159</v>
      </c>
      <c r="E1014" s="1115" t="s">
        <v>2267</v>
      </c>
      <c r="F1014" s="1115" t="n">
        <v>82240</v>
      </c>
      <c r="G1014" s="1115" t="n">
        <v>29620</v>
      </c>
      <c r="H1014" s="1115" t="s">
        <v>1690</v>
      </c>
      <c r="I1014" s="1115" t="n">
        <v>28220</v>
      </c>
      <c r="J1014" s="1115" t="s">
        <v>159</v>
      </c>
    </row>
    <row r="1015" customFormat="false" ht="14.1" hidden="false" customHeight="true" outlineLevel="0" collapsed="false">
      <c r="A1015" s="1115" t="n">
        <v>28200</v>
      </c>
      <c r="B1015" s="1115" t="s">
        <v>159</v>
      </c>
      <c r="C1015" s="1115" t="n">
        <v>28200</v>
      </c>
      <c r="D1015" s="1115" t="s">
        <v>159</v>
      </c>
      <c r="E1015" s="1115" t="s">
        <v>2268</v>
      </c>
      <c r="F1015" s="1115" t="n">
        <v>65630</v>
      </c>
      <c r="G1015" s="1115" t="n">
        <v>29630</v>
      </c>
      <c r="H1015" s="1115" t="s">
        <v>1358</v>
      </c>
      <c r="I1015" s="1115" t="n">
        <v>28230</v>
      </c>
      <c r="J1015" s="1115" t="s">
        <v>159</v>
      </c>
    </row>
    <row r="1016" customFormat="false" ht="14.1" hidden="false" customHeight="true" outlineLevel="0" collapsed="false">
      <c r="A1016" s="1115" t="n">
        <v>28220</v>
      </c>
      <c r="B1016" s="1115" t="s">
        <v>159</v>
      </c>
      <c r="C1016" s="1115" t="n">
        <v>28220</v>
      </c>
      <c r="D1016" s="1115" t="s">
        <v>159</v>
      </c>
      <c r="E1016" s="1115" t="s">
        <v>2269</v>
      </c>
      <c r="F1016" s="1115" t="n">
        <v>73270</v>
      </c>
      <c r="G1016" s="1115" t="n">
        <v>29640</v>
      </c>
      <c r="H1016" s="1115" t="s">
        <v>1759</v>
      </c>
      <c r="I1016" s="1115" t="n">
        <v>28240</v>
      </c>
      <c r="J1016" s="1115" t="s">
        <v>159</v>
      </c>
    </row>
    <row r="1017" customFormat="false" ht="14.1" hidden="false" customHeight="true" outlineLevel="0" collapsed="false">
      <c r="A1017" s="1115" t="n">
        <v>28230</v>
      </c>
      <c r="B1017" s="1115" t="s">
        <v>159</v>
      </c>
      <c r="C1017" s="1115" t="n">
        <v>28230</v>
      </c>
      <c r="D1017" s="1115" t="s">
        <v>159</v>
      </c>
      <c r="E1017" s="1115" t="s">
        <v>2270</v>
      </c>
      <c r="F1017" s="1115" t="n">
        <v>32220</v>
      </c>
      <c r="G1017" s="1115" t="n">
        <v>29660</v>
      </c>
      <c r="H1017" s="1115" t="s">
        <v>1404</v>
      </c>
      <c r="I1017" s="1115" t="n">
        <v>28260</v>
      </c>
      <c r="J1017" s="1115" t="s">
        <v>1579</v>
      </c>
    </row>
    <row r="1018" customFormat="false" ht="14.1" hidden="false" customHeight="true" outlineLevel="0" collapsed="false">
      <c r="A1018" s="1115" t="n">
        <v>28240</v>
      </c>
      <c r="B1018" s="1115" t="s">
        <v>159</v>
      </c>
      <c r="C1018" s="1115" t="n">
        <v>28240</v>
      </c>
      <c r="D1018" s="1115" t="s">
        <v>159</v>
      </c>
      <c r="E1018" s="1115" t="s">
        <v>2271</v>
      </c>
      <c r="F1018" s="1115" t="n">
        <v>86690</v>
      </c>
      <c r="G1018" s="1115" t="n">
        <v>29670</v>
      </c>
      <c r="H1018" s="1115" t="s">
        <v>2272</v>
      </c>
      <c r="I1018" s="1115" t="n">
        <v>28290</v>
      </c>
      <c r="J1018" s="1115" t="s">
        <v>159</v>
      </c>
    </row>
    <row r="1019" customFormat="false" ht="14.1" hidden="false" customHeight="true" outlineLevel="0" collapsed="false">
      <c r="A1019" s="1115" t="n">
        <v>28260</v>
      </c>
      <c r="B1019" s="1115" t="s">
        <v>159</v>
      </c>
      <c r="C1019" s="1115" t="n">
        <v>28260</v>
      </c>
      <c r="D1019" s="1115" t="s">
        <v>1420</v>
      </c>
      <c r="E1019" s="1115" t="s">
        <v>2273</v>
      </c>
      <c r="F1019" s="1115" t="n">
        <v>98220</v>
      </c>
      <c r="G1019" s="1115" t="n">
        <v>29680</v>
      </c>
      <c r="H1019" s="1115" t="s">
        <v>2274</v>
      </c>
      <c r="I1019" s="1115" t="n">
        <v>28300</v>
      </c>
      <c r="J1019" s="1115" t="s">
        <v>159</v>
      </c>
    </row>
    <row r="1020" customFormat="false" ht="14.1" hidden="false" customHeight="true" outlineLevel="0" collapsed="false">
      <c r="A1020" s="1115" t="n">
        <v>28290</v>
      </c>
      <c r="B1020" s="1115" t="s">
        <v>159</v>
      </c>
      <c r="C1020" s="1115" t="n">
        <v>28290</v>
      </c>
      <c r="D1020" s="1115" t="s">
        <v>159</v>
      </c>
      <c r="E1020" s="1115" t="s">
        <v>1002</v>
      </c>
      <c r="F1020" s="1115" t="n">
        <v>43500</v>
      </c>
      <c r="G1020" s="1115" t="n">
        <v>29700</v>
      </c>
      <c r="H1020" s="1115" t="s">
        <v>730</v>
      </c>
      <c r="I1020" s="1115" t="n">
        <v>28330</v>
      </c>
      <c r="J1020" s="1115" t="s">
        <v>159</v>
      </c>
    </row>
    <row r="1021" customFormat="false" ht="14.1" hidden="false" customHeight="true" outlineLevel="0" collapsed="false">
      <c r="A1021" s="1115" t="n">
        <v>28300</v>
      </c>
      <c r="B1021" s="1115" t="s">
        <v>159</v>
      </c>
      <c r="C1021" s="1115" t="n">
        <v>28300</v>
      </c>
      <c r="D1021" s="1115" t="s">
        <v>159</v>
      </c>
      <c r="E1021" s="1115" t="s">
        <v>1006</v>
      </c>
      <c r="F1021" s="1115" t="n">
        <v>72100</v>
      </c>
      <c r="G1021" s="1115" t="n">
        <v>29720</v>
      </c>
      <c r="H1021" s="1115" t="s">
        <v>2275</v>
      </c>
      <c r="I1021" s="1115" t="n">
        <v>28360</v>
      </c>
      <c r="J1021" s="1115" t="s">
        <v>159</v>
      </c>
    </row>
    <row r="1022" customFormat="false" ht="14.1" hidden="false" customHeight="true" outlineLevel="0" collapsed="false">
      <c r="A1022" s="1115" t="n">
        <v>28330</v>
      </c>
      <c r="B1022" s="1115" t="s">
        <v>159</v>
      </c>
      <c r="C1022" s="1115" t="n">
        <v>28330</v>
      </c>
      <c r="D1022" s="1115" t="s">
        <v>159</v>
      </c>
      <c r="E1022" s="1115" t="s">
        <v>1975</v>
      </c>
      <c r="F1022" s="1115" t="n">
        <v>21590</v>
      </c>
      <c r="G1022" s="1115" t="n">
        <v>29730</v>
      </c>
      <c r="H1022" s="1115" t="s">
        <v>2276</v>
      </c>
      <c r="I1022" s="1115" t="n">
        <v>28400</v>
      </c>
      <c r="J1022" s="1115" t="s">
        <v>1579</v>
      </c>
    </row>
    <row r="1023" customFormat="false" ht="14.1" hidden="false" customHeight="true" outlineLevel="0" collapsed="false">
      <c r="A1023" s="1115" t="n">
        <v>28360</v>
      </c>
      <c r="B1023" s="1115" t="s">
        <v>159</v>
      </c>
      <c r="C1023" s="1115" t="n">
        <v>28360</v>
      </c>
      <c r="D1023" s="1115" t="s">
        <v>159</v>
      </c>
      <c r="E1023" s="1115" t="s">
        <v>2277</v>
      </c>
      <c r="F1023" s="1115" t="n">
        <v>98310</v>
      </c>
      <c r="G1023" s="1115" t="n">
        <v>29740</v>
      </c>
      <c r="H1023" s="1115" t="s">
        <v>1186</v>
      </c>
      <c r="I1023" s="1115" t="n">
        <v>28430</v>
      </c>
      <c r="J1023" s="1115" t="s">
        <v>159</v>
      </c>
    </row>
    <row r="1024" customFormat="false" ht="14.1" hidden="false" customHeight="true" outlineLevel="0" collapsed="false">
      <c r="A1024" s="1115" t="n">
        <v>28400</v>
      </c>
      <c r="B1024" s="1115" t="s">
        <v>159</v>
      </c>
      <c r="C1024" s="1115" t="n">
        <v>28400</v>
      </c>
      <c r="D1024" s="1115" t="s">
        <v>1579</v>
      </c>
      <c r="E1024" s="1115" t="s">
        <v>2278</v>
      </c>
      <c r="F1024" s="1115" t="n">
        <v>62630</v>
      </c>
      <c r="G1024" s="1115" t="n">
        <v>29750</v>
      </c>
      <c r="H1024" s="1115" t="s">
        <v>2279</v>
      </c>
      <c r="I1024" s="1115" t="n">
        <v>28450</v>
      </c>
      <c r="J1024" s="1115" t="s">
        <v>1579</v>
      </c>
    </row>
    <row r="1025" customFormat="false" ht="14.1" hidden="false" customHeight="true" outlineLevel="0" collapsed="false">
      <c r="A1025" s="1115" t="n">
        <v>28430</v>
      </c>
      <c r="B1025" s="1115" t="s">
        <v>159</v>
      </c>
      <c r="C1025" s="1115" t="n">
        <v>28430</v>
      </c>
      <c r="D1025" s="1115" t="s">
        <v>159</v>
      </c>
      <c r="E1025" s="1115" t="s">
        <v>2278</v>
      </c>
      <c r="F1025" s="1115" t="n">
        <v>62630</v>
      </c>
      <c r="G1025" s="1115" t="n">
        <v>29760</v>
      </c>
      <c r="H1025" s="1115" t="s">
        <v>2280</v>
      </c>
      <c r="I1025" s="1115" t="n">
        <v>28500</v>
      </c>
      <c r="J1025" s="1115" t="s">
        <v>159</v>
      </c>
    </row>
    <row r="1026" customFormat="false" ht="14.1" hidden="false" customHeight="true" outlineLevel="0" collapsed="false">
      <c r="A1026" s="1115" t="n">
        <v>28450</v>
      </c>
      <c r="B1026" s="1115" t="s">
        <v>159</v>
      </c>
      <c r="C1026" s="1115" t="n">
        <v>28450</v>
      </c>
      <c r="D1026" s="1115" t="s">
        <v>2229</v>
      </c>
      <c r="E1026" s="1115" t="s">
        <v>2281</v>
      </c>
      <c r="F1026" s="1115" t="n">
        <v>71930</v>
      </c>
      <c r="G1026" s="1115" t="n">
        <v>29770</v>
      </c>
      <c r="H1026" s="1115" t="s">
        <v>2282</v>
      </c>
      <c r="I1026" s="1115" t="n">
        <v>28560</v>
      </c>
      <c r="J1026" s="1115" t="s">
        <v>159</v>
      </c>
    </row>
    <row r="1027" customFormat="false" ht="14.1" hidden="false" customHeight="true" outlineLevel="0" collapsed="false">
      <c r="A1027" s="1115" t="n">
        <v>28500</v>
      </c>
      <c r="B1027" s="1115" t="s">
        <v>159</v>
      </c>
      <c r="C1027" s="1115" t="n">
        <v>28500</v>
      </c>
      <c r="D1027" s="1115" t="s">
        <v>159</v>
      </c>
      <c r="E1027" s="1115" t="s">
        <v>2283</v>
      </c>
      <c r="F1027" s="1115" t="n">
        <v>66720</v>
      </c>
      <c r="G1027" s="1115" t="n">
        <v>29790</v>
      </c>
      <c r="H1027" s="1115" t="s">
        <v>2284</v>
      </c>
      <c r="I1027" s="1115" t="n">
        <v>28580</v>
      </c>
      <c r="J1027" s="1115" t="s">
        <v>159</v>
      </c>
    </row>
    <row r="1028" customFormat="false" ht="14.1" hidden="false" customHeight="true" outlineLevel="0" collapsed="false">
      <c r="A1028" s="1115" t="n">
        <v>28560</v>
      </c>
      <c r="B1028" s="1115" t="s">
        <v>159</v>
      </c>
      <c r="C1028" s="1115" t="n">
        <v>28560</v>
      </c>
      <c r="D1028" s="1115" t="s">
        <v>159</v>
      </c>
      <c r="E1028" s="1115" t="s">
        <v>1009</v>
      </c>
      <c r="F1028" s="1115" t="n">
        <v>39930</v>
      </c>
      <c r="G1028" s="1115" t="n">
        <v>29810</v>
      </c>
      <c r="H1028" s="1115" t="s">
        <v>1495</v>
      </c>
      <c r="I1028" s="1115" t="n">
        <v>28600</v>
      </c>
      <c r="J1028" s="1115" t="s">
        <v>159</v>
      </c>
    </row>
    <row r="1029" customFormat="false" ht="14.1" hidden="false" customHeight="true" outlineLevel="0" collapsed="false">
      <c r="A1029" s="1115" t="n">
        <v>28580</v>
      </c>
      <c r="B1029" s="1115" t="s">
        <v>159</v>
      </c>
      <c r="C1029" s="1115" t="n">
        <v>28580</v>
      </c>
      <c r="D1029" s="1115" t="s">
        <v>159</v>
      </c>
      <c r="E1029" s="1115" t="s">
        <v>2285</v>
      </c>
      <c r="F1029" s="1115" t="n">
        <v>39965</v>
      </c>
      <c r="G1029" s="1115" t="n">
        <v>29830</v>
      </c>
      <c r="H1029" s="1115" t="s">
        <v>2286</v>
      </c>
      <c r="I1029" s="1115" t="n">
        <v>28610</v>
      </c>
      <c r="J1029" s="1115" t="s">
        <v>159</v>
      </c>
    </row>
    <row r="1030" customFormat="false" ht="14.1" hidden="false" customHeight="true" outlineLevel="0" collapsed="false">
      <c r="A1030" s="1115" t="n">
        <v>28600</v>
      </c>
      <c r="B1030" s="1115" t="s">
        <v>159</v>
      </c>
      <c r="C1030" s="1115" t="n">
        <v>28600</v>
      </c>
      <c r="D1030" s="1115" t="s">
        <v>159</v>
      </c>
      <c r="E1030" s="1115" t="s">
        <v>2287</v>
      </c>
      <c r="F1030" s="1115" t="n">
        <v>58160</v>
      </c>
      <c r="G1030" s="1115" t="n">
        <v>29850</v>
      </c>
      <c r="H1030" s="1115" t="s">
        <v>1737</v>
      </c>
      <c r="I1030" s="1115" t="n">
        <v>28640</v>
      </c>
      <c r="J1030" s="1115" t="s">
        <v>159</v>
      </c>
    </row>
    <row r="1031" customFormat="false" ht="14.1" hidden="false" customHeight="true" outlineLevel="0" collapsed="false">
      <c r="A1031" s="1115" t="n">
        <v>28610</v>
      </c>
      <c r="B1031" s="1115" t="s">
        <v>159</v>
      </c>
      <c r="C1031" s="1115" t="n">
        <v>28610</v>
      </c>
      <c r="D1031" s="1115" t="s">
        <v>159</v>
      </c>
      <c r="E1031" s="1115" t="s">
        <v>2288</v>
      </c>
      <c r="F1031" s="1115" t="n">
        <v>79810</v>
      </c>
      <c r="G1031" s="1115" t="n">
        <v>29860</v>
      </c>
      <c r="H1031" s="1115" t="s">
        <v>2289</v>
      </c>
      <c r="I1031" s="1115" t="n">
        <v>28660</v>
      </c>
      <c r="J1031" s="1115" t="s">
        <v>159</v>
      </c>
    </row>
    <row r="1032" customFormat="false" ht="14.1" hidden="false" customHeight="true" outlineLevel="0" collapsed="false">
      <c r="A1032" s="1115" t="n">
        <v>28640</v>
      </c>
      <c r="B1032" s="1115" t="s">
        <v>159</v>
      </c>
      <c r="C1032" s="1115" t="n">
        <v>28640</v>
      </c>
      <c r="D1032" s="1115" t="s">
        <v>159</v>
      </c>
      <c r="E1032" s="1115" t="s">
        <v>2290</v>
      </c>
      <c r="F1032" s="1115" t="n">
        <v>69570</v>
      </c>
      <c r="G1032" s="1115" t="n">
        <v>29870</v>
      </c>
      <c r="H1032" s="1115" t="s">
        <v>2291</v>
      </c>
      <c r="I1032" s="1115" t="n">
        <v>28680</v>
      </c>
      <c r="J1032" s="1115" t="s">
        <v>159</v>
      </c>
    </row>
    <row r="1033" customFormat="false" ht="14.1" hidden="false" customHeight="true" outlineLevel="0" collapsed="false">
      <c r="A1033" s="1115" t="n">
        <v>28660</v>
      </c>
      <c r="B1033" s="1115" t="s">
        <v>159</v>
      </c>
      <c r="C1033" s="1115" t="n">
        <v>28660</v>
      </c>
      <c r="D1033" s="1115" t="s">
        <v>159</v>
      </c>
      <c r="E1033" s="1115" t="s">
        <v>2292</v>
      </c>
      <c r="F1033" s="1115" t="n">
        <v>85580</v>
      </c>
      <c r="G1033" s="1115" t="n">
        <v>29880</v>
      </c>
      <c r="H1033" s="1115" t="s">
        <v>2293</v>
      </c>
      <c r="I1033" s="1115" t="n">
        <v>28760</v>
      </c>
      <c r="J1033" s="1115" t="s">
        <v>159</v>
      </c>
    </row>
    <row r="1034" customFormat="false" ht="14.1" hidden="false" customHeight="true" outlineLevel="0" collapsed="false">
      <c r="A1034" s="1115" t="n">
        <v>28680</v>
      </c>
      <c r="B1034" s="1115" t="s">
        <v>159</v>
      </c>
      <c r="C1034" s="1115" t="n">
        <v>28680</v>
      </c>
      <c r="D1034" s="1115" t="s">
        <v>159</v>
      </c>
      <c r="E1034" s="1115" t="s">
        <v>2294</v>
      </c>
      <c r="F1034" s="1115" t="n">
        <v>29930</v>
      </c>
      <c r="G1034" s="1115" t="n">
        <v>29890</v>
      </c>
      <c r="H1034" s="1115" t="s">
        <v>2295</v>
      </c>
      <c r="I1034" s="1115" t="n">
        <v>28780</v>
      </c>
      <c r="J1034" s="1115" t="s">
        <v>159</v>
      </c>
    </row>
    <row r="1035" customFormat="false" ht="14.1" hidden="false" customHeight="true" outlineLevel="0" collapsed="false">
      <c r="A1035" s="1115" t="n">
        <v>28760</v>
      </c>
      <c r="B1035" s="1115" t="s">
        <v>159</v>
      </c>
      <c r="C1035" s="1115" t="n">
        <v>28760</v>
      </c>
      <c r="D1035" s="1115" t="s">
        <v>159</v>
      </c>
      <c r="E1035" s="1115" t="s">
        <v>1822</v>
      </c>
      <c r="F1035" s="1115" t="n">
        <v>17740</v>
      </c>
      <c r="G1035" s="1115" t="n">
        <v>29900</v>
      </c>
      <c r="H1035" s="1115" t="s">
        <v>1226</v>
      </c>
      <c r="I1035" s="1115" t="n">
        <v>28840</v>
      </c>
      <c r="J1035" s="1115" t="s">
        <v>159</v>
      </c>
    </row>
    <row r="1036" customFormat="false" ht="14.1" hidden="false" customHeight="true" outlineLevel="0" collapsed="false">
      <c r="A1036" s="1115" t="n">
        <v>28780</v>
      </c>
      <c r="B1036" s="1115" t="s">
        <v>159</v>
      </c>
      <c r="C1036" s="1115" t="n">
        <v>28780</v>
      </c>
      <c r="D1036" s="1115" t="s">
        <v>159</v>
      </c>
      <c r="E1036" s="1115" t="s">
        <v>2296</v>
      </c>
      <c r="F1036" s="1115" t="n">
        <v>51990</v>
      </c>
      <c r="G1036" s="1115" t="n">
        <v>29910</v>
      </c>
      <c r="H1036" s="1115" t="s">
        <v>2297</v>
      </c>
      <c r="I1036" s="1115" t="n">
        <v>28850</v>
      </c>
      <c r="J1036" s="1115" t="s">
        <v>159</v>
      </c>
    </row>
    <row r="1037" customFormat="false" ht="14.1" hidden="false" customHeight="true" outlineLevel="0" collapsed="false">
      <c r="A1037" s="1115" t="n">
        <v>28840</v>
      </c>
      <c r="B1037" s="1115" t="s">
        <v>159</v>
      </c>
      <c r="C1037" s="1115" t="n">
        <v>28840</v>
      </c>
      <c r="D1037" s="1115" t="s">
        <v>159</v>
      </c>
      <c r="E1037" s="1115" t="s">
        <v>1014</v>
      </c>
      <c r="F1037" s="1115" t="n">
        <v>64260</v>
      </c>
      <c r="G1037" s="1115" t="n">
        <v>29920</v>
      </c>
      <c r="H1037" s="1115" t="s">
        <v>2298</v>
      </c>
      <c r="I1037" s="1115" t="n">
        <v>28880</v>
      </c>
      <c r="J1037" s="1115" t="s">
        <v>159</v>
      </c>
    </row>
    <row r="1038" customFormat="false" ht="14.1" hidden="false" customHeight="true" outlineLevel="0" collapsed="false">
      <c r="A1038" s="1115" t="n">
        <v>28850</v>
      </c>
      <c r="B1038" s="1115" t="s">
        <v>159</v>
      </c>
      <c r="C1038" s="1115" t="n">
        <v>28850</v>
      </c>
      <c r="D1038" s="1115" t="s">
        <v>2239</v>
      </c>
      <c r="E1038" s="1115" t="s">
        <v>2299</v>
      </c>
      <c r="F1038" s="1115" t="n">
        <v>31480</v>
      </c>
      <c r="G1038" s="1115" t="n">
        <v>29930</v>
      </c>
      <c r="H1038" s="1115" t="s">
        <v>2294</v>
      </c>
      <c r="I1038" s="1115" t="n">
        <v>28900</v>
      </c>
      <c r="J1038" s="1115" t="s">
        <v>159</v>
      </c>
    </row>
    <row r="1039" customFormat="false" ht="14.1" hidden="false" customHeight="true" outlineLevel="0" collapsed="false">
      <c r="A1039" s="1115" t="n">
        <v>28880</v>
      </c>
      <c r="B1039" s="1115" t="s">
        <v>159</v>
      </c>
      <c r="C1039" s="1115" t="n">
        <v>28880</v>
      </c>
      <c r="D1039" s="1115" t="s">
        <v>159</v>
      </c>
      <c r="E1039" s="1115" t="s">
        <v>2150</v>
      </c>
      <c r="F1039" s="1115" t="n">
        <v>25930</v>
      </c>
      <c r="G1039" s="1115" t="n">
        <v>29940</v>
      </c>
      <c r="H1039" s="1115" t="s">
        <v>2300</v>
      </c>
      <c r="I1039" s="1115" t="n">
        <v>29100</v>
      </c>
      <c r="J1039" s="1115" t="s">
        <v>1204</v>
      </c>
    </row>
    <row r="1040" customFormat="false" ht="14.1" hidden="false" customHeight="true" outlineLevel="0" collapsed="false">
      <c r="A1040" s="1115" t="n">
        <v>28900</v>
      </c>
      <c r="B1040" s="1115" t="s">
        <v>159</v>
      </c>
      <c r="C1040" s="1115" t="n">
        <v>28900</v>
      </c>
      <c r="D1040" s="1115" t="s">
        <v>159</v>
      </c>
      <c r="E1040" s="1115" t="s">
        <v>2028</v>
      </c>
      <c r="F1040" s="1115" t="n">
        <v>22520</v>
      </c>
      <c r="G1040" s="1115" t="n">
        <v>29950</v>
      </c>
      <c r="H1040" s="1115" t="s">
        <v>1757</v>
      </c>
      <c r="I1040" s="1115" t="n">
        <v>29120</v>
      </c>
      <c r="J1040" s="1115" t="s">
        <v>1204</v>
      </c>
    </row>
    <row r="1041" customFormat="false" ht="14.1" hidden="false" customHeight="true" outlineLevel="0" collapsed="false">
      <c r="A1041" s="1115" t="n">
        <v>29100</v>
      </c>
      <c r="B1041" s="1115" t="s">
        <v>159</v>
      </c>
      <c r="C1041" s="1115" t="n">
        <v>29100</v>
      </c>
      <c r="D1041" s="1115" t="s">
        <v>1204</v>
      </c>
      <c r="E1041" s="1115" t="s">
        <v>2028</v>
      </c>
      <c r="F1041" s="1115" t="n">
        <v>22520</v>
      </c>
      <c r="G1041" s="1115" t="n">
        <v>29960</v>
      </c>
      <c r="H1041" s="1115" t="s">
        <v>2301</v>
      </c>
      <c r="I1041" s="1115" t="n">
        <v>29180</v>
      </c>
      <c r="J1041" s="1115" t="s">
        <v>1204</v>
      </c>
    </row>
    <row r="1042" customFormat="false" ht="14.1" hidden="false" customHeight="true" outlineLevel="0" collapsed="false">
      <c r="A1042" s="1115" t="n">
        <v>29120</v>
      </c>
      <c r="B1042" s="1115" t="s">
        <v>159</v>
      </c>
      <c r="C1042" s="1115" t="n">
        <v>29120</v>
      </c>
      <c r="D1042" s="1115" t="s">
        <v>2244</v>
      </c>
      <c r="E1042" s="1115" t="s">
        <v>2302</v>
      </c>
      <c r="F1042" s="1115" t="n">
        <v>42930</v>
      </c>
      <c r="G1042" s="1115" t="n">
        <v>29970</v>
      </c>
      <c r="H1042" s="1115" t="s">
        <v>2303</v>
      </c>
      <c r="I1042" s="1115" t="n">
        <v>29200</v>
      </c>
      <c r="J1042" s="1115" t="s">
        <v>826</v>
      </c>
    </row>
    <row r="1043" customFormat="false" ht="14.1" hidden="false" customHeight="true" outlineLevel="0" collapsed="false">
      <c r="A1043" s="1115" t="n">
        <v>29180</v>
      </c>
      <c r="B1043" s="1115" t="s">
        <v>159</v>
      </c>
      <c r="C1043" s="1115" t="n">
        <v>29180</v>
      </c>
      <c r="D1043" s="1115" t="s">
        <v>2246</v>
      </c>
      <c r="E1043" s="1115" t="s">
        <v>2304</v>
      </c>
      <c r="F1043" s="1115" t="n">
        <v>81120</v>
      </c>
      <c r="G1043" s="1115" t="n">
        <v>29980</v>
      </c>
      <c r="H1043" s="1115" t="s">
        <v>2305</v>
      </c>
      <c r="I1043" s="1115" t="n">
        <v>29210</v>
      </c>
      <c r="J1043" s="1115" t="s">
        <v>826</v>
      </c>
    </row>
    <row r="1044" customFormat="false" ht="14.1" hidden="false" customHeight="true" outlineLevel="0" collapsed="false">
      <c r="A1044" s="1115" t="n">
        <v>29200</v>
      </c>
      <c r="B1044" s="1115" t="s">
        <v>159</v>
      </c>
      <c r="C1044" s="1115" t="n">
        <v>29200</v>
      </c>
      <c r="D1044" s="1115" t="s">
        <v>826</v>
      </c>
      <c r="E1044" s="1115" t="s">
        <v>1777</v>
      </c>
      <c r="F1044" s="1115" t="n">
        <v>16880</v>
      </c>
      <c r="G1044" s="1115" t="n">
        <v>30100</v>
      </c>
      <c r="H1044" s="1115" t="s">
        <v>794</v>
      </c>
      <c r="I1044" s="1115" t="n">
        <v>29220</v>
      </c>
      <c r="J1044" s="1115" t="s">
        <v>826</v>
      </c>
    </row>
    <row r="1045" customFormat="false" ht="14.1" hidden="false" customHeight="true" outlineLevel="0" collapsed="false">
      <c r="A1045" s="1115" t="n">
        <v>29210</v>
      </c>
      <c r="B1045" s="1115" t="s">
        <v>159</v>
      </c>
      <c r="C1045" s="1115" t="n">
        <v>29210</v>
      </c>
      <c r="D1045" s="1115" t="s">
        <v>2248</v>
      </c>
      <c r="E1045" s="1115" t="s">
        <v>2306</v>
      </c>
      <c r="F1045" s="1115" t="n">
        <v>88820</v>
      </c>
      <c r="G1045" s="1115" t="n">
        <v>30300</v>
      </c>
      <c r="H1045" s="1115" t="s">
        <v>794</v>
      </c>
      <c r="I1045" s="1115" t="n">
        <v>29230</v>
      </c>
      <c r="J1045" s="1115" t="s">
        <v>826</v>
      </c>
    </row>
    <row r="1046" customFormat="false" ht="14.1" hidden="false" customHeight="true" outlineLevel="0" collapsed="false">
      <c r="A1046" s="1115" t="n">
        <v>29220</v>
      </c>
      <c r="B1046" s="1115" t="s">
        <v>159</v>
      </c>
      <c r="C1046" s="1115" t="n">
        <v>29220</v>
      </c>
      <c r="D1046" s="1115" t="s">
        <v>2250</v>
      </c>
      <c r="E1046" s="1115" t="s">
        <v>1643</v>
      </c>
      <c r="F1046" s="1115" t="n">
        <v>13800</v>
      </c>
      <c r="G1046" s="1115" t="n">
        <v>30420</v>
      </c>
      <c r="H1046" s="1115" t="s">
        <v>794</v>
      </c>
      <c r="I1046" s="1115" t="n">
        <v>29250</v>
      </c>
      <c r="J1046" s="1115" t="s">
        <v>1258</v>
      </c>
    </row>
    <row r="1047" customFormat="false" ht="14.1" hidden="false" customHeight="true" outlineLevel="0" collapsed="false">
      <c r="A1047" s="1115" t="n">
        <v>29230</v>
      </c>
      <c r="B1047" s="1115" t="s">
        <v>159</v>
      </c>
      <c r="C1047" s="1115" t="n">
        <v>29230</v>
      </c>
      <c r="D1047" s="1115" t="s">
        <v>2252</v>
      </c>
      <c r="E1047" s="1115" t="s">
        <v>2072</v>
      </c>
      <c r="F1047" s="1115" t="n">
        <v>23730</v>
      </c>
      <c r="G1047" s="1115" t="n">
        <v>30650</v>
      </c>
      <c r="H1047" s="1115" t="s">
        <v>794</v>
      </c>
      <c r="I1047" s="1115" t="n">
        <v>29270</v>
      </c>
      <c r="J1047" s="1115" t="s">
        <v>1258</v>
      </c>
    </row>
    <row r="1048" customFormat="false" ht="14.1" hidden="false" customHeight="true" outlineLevel="0" collapsed="false">
      <c r="A1048" s="1115" t="n">
        <v>29250</v>
      </c>
      <c r="B1048" s="1115" t="s">
        <v>159</v>
      </c>
      <c r="C1048" s="1115" t="n">
        <v>29250</v>
      </c>
      <c r="D1048" s="1115" t="s">
        <v>1258</v>
      </c>
      <c r="E1048" s="1115" t="s">
        <v>2307</v>
      </c>
      <c r="F1048" s="1115" t="n">
        <v>63320</v>
      </c>
      <c r="G1048" s="1115" t="n">
        <v>30720</v>
      </c>
      <c r="H1048" s="1115" t="s">
        <v>794</v>
      </c>
      <c r="I1048" s="1115" t="n">
        <v>29280</v>
      </c>
      <c r="J1048" s="1115" t="s">
        <v>1258</v>
      </c>
    </row>
    <row r="1049" customFormat="false" ht="14.1" hidden="false" customHeight="true" outlineLevel="0" collapsed="false">
      <c r="A1049" s="1115" t="n">
        <v>29270</v>
      </c>
      <c r="B1049" s="1115" t="s">
        <v>159</v>
      </c>
      <c r="C1049" s="1115" t="n">
        <v>29270</v>
      </c>
      <c r="D1049" s="1115" t="s">
        <v>1770</v>
      </c>
      <c r="E1049" s="1115" t="s">
        <v>2308</v>
      </c>
      <c r="F1049" s="1115" t="n">
        <v>49880</v>
      </c>
      <c r="G1049" s="1115" t="n">
        <v>30740</v>
      </c>
      <c r="H1049" s="1115" t="s">
        <v>794</v>
      </c>
      <c r="I1049" s="1115" t="n">
        <v>29310</v>
      </c>
      <c r="J1049" s="1115" t="s">
        <v>1258</v>
      </c>
    </row>
    <row r="1050" customFormat="false" ht="14.1" hidden="false" customHeight="true" outlineLevel="0" collapsed="false">
      <c r="A1050" s="1115" t="n">
        <v>29280</v>
      </c>
      <c r="B1050" s="1115" t="s">
        <v>159</v>
      </c>
      <c r="C1050" s="1115" t="n">
        <v>29280</v>
      </c>
      <c r="D1050" s="1115" t="s">
        <v>2114</v>
      </c>
      <c r="E1050" s="1115" t="s">
        <v>2309</v>
      </c>
      <c r="F1050" s="1115" t="n">
        <v>58290</v>
      </c>
      <c r="G1050" s="1115" t="n">
        <v>30760</v>
      </c>
      <c r="H1050" s="1115" t="s">
        <v>2310</v>
      </c>
      <c r="I1050" s="1115" t="n">
        <v>29320</v>
      </c>
      <c r="J1050" s="1115" t="s">
        <v>1258</v>
      </c>
    </row>
    <row r="1051" customFormat="false" ht="14.1" hidden="false" customHeight="true" outlineLevel="0" collapsed="false">
      <c r="A1051" s="1115" t="n">
        <v>29310</v>
      </c>
      <c r="B1051" s="1115" t="s">
        <v>159</v>
      </c>
      <c r="C1051" s="1115" t="n">
        <v>29310</v>
      </c>
      <c r="D1051" s="1115" t="s">
        <v>2131</v>
      </c>
      <c r="E1051" s="1115" t="s">
        <v>1018</v>
      </c>
      <c r="F1051" s="1115" t="n">
        <v>61800</v>
      </c>
      <c r="G1051" s="1115" t="n">
        <v>30820</v>
      </c>
      <c r="H1051" s="1115" t="s">
        <v>2311</v>
      </c>
      <c r="I1051" s="1115" t="n">
        <v>29330</v>
      </c>
      <c r="J1051" s="1115" t="s">
        <v>1258</v>
      </c>
    </row>
    <row r="1052" customFormat="false" ht="14.1" hidden="false" customHeight="true" outlineLevel="0" collapsed="false">
      <c r="A1052" s="1115" t="n">
        <v>29320</v>
      </c>
      <c r="B1052" s="1115" t="s">
        <v>159</v>
      </c>
      <c r="C1052" s="1115" t="n">
        <v>29320</v>
      </c>
      <c r="D1052" s="1115" t="s">
        <v>2254</v>
      </c>
      <c r="E1052" s="1115" t="s">
        <v>1018</v>
      </c>
      <c r="F1052" s="1115" t="n">
        <v>61850</v>
      </c>
      <c r="G1052" s="1115" t="n">
        <v>30920</v>
      </c>
      <c r="H1052" s="1115" t="s">
        <v>2312</v>
      </c>
      <c r="I1052" s="1115" t="n">
        <v>29350</v>
      </c>
      <c r="J1052" s="1115" t="s">
        <v>1258</v>
      </c>
    </row>
    <row r="1053" customFormat="false" ht="14.1" hidden="false" customHeight="true" outlineLevel="0" collapsed="false">
      <c r="A1053" s="1115" t="n">
        <v>29330</v>
      </c>
      <c r="B1053" s="1115" t="s">
        <v>159</v>
      </c>
      <c r="C1053" s="1115" t="n">
        <v>29330</v>
      </c>
      <c r="D1053" s="1115" t="s">
        <v>2256</v>
      </c>
      <c r="E1053" s="1115" t="s">
        <v>2313</v>
      </c>
      <c r="F1053" s="1115" t="n">
        <v>62295</v>
      </c>
      <c r="G1053" s="1115" t="n">
        <v>30940</v>
      </c>
      <c r="H1053" s="1115" t="s">
        <v>2314</v>
      </c>
      <c r="I1053" s="1115" t="n">
        <v>29360</v>
      </c>
      <c r="J1053" s="1115" t="s">
        <v>1258</v>
      </c>
    </row>
    <row r="1054" customFormat="false" ht="14.1" hidden="false" customHeight="true" outlineLevel="0" collapsed="false">
      <c r="A1054" s="1115" t="n">
        <v>29350</v>
      </c>
      <c r="B1054" s="1115" t="s">
        <v>159</v>
      </c>
      <c r="C1054" s="1115" t="n">
        <v>29350</v>
      </c>
      <c r="D1054" s="1115" t="s">
        <v>2257</v>
      </c>
      <c r="E1054" s="1115" t="s">
        <v>1021</v>
      </c>
      <c r="F1054" s="1115" t="n">
        <v>62200</v>
      </c>
      <c r="G1054" s="1115" t="n">
        <v>30980</v>
      </c>
      <c r="H1054" s="1115" t="s">
        <v>2315</v>
      </c>
      <c r="I1054" s="1115" t="n">
        <v>29370</v>
      </c>
      <c r="J1054" s="1115" t="s">
        <v>1258</v>
      </c>
    </row>
    <row r="1055" customFormat="false" ht="14.1" hidden="false" customHeight="true" outlineLevel="0" collapsed="false">
      <c r="A1055" s="1115" t="n">
        <v>29360</v>
      </c>
      <c r="B1055" s="1115" t="s">
        <v>159</v>
      </c>
      <c r="C1055" s="1115" t="n">
        <v>29360</v>
      </c>
      <c r="D1055" s="1115" t="s">
        <v>2259</v>
      </c>
      <c r="E1055" s="1115" t="s">
        <v>1275</v>
      </c>
      <c r="F1055" s="1115" t="n">
        <v>4820</v>
      </c>
      <c r="G1055" s="1115" t="n">
        <v>31110</v>
      </c>
      <c r="H1055" s="1115" t="s">
        <v>2316</v>
      </c>
      <c r="I1055" s="1115" t="n">
        <v>29430</v>
      </c>
      <c r="J1055" s="1115" t="s">
        <v>1258</v>
      </c>
    </row>
    <row r="1056" customFormat="false" ht="14.1" hidden="false" customHeight="true" outlineLevel="0" collapsed="false">
      <c r="A1056" s="1115" t="n">
        <v>29370</v>
      </c>
      <c r="B1056" s="1115" t="s">
        <v>159</v>
      </c>
      <c r="C1056" s="1115" t="n">
        <v>29370</v>
      </c>
      <c r="D1056" s="1115" t="s">
        <v>2261</v>
      </c>
      <c r="E1056" s="1115" t="s">
        <v>2317</v>
      </c>
      <c r="F1056" s="1115" t="n">
        <v>99110</v>
      </c>
      <c r="G1056" s="1115" t="n">
        <v>31120</v>
      </c>
      <c r="H1056" s="1115" t="s">
        <v>2318</v>
      </c>
      <c r="I1056" s="1115" t="n">
        <v>29570</v>
      </c>
      <c r="J1056" s="1115" t="s">
        <v>1274</v>
      </c>
    </row>
    <row r="1057" customFormat="false" ht="14.1" hidden="false" customHeight="true" outlineLevel="0" collapsed="false">
      <c r="A1057" s="1115" t="n">
        <v>29430</v>
      </c>
      <c r="B1057" s="1115" t="s">
        <v>159</v>
      </c>
      <c r="C1057" s="1115" t="n">
        <v>29430</v>
      </c>
      <c r="D1057" s="1115" t="s">
        <v>2262</v>
      </c>
      <c r="E1057" s="1115" t="s">
        <v>2319</v>
      </c>
      <c r="F1057" s="1115" t="n">
        <v>95635</v>
      </c>
      <c r="G1057" s="1115" t="n">
        <v>31140</v>
      </c>
      <c r="H1057" s="1115" t="s">
        <v>2320</v>
      </c>
      <c r="I1057" s="1115" t="n">
        <v>29580</v>
      </c>
      <c r="J1057" s="1115" t="s">
        <v>1274</v>
      </c>
    </row>
    <row r="1058" customFormat="false" ht="14.1" hidden="false" customHeight="true" outlineLevel="0" collapsed="false">
      <c r="A1058" s="1115" t="n">
        <v>29570</v>
      </c>
      <c r="B1058" s="1115" t="s">
        <v>159</v>
      </c>
      <c r="C1058" s="1115" t="n">
        <v>29570</v>
      </c>
      <c r="D1058" s="1115" t="s">
        <v>2264</v>
      </c>
      <c r="E1058" s="1115" t="s">
        <v>2321</v>
      </c>
      <c r="F1058" s="1115" t="n">
        <v>31560</v>
      </c>
      <c r="G1058" s="1115" t="n">
        <v>31150</v>
      </c>
      <c r="H1058" s="1115" t="s">
        <v>1381</v>
      </c>
      <c r="I1058" s="1115" t="n">
        <v>29600</v>
      </c>
      <c r="J1058" s="1115" t="s">
        <v>1274</v>
      </c>
    </row>
    <row r="1059" customFormat="false" ht="14.1" hidden="false" customHeight="true" outlineLevel="0" collapsed="false">
      <c r="A1059" s="1115" t="n">
        <v>29580</v>
      </c>
      <c r="B1059" s="1115" t="s">
        <v>159</v>
      </c>
      <c r="C1059" s="1115" t="n">
        <v>29580</v>
      </c>
      <c r="D1059" s="1115" t="s">
        <v>2265</v>
      </c>
      <c r="E1059" s="1115" t="s">
        <v>1025</v>
      </c>
      <c r="F1059" s="1115" t="n">
        <v>2700</v>
      </c>
      <c r="G1059" s="1115" t="n">
        <v>31160</v>
      </c>
      <c r="H1059" s="1115" t="s">
        <v>2322</v>
      </c>
      <c r="I1059" s="1115" t="n">
        <v>29620</v>
      </c>
      <c r="J1059" s="1115" t="s">
        <v>1358</v>
      </c>
    </row>
    <row r="1060" customFormat="false" ht="14.1" hidden="false" customHeight="true" outlineLevel="0" collapsed="false">
      <c r="A1060" s="1115" t="n">
        <v>29600</v>
      </c>
      <c r="B1060" s="1115" t="s">
        <v>159</v>
      </c>
      <c r="C1060" s="1115" t="n">
        <v>29600</v>
      </c>
      <c r="D1060" s="1115" t="s">
        <v>1274</v>
      </c>
      <c r="E1060" s="1115" t="s">
        <v>1554</v>
      </c>
      <c r="F1060" s="1115" t="n">
        <v>10380</v>
      </c>
      <c r="G1060" s="1115" t="n">
        <v>31170</v>
      </c>
      <c r="H1060" s="1115" t="s">
        <v>2323</v>
      </c>
      <c r="I1060" s="1115" t="n">
        <v>29630</v>
      </c>
      <c r="J1060" s="1115" t="s">
        <v>1358</v>
      </c>
    </row>
    <row r="1061" customFormat="false" ht="14.1" hidden="false" customHeight="true" outlineLevel="0" collapsed="false">
      <c r="A1061" s="1115" t="n">
        <v>29620</v>
      </c>
      <c r="B1061" s="1115" t="s">
        <v>159</v>
      </c>
      <c r="C1061" s="1115" t="n">
        <v>29620</v>
      </c>
      <c r="D1061" s="1115" t="s">
        <v>1690</v>
      </c>
      <c r="E1061" s="1115" t="s">
        <v>2324</v>
      </c>
      <c r="F1061" s="1115" t="n">
        <v>99820</v>
      </c>
      <c r="G1061" s="1115" t="n">
        <v>31210</v>
      </c>
      <c r="H1061" s="1115" t="s">
        <v>2325</v>
      </c>
      <c r="I1061" s="1115" t="n">
        <v>29640</v>
      </c>
      <c r="J1061" s="1115" t="s">
        <v>1358</v>
      </c>
    </row>
    <row r="1062" customFormat="false" ht="14.1" hidden="false" customHeight="true" outlineLevel="0" collapsed="false">
      <c r="A1062" s="1115" t="n">
        <v>29630</v>
      </c>
      <c r="B1062" s="1115" t="s">
        <v>159</v>
      </c>
      <c r="C1062" s="1115" t="n">
        <v>29630</v>
      </c>
      <c r="D1062" s="1115" t="s">
        <v>1358</v>
      </c>
      <c r="E1062" s="1115" t="s">
        <v>1863</v>
      </c>
      <c r="F1062" s="1115" t="n">
        <v>19440</v>
      </c>
      <c r="G1062" s="1115" t="n">
        <v>31230</v>
      </c>
      <c r="H1062" s="1115" t="s">
        <v>2326</v>
      </c>
      <c r="I1062" s="1115" t="n">
        <v>29660</v>
      </c>
      <c r="J1062" s="1115" t="s">
        <v>1358</v>
      </c>
    </row>
    <row r="1063" customFormat="false" ht="14.1" hidden="false" customHeight="true" outlineLevel="0" collapsed="false">
      <c r="A1063" s="1115" t="n">
        <v>29640</v>
      </c>
      <c r="B1063" s="1115" t="s">
        <v>159</v>
      </c>
      <c r="C1063" s="1115" t="n">
        <v>29640</v>
      </c>
      <c r="D1063" s="1115" t="s">
        <v>1759</v>
      </c>
      <c r="E1063" s="1115" t="s">
        <v>2327</v>
      </c>
      <c r="F1063" s="1115" t="n">
        <v>74270</v>
      </c>
      <c r="G1063" s="1115" t="n">
        <v>31240</v>
      </c>
      <c r="H1063" s="1115" t="s">
        <v>2328</v>
      </c>
      <c r="I1063" s="1115" t="n">
        <v>29670</v>
      </c>
      <c r="J1063" s="1115" t="s">
        <v>1358</v>
      </c>
    </row>
    <row r="1064" customFormat="false" ht="14.1" hidden="false" customHeight="true" outlineLevel="0" collapsed="false">
      <c r="A1064" s="1115" t="n">
        <v>29660</v>
      </c>
      <c r="B1064" s="1115" t="s">
        <v>159</v>
      </c>
      <c r="C1064" s="1115" t="n">
        <v>29660</v>
      </c>
      <c r="D1064" s="1115" t="s">
        <v>1404</v>
      </c>
      <c r="E1064" s="1115" t="s">
        <v>2329</v>
      </c>
      <c r="F1064" s="1115" t="n">
        <v>66680</v>
      </c>
      <c r="G1064" s="1115" t="n">
        <v>31250</v>
      </c>
      <c r="H1064" s="1115" t="s">
        <v>2330</v>
      </c>
      <c r="I1064" s="1115" t="n">
        <v>29680</v>
      </c>
      <c r="J1064" s="1115" t="s">
        <v>1358</v>
      </c>
    </row>
    <row r="1065" customFormat="false" ht="14.1" hidden="false" customHeight="true" outlineLevel="0" collapsed="false">
      <c r="A1065" s="1115" t="n">
        <v>29670</v>
      </c>
      <c r="B1065" s="1115" t="s">
        <v>159</v>
      </c>
      <c r="C1065" s="1115" t="n">
        <v>29670</v>
      </c>
      <c r="D1065" s="1115" t="s">
        <v>2272</v>
      </c>
      <c r="E1065" s="1115" t="s">
        <v>2331</v>
      </c>
      <c r="F1065" s="1115" t="n">
        <v>82670</v>
      </c>
      <c r="G1065" s="1115" t="n">
        <v>31300</v>
      </c>
      <c r="H1065" s="1115" t="s">
        <v>1547</v>
      </c>
      <c r="I1065" s="1115" t="n">
        <v>29700</v>
      </c>
      <c r="J1065" s="1115" t="s">
        <v>1358</v>
      </c>
    </row>
    <row r="1066" customFormat="false" ht="14.1" hidden="false" customHeight="true" outlineLevel="0" collapsed="false">
      <c r="A1066" s="1115" t="n">
        <v>29680</v>
      </c>
      <c r="B1066" s="1115" t="s">
        <v>159</v>
      </c>
      <c r="C1066" s="1115" t="n">
        <v>29680</v>
      </c>
      <c r="D1066" s="1115" t="s">
        <v>2274</v>
      </c>
      <c r="E1066" s="1115" t="s">
        <v>2332</v>
      </c>
      <c r="F1066" s="1115" t="n">
        <v>47400</v>
      </c>
      <c r="G1066" s="1115" t="n">
        <v>31310</v>
      </c>
      <c r="H1066" s="1115" t="s">
        <v>2333</v>
      </c>
      <c r="I1066" s="1115" t="n">
        <v>29720</v>
      </c>
      <c r="J1066" s="1115" t="s">
        <v>1358</v>
      </c>
    </row>
    <row r="1067" customFormat="false" ht="14.1" hidden="false" customHeight="true" outlineLevel="0" collapsed="false">
      <c r="A1067" s="1115" t="n">
        <v>29700</v>
      </c>
      <c r="B1067" s="1115" t="s">
        <v>159</v>
      </c>
      <c r="C1067" s="1115" t="n">
        <v>29700</v>
      </c>
      <c r="D1067" s="1115" t="s">
        <v>730</v>
      </c>
      <c r="E1067" s="1115" t="s">
        <v>1028</v>
      </c>
      <c r="F1067" s="1115" t="n">
        <v>69600</v>
      </c>
      <c r="G1067" s="1115" t="n">
        <v>31320</v>
      </c>
      <c r="H1067" s="1115" t="s">
        <v>2334</v>
      </c>
      <c r="I1067" s="1115" t="n">
        <v>29730</v>
      </c>
      <c r="J1067" s="1115" t="s">
        <v>1358</v>
      </c>
    </row>
    <row r="1068" customFormat="false" ht="14.1" hidden="false" customHeight="true" outlineLevel="0" collapsed="false">
      <c r="A1068" s="1115" t="n">
        <v>29720</v>
      </c>
      <c r="B1068" s="1115" t="s">
        <v>159</v>
      </c>
      <c r="C1068" s="1115" t="n">
        <v>29720</v>
      </c>
      <c r="D1068" s="1115" t="s">
        <v>2275</v>
      </c>
      <c r="E1068" s="1115" t="s">
        <v>2335</v>
      </c>
      <c r="F1068" s="1115" t="n">
        <v>62520</v>
      </c>
      <c r="G1068" s="1115" t="n">
        <v>31330</v>
      </c>
      <c r="H1068" s="1115" t="s">
        <v>2336</v>
      </c>
      <c r="I1068" s="1115" t="n">
        <v>29740</v>
      </c>
      <c r="J1068" s="1115" t="s">
        <v>1226</v>
      </c>
    </row>
    <row r="1069" customFormat="false" ht="14.1" hidden="false" customHeight="true" outlineLevel="0" collapsed="false">
      <c r="A1069" s="1115" t="n">
        <v>29730</v>
      </c>
      <c r="B1069" s="1115" t="s">
        <v>159</v>
      </c>
      <c r="C1069" s="1115" t="n">
        <v>29730</v>
      </c>
      <c r="D1069" s="1115" t="s">
        <v>2276</v>
      </c>
      <c r="E1069" s="1115" t="s">
        <v>2197</v>
      </c>
      <c r="F1069" s="1115" t="n">
        <v>27500</v>
      </c>
      <c r="G1069" s="1115" t="n">
        <v>31340</v>
      </c>
      <c r="H1069" s="1115" t="s">
        <v>2337</v>
      </c>
      <c r="I1069" s="1115" t="n">
        <v>29750</v>
      </c>
      <c r="J1069" s="1115" t="s">
        <v>1226</v>
      </c>
    </row>
    <row r="1070" customFormat="false" ht="14.1" hidden="false" customHeight="true" outlineLevel="0" collapsed="false">
      <c r="A1070" s="1115" t="n">
        <v>29740</v>
      </c>
      <c r="B1070" s="1115" t="s">
        <v>159</v>
      </c>
      <c r="C1070" s="1115" t="n">
        <v>29740</v>
      </c>
      <c r="D1070" s="1115" t="s">
        <v>1186</v>
      </c>
      <c r="E1070" s="1115" t="s">
        <v>2338</v>
      </c>
      <c r="F1070" s="1115" t="n">
        <v>32910</v>
      </c>
      <c r="G1070" s="1115" t="n">
        <v>31350</v>
      </c>
      <c r="H1070" s="1115" t="s">
        <v>2339</v>
      </c>
      <c r="I1070" s="1115" t="n">
        <v>29760</v>
      </c>
      <c r="J1070" s="1115" t="s">
        <v>1226</v>
      </c>
    </row>
    <row r="1071" customFormat="false" ht="14.1" hidden="false" customHeight="true" outlineLevel="0" collapsed="false">
      <c r="A1071" s="1115" t="n">
        <v>29750</v>
      </c>
      <c r="B1071" s="1115" t="s">
        <v>159</v>
      </c>
      <c r="C1071" s="1115" t="n">
        <v>29750</v>
      </c>
      <c r="D1071" s="1115" t="s">
        <v>2279</v>
      </c>
      <c r="E1071" s="1115" t="s">
        <v>2338</v>
      </c>
      <c r="F1071" s="1115" t="n">
        <v>32920</v>
      </c>
      <c r="G1071" s="1115" t="n">
        <v>31360</v>
      </c>
      <c r="H1071" s="1115" t="s">
        <v>1755</v>
      </c>
      <c r="I1071" s="1115" t="n">
        <v>29770</v>
      </c>
      <c r="J1071" s="1115" t="s">
        <v>1226</v>
      </c>
    </row>
    <row r="1072" customFormat="false" ht="14.1" hidden="false" customHeight="true" outlineLevel="0" collapsed="false">
      <c r="A1072" s="1115" t="n">
        <v>29760</v>
      </c>
      <c r="B1072" s="1115" t="s">
        <v>159</v>
      </c>
      <c r="C1072" s="1115" t="n">
        <v>29760</v>
      </c>
      <c r="D1072" s="1115" t="s">
        <v>2280</v>
      </c>
      <c r="E1072" s="1115" t="s">
        <v>2340</v>
      </c>
      <c r="F1072" s="1115" t="n">
        <v>31750</v>
      </c>
      <c r="G1072" s="1115" t="n">
        <v>31400</v>
      </c>
      <c r="H1072" s="1115" t="s">
        <v>1507</v>
      </c>
      <c r="I1072" s="1115" t="n">
        <v>29790</v>
      </c>
      <c r="J1072" s="1115" t="s">
        <v>1226</v>
      </c>
    </row>
    <row r="1073" customFormat="false" ht="14.1" hidden="false" customHeight="true" outlineLevel="0" collapsed="false">
      <c r="A1073" s="1115" t="n">
        <v>29770</v>
      </c>
      <c r="B1073" s="1115" t="s">
        <v>159</v>
      </c>
      <c r="C1073" s="1115" t="n">
        <v>29770</v>
      </c>
      <c r="D1073" s="1115" t="s">
        <v>2282</v>
      </c>
      <c r="E1073" s="1115" t="s">
        <v>2341</v>
      </c>
      <c r="F1073" s="1115" t="n">
        <v>44760</v>
      </c>
      <c r="G1073" s="1115" t="n">
        <v>31410</v>
      </c>
      <c r="H1073" s="1115" t="s">
        <v>2342</v>
      </c>
      <c r="I1073" s="1115" t="n">
        <v>29810</v>
      </c>
      <c r="J1073" s="1115" t="s">
        <v>1495</v>
      </c>
    </row>
    <row r="1074" customFormat="false" ht="14.1" hidden="false" customHeight="true" outlineLevel="0" collapsed="false">
      <c r="A1074" s="1115" t="n">
        <v>29790</v>
      </c>
      <c r="B1074" s="1115" t="s">
        <v>159</v>
      </c>
      <c r="C1074" s="1115" t="n">
        <v>29790</v>
      </c>
      <c r="D1074" s="1115" t="s">
        <v>2284</v>
      </c>
      <c r="E1074" s="1115" t="s">
        <v>2343</v>
      </c>
      <c r="F1074" s="1115" t="n">
        <v>32730</v>
      </c>
      <c r="G1074" s="1115" t="n">
        <v>31430</v>
      </c>
      <c r="H1074" s="1115" t="s">
        <v>2344</v>
      </c>
      <c r="I1074" s="1115" t="n">
        <v>29830</v>
      </c>
      <c r="J1074" s="1115" t="s">
        <v>1495</v>
      </c>
    </row>
    <row r="1075" customFormat="false" ht="14.1" hidden="false" customHeight="true" outlineLevel="0" collapsed="false">
      <c r="A1075" s="1115" t="n">
        <v>29810</v>
      </c>
      <c r="B1075" s="1115" t="s">
        <v>159</v>
      </c>
      <c r="C1075" s="1115" t="n">
        <v>29810</v>
      </c>
      <c r="D1075" s="1115" t="s">
        <v>1495</v>
      </c>
      <c r="E1075" s="1115" t="s">
        <v>2345</v>
      </c>
      <c r="F1075" s="1115" t="n">
        <v>63830</v>
      </c>
      <c r="G1075" s="1115" t="n">
        <v>31460</v>
      </c>
      <c r="H1075" s="1115" t="s">
        <v>1713</v>
      </c>
      <c r="I1075" s="1115" t="n">
        <v>29850</v>
      </c>
      <c r="J1075" s="1115" t="s">
        <v>1495</v>
      </c>
    </row>
    <row r="1076" customFormat="false" ht="14.1" hidden="false" customHeight="true" outlineLevel="0" collapsed="false">
      <c r="A1076" s="1115" t="n">
        <v>29830</v>
      </c>
      <c r="B1076" s="1115" t="s">
        <v>159</v>
      </c>
      <c r="C1076" s="1115" t="n">
        <v>29830</v>
      </c>
      <c r="D1076" s="1115" t="s">
        <v>2286</v>
      </c>
      <c r="E1076" s="1115" t="s">
        <v>1031</v>
      </c>
      <c r="F1076" s="1115" t="n">
        <v>72600</v>
      </c>
      <c r="G1076" s="1115" t="n">
        <v>31470</v>
      </c>
      <c r="H1076" s="1115" t="s">
        <v>2346</v>
      </c>
      <c r="I1076" s="1115" t="n">
        <v>29860</v>
      </c>
      <c r="J1076" s="1115" t="s">
        <v>1495</v>
      </c>
    </row>
    <row r="1077" customFormat="false" ht="14.1" hidden="false" customHeight="true" outlineLevel="0" collapsed="false">
      <c r="A1077" s="1115" t="n">
        <v>29850</v>
      </c>
      <c r="B1077" s="1115" t="s">
        <v>159</v>
      </c>
      <c r="C1077" s="1115" t="n">
        <v>29850</v>
      </c>
      <c r="D1077" s="1115" t="s">
        <v>1737</v>
      </c>
      <c r="E1077" s="1115" t="s">
        <v>2347</v>
      </c>
      <c r="F1077" s="1115" t="n">
        <v>44740</v>
      </c>
      <c r="G1077" s="1115" t="n">
        <v>31480</v>
      </c>
      <c r="H1077" s="1115" t="s">
        <v>2299</v>
      </c>
      <c r="I1077" s="1115" t="n">
        <v>29870</v>
      </c>
      <c r="J1077" s="1115" t="s">
        <v>1495</v>
      </c>
    </row>
    <row r="1078" customFormat="false" ht="14.1" hidden="false" customHeight="true" outlineLevel="0" collapsed="false">
      <c r="A1078" s="1115" t="n">
        <v>29860</v>
      </c>
      <c r="B1078" s="1115" t="s">
        <v>159</v>
      </c>
      <c r="C1078" s="1115" t="n">
        <v>29860</v>
      </c>
      <c r="D1078" s="1115" t="s">
        <v>2289</v>
      </c>
      <c r="E1078" s="1115" t="s">
        <v>1749</v>
      </c>
      <c r="F1078" s="1115" t="n">
        <v>16520</v>
      </c>
      <c r="G1078" s="1115" t="n">
        <v>31490</v>
      </c>
      <c r="H1078" s="1115" t="s">
        <v>2348</v>
      </c>
      <c r="I1078" s="1115" t="n">
        <v>29880</v>
      </c>
      <c r="J1078" s="1115" t="s">
        <v>1495</v>
      </c>
    </row>
    <row r="1079" customFormat="false" ht="14.1" hidden="false" customHeight="true" outlineLevel="0" collapsed="false">
      <c r="A1079" s="1115" t="n">
        <v>29870</v>
      </c>
      <c r="B1079" s="1115" t="s">
        <v>159</v>
      </c>
      <c r="C1079" s="1115" t="n">
        <v>29870</v>
      </c>
      <c r="D1079" s="1115" t="s">
        <v>2291</v>
      </c>
      <c r="E1079" s="1115" t="s">
        <v>2349</v>
      </c>
      <c r="F1079" s="1115" t="n">
        <v>43160</v>
      </c>
      <c r="G1079" s="1115" t="n">
        <v>31500</v>
      </c>
      <c r="H1079" s="1115" t="s">
        <v>1773</v>
      </c>
      <c r="I1079" s="1115" t="n">
        <v>29890</v>
      </c>
      <c r="J1079" s="1115" t="s">
        <v>1495</v>
      </c>
    </row>
    <row r="1080" customFormat="false" ht="14.1" hidden="false" customHeight="true" outlineLevel="0" collapsed="false">
      <c r="A1080" s="1115" t="n">
        <v>29880</v>
      </c>
      <c r="B1080" s="1115" t="s">
        <v>159</v>
      </c>
      <c r="C1080" s="1115" t="n">
        <v>29880</v>
      </c>
      <c r="D1080" s="1115" t="s">
        <v>2293</v>
      </c>
      <c r="E1080" s="1115" t="s">
        <v>2350</v>
      </c>
      <c r="F1080" s="1115" t="n">
        <v>34430</v>
      </c>
      <c r="G1080" s="1115" t="n">
        <v>31510</v>
      </c>
      <c r="H1080" s="1115" t="s">
        <v>2351</v>
      </c>
      <c r="I1080" s="1115" t="n">
        <v>29900</v>
      </c>
      <c r="J1080" s="1115" t="s">
        <v>1495</v>
      </c>
    </row>
    <row r="1081" customFormat="false" ht="14.1" hidden="false" customHeight="true" outlineLevel="0" collapsed="false">
      <c r="A1081" s="1115" t="n">
        <v>29890</v>
      </c>
      <c r="B1081" s="1115" t="s">
        <v>159</v>
      </c>
      <c r="C1081" s="1115" t="n">
        <v>29890</v>
      </c>
      <c r="D1081" s="1115" t="s">
        <v>2295</v>
      </c>
      <c r="E1081" s="1115" t="s">
        <v>2352</v>
      </c>
      <c r="F1081" s="1115" t="n">
        <v>97785</v>
      </c>
      <c r="G1081" s="1115" t="n">
        <v>31520</v>
      </c>
      <c r="H1081" s="1115" t="s">
        <v>2353</v>
      </c>
      <c r="I1081" s="1115" t="n">
        <v>29910</v>
      </c>
      <c r="J1081" s="1115" t="s">
        <v>1495</v>
      </c>
    </row>
    <row r="1082" customFormat="false" ht="14.1" hidden="false" customHeight="true" outlineLevel="0" collapsed="false">
      <c r="A1082" s="1115" t="n">
        <v>29900</v>
      </c>
      <c r="B1082" s="1115" t="s">
        <v>159</v>
      </c>
      <c r="C1082" s="1115" t="n">
        <v>29900</v>
      </c>
      <c r="D1082" s="1115" t="s">
        <v>1226</v>
      </c>
      <c r="E1082" s="1115" t="s">
        <v>2265</v>
      </c>
      <c r="F1082" s="1115" t="n">
        <v>29580</v>
      </c>
      <c r="G1082" s="1115" t="n">
        <v>31530</v>
      </c>
      <c r="H1082" s="1115" t="s">
        <v>2354</v>
      </c>
      <c r="I1082" s="1115" t="n">
        <v>29920</v>
      </c>
      <c r="J1082" s="1115" t="s">
        <v>1495</v>
      </c>
    </row>
    <row r="1083" customFormat="false" ht="14.1" hidden="false" customHeight="true" outlineLevel="0" collapsed="false">
      <c r="A1083" s="1115" t="n">
        <v>29910</v>
      </c>
      <c r="B1083" s="1115" t="s">
        <v>159</v>
      </c>
      <c r="C1083" s="1115" t="n">
        <v>29910</v>
      </c>
      <c r="D1083" s="1115" t="s">
        <v>2297</v>
      </c>
      <c r="E1083" s="1115" t="s">
        <v>2355</v>
      </c>
      <c r="F1083" s="1115" t="n">
        <v>90820</v>
      </c>
      <c r="G1083" s="1115" t="n">
        <v>31540</v>
      </c>
      <c r="H1083" s="1115" t="s">
        <v>2356</v>
      </c>
      <c r="I1083" s="1115" t="n">
        <v>29930</v>
      </c>
      <c r="J1083" s="1115" t="s">
        <v>1495</v>
      </c>
    </row>
    <row r="1084" customFormat="false" ht="14.1" hidden="false" customHeight="true" outlineLevel="0" collapsed="false">
      <c r="A1084" s="1115" t="n">
        <v>29920</v>
      </c>
      <c r="B1084" s="1115" t="s">
        <v>159</v>
      </c>
      <c r="C1084" s="1115" t="n">
        <v>29920</v>
      </c>
      <c r="D1084" s="1115" t="s">
        <v>2298</v>
      </c>
      <c r="E1084" s="1115" t="s">
        <v>1254</v>
      </c>
      <c r="F1084" s="1115" t="n">
        <v>4500</v>
      </c>
      <c r="G1084" s="1115" t="n">
        <v>31560</v>
      </c>
      <c r="H1084" s="1115" t="s">
        <v>2321</v>
      </c>
      <c r="I1084" s="1115" t="n">
        <v>29940</v>
      </c>
      <c r="J1084" s="1115" t="s">
        <v>1495</v>
      </c>
    </row>
    <row r="1085" customFormat="false" ht="14.1" hidden="false" customHeight="true" outlineLevel="0" collapsed="false">
      <c r="A1085" s="1115" t="n">
        <v>29930</v>
      </c>
      <c r="B1085" s="1115" t="s">
        <v>159</v>
      </c>
      <c r="C1085" s="1115" t="n">
        <v>29930</v>
      </c>
      <c r="D1085" s="1115" t="s">
        <v>2294</v>
      </c>
      <c r="E1085" s="1115" t="s">
        <v>2357</v>
      </c>
      <c r="F1085" s="1115" t="n">
        <v>99290</v>
      </c>
      <c r="G1085" s="1115" t="n">
        <v>31570</v>
      </c>
      <c r="H1085" s="1115" t="s">
        <v>2358</v>
      </c>
      <c r="I1085" s="1115" t="n">
        <v>29950</v>
      </c>
      <c r="J1085" s="1115" t="s">
        <v>1495</v>
      </c>
    </row>
    <row r="1086" customFormat="false" ht="14.1" hidden="false" customHeight="true" outlineLevel="0" collapsed="false">
      <c r="A1086" s="1115" t="n">
        <v>29940</v>
      </c>
      <c r="B1086" s="1115" t="s">
        <v>159</v>
      </c>
      <c r="C1086" s="1115" t="n">
        <v>29940</v>
      </c>
      <c r="D1086" s="1115" t="s">
        <v>2300</v>
      </c>
      <c r="E1086" s="1115" t="s">
        <v>2359</v>
      </c>
      <c r="F1086" s="1115" t="n">
        <v>98920</v>
      </c>
      <c r="G1086" s="1115" t="n">
        <v>31580</v>
      </c>
      <c r="H1086" s="1115" t="s">
        <v>2360</v>
      </c>
      <c r="I1086" s="1115" t="n">
        <v>29960</v>
      </c>
      <c r="J1086" s="1115" t="s">
        <v>1495</v>
      </c>
    </row>
    <row r="1087" customFormat="false" ht="14.1" hidden="false" customHeight="true" outlineLevel="0" collapsed="false">
      <c r="A1087" s="1115" t="n">
        <v>29950</v>
      </c>
      <c r="B1087" s="1115" t="s">
        <v>159</v>
      </c>
      <c r="C1087" s="1115" t="n">
        <v>29950</v>
      </c>
      <c r="D1087" s="1115" t="s">
        <v>1757</v>
      </c>
      <c r="E1087" s="1115" t="s">
        <v>2361</v>
      </c>
      <c r="F1087" s="1115" t="n">
        <v>45790</v>
      </c>
      <c r="G1087" s="1115" t="n">
        <v>31600</v>
      </c>
      <c r="H1087" s="1115" t="s">
        <v>906</v>
      </c>
      <c r="I1087" s="1115" t="n">
        <v>29970</v>
      </c>
      <c r="J1087" s="1115" t="s">
        <v>1495</v>
      </c>
    </row>
    <row r="1088" customFormat="false" ht="14.1" hidden="false" customHeight="true" outlineLevel="0" collapsed="false">
      <c r="A1088" s="1115" t="n">
        <v>29960</v>
      </c>
      <c r="B1088" s="1115" t="s">
        <v>159</v>
      </c>
      <c r="C1088" s="1115" t="n">
        <v>29960</v>
      </c>
      <c r="D1088" s="1115" t="s">
        <v>2301</v>
      </c>
      <c r="E1088" s="1115" t="s">
        <v>2362</v>
      </c>
      <c r="F1088" s="1115" t="n">
        <v>99620</v>
      </c>
      <c r="G1088" s="1115" t="n">
        <v>31610</v>
      </c>
      <c r="H1088" s="1115" t="s">
        <v>2363</v>
      </c>
      <c r="I1088" s="1115" t="n">
        <v>29980</v>
      </c>
      <c r="J1088" s="1115" t="s">
        <v>1495</v>
      </c>
    </row>
    <row r="1089" customFormat="false" ht="14.1" hidden="false" customHeight="true" outlineLevel="0" collapsed="false">
      <c r="A1089" s="1115" t="n">
        <v>29970</v>
      </c>
      <c r="B1089" s="1115" t="s">
        <v>159</v>
      </c>
      <c r="C1089" s="1115" t="n">
        <v>29970</v>
      </c>
      <c r="D1089" s="1115" t="s">
        <v>2303</v>
      </c>
      <c r="E1089" s="1115" t="s">
        <v>2364</v>
      </c>
      <c r="F1089" s="1115" t="n">
        <v>81570</v>
      </c>
      <c r="G1089" s="1115" t="n">
        <v>31620</v>
      </c>
      <c r="H1089" s="1115" t="s">
        <v>2365</v>
      </c>
      <c r="I1089" s="1115" t="n">
        <v>30100</v>
      </c>
      <c r="J1089" s="1115" t="s">
        <v>794</v>
      </c>
    </row>
    <row r="1090" customFormat="false" ht="14.1" hidden="false" customHeight="true" outlineLevel="0" collapsed="false">
      <c r="A1090" s="1115" t="n">
        <v>29980</v>
      </c>
      <c r="B1090" s="1115" t="s">
        <v>159</v>
      </c>
      <c r="C1090" s="1115" t="n">
        <v>29980</v>
      </c>
      <c r="D1090" s="1115" t="s">
        <v>2305</v>
      </c>
      <c r="E1090" s="1115" t="s">
        <v>781</v>
      </c>
      <c r="F1090" s="1115" t="n">
        <v>94100</v>
      </c>
      <c r="G1090" s="1115" t="n">
        <v>31630</v>
      </c>
      <c r="H1090" s="1115" t="s">
        <v>2366</v>
      </c>
      <c r="I1090" s="1115" t="n">
        <v>30300</v>
      </c>
      <c r="J1090" s="1115" t="s">
        <v>794</v>
      </c>
    </row>
    <row r="1091" customFormat="false" ht="14.1" hidden="false" customHeight="true" outlineLevel="0" collapsed="false">
      <c r="A1091" s="1115" t="n">
        <v>30100</v>
      </c>
      <c r="B1091" s="1115" t="s">
        <v>162</v>
      </c>
      <c r="C1091" s="1115" t="n">
        <v>30100</v>
      </c>
      <c r="D1091" s="1115" t="s">
        <v>794</v>
      </c>
      <c r="E1091" s="1115" t="s">
        <v>781</v>
      </c>
      <c r="F1091" s="1115" t="n">
        <v>94100</v>
      </c>
      <c r="G1091" s="1115" t="n">
        <v>31640</v>
      </c>
      <c r="H1091" s="1115" t="s">
        <v>861</v>
      </c>
      <c r="I1091" s="1115" t="n">
        <v>30420</v>
      </c>
      <c r="J1091" s="1115" t="s">
        <v>794</v>
      </c>
    </row>
    <row r="1092" customFormat="false" ht="14.1" hidden="false" customHeight="true" outlineLevel="0" collapsed="false">
      <c r="A1092" s="1115" t="n">
        <v>30300</v>
      </c>
      <c r="B1092" s="1115" t="s">
        <v>162</v>
      </c>
      <c r="C1092" s="1115" t="n">
        <v>30300</v>
      </c>
      <c r="D1092" s="1115" t="s">
        <v>794</v>
      </c>
      <c r="E1092" s="1115" t="s">
        <v>781</v>
      </c>
      <c r="F1092" s="1115" t="n">
        <v>94130</v>
      </c>
      <c r="G1092" s="1115" t="n">
        <v>31650</v>
      </c>
      <c r="H1092" s="1115" t="s">
        <v>2367</v>
      </c>
      <c r="I1092" s="1115" t="n">
        <v>30650</v>
      </c>
      <c r="J1092" s="1115" t="s">
        <v>794</v>
      </c>
    </row>
    <row r="1093" customFormat="false" ht="14.1" hidden="false" customHeight="true" outlineLevel="0" collapsed="false">
      <c r="A1093" s="1115" t="n">
        <v>30420</v>
      </c>
      <c r="B1093" s="1115" t="s">
        <v>162</v>
      </c>
      <c r="C1093" s="1115" t="n">
        <v>30420</v>
      </c>
      <c r="D1093" s="1115" t="s">
        <v>794</v>
      </c>
      <c r="E1093" s="1115" t="s">
        <v>781</v>
      </c>
      <c r="F1093" s="1115" t="n">
        <v>94200</v>
      </c>
      <c r="G1093" s="1115" t="n">
        <v>31660</v>
      </c>
      <c r="H1093" s="1115" t="s">
        <v>2368</v>
      </c>
      <c r="I1093" s="1115" t="n">
        <v>30720</v>
      </c>
      <c r="J1093" s="1115" t="s">
        <v>794</v>
      </c>
    </row>
    <row r="1094" customFormat="false" ht="14.1" hidden="false" customHeight="true" outlineLevel="0" collapsed="false">
      <c r="A1094" s="1115" t="n">
        <v>30650</v>
      </c>
      <c r="B1094" s="1115" t="s">
        <v>162</v>
      </c>
      <c r="C1094" s="1115" t="n">
        <v>30650</v>
      </c>
      <c r="D1094" s="1115" t="s">
        <v>794</v>
      </c>
      <c r="E1094" s="1115" t="s">
        <v>781</v>
      </c>
      <c r="F1094" s="1115" t="n">
        <v>94300</v>
      </c>
      <c r="G1094" s="1115" t="n">
        <v>31700</v>
      </c>
      <c r="H1094" s="1115" t="s">
        <v>1581</v>
      </c>
      <c r="I1094" s="1115" t="n">
        <v>30740</v>
      </c>
      <c r="J1094" s="1115" t="s">
        <v>794</v>
      </c>
    </row>
    <row r="1095" customFormat="false" ht="14.1" hidden="false" customHeight="true" outlineLevel="0" collapsed="false">
      <c r="A1095" s="1115" t="n">
        <v>30720</v>
      </c>
      <c r="B1095" s="1115" t="s">
        <v>162</v>
      </c>
      <c r="C1095" s="1115" t="n">
        <v>30720</v>
      </c>
      <c r="D1095" s="1115" t="s">
        <v>794</v>
      </c>
      <c r="E1095" s="1115" t="s">
        <v>781</v>
      </c>
      <c r="F1095" s="1115" t="n">
        <v>94600</v>
      </c>
      <c r="G1095" s="1115" t="n">
        <v>31720</v>
      </c>
      <c r="H1095" s="1115" t="s">
        <v>2369</v>
      </c>
      <c r="I1095" s="1115" t="n">
        <v>30760</v>
      </c>
      <c r="J1095" s="1115" t="s">
        <v>794</v>
      </c>
    </row>
    <row r="1096" customFormat="false" ht="14.1" hidden="false" customHeight="true" outlineLevel="0" collapsed="false">
      <c r="A1096" s="1115" t="n">
        <v>30740</v>
      </c>
      <c r="B1096" s="1115" t="s">
        <v>162</v>
      </c>
      <c r="C1096" s="1115" t="n">
        <v>30740</v>
      </c>
      <c r="D1096" s="1115" t="s">
        <v>794</v>
      </c>
      <c r="E1096" s="1115" t="s">
        <v>781</v>
      </c>
      <c r="F1096" s="1115" t="n">
        <v>94700</v>
      </c>
      <c r="G1096" s="1115" t="n">
        <v>31730</v>
      </c>
      <c r="H1096" s="1115" t="s">
        <v>1767</v>
      </c>
      <c r="I1096" s="1115" t="n">
        <v>30820</v>
      </c>
      <c r="J1096" s="1115" t="s">
        <v>794</v>
      </c>
    </row>
    <row r="1097" customFormat="false" ht="14.1" hidden="false" customHeight="true" outlineLevel="0" collapsed="false">
      <c r="A1097" s="1115" t="n">
        <v>30760</v>
      </c>
      <c r="B1097" s="1115" t="s">
        <v>162</v>
      </c>
      <c r="C1097" s="1115" t="n">
        <v>30760</v>
      </c>
      <c r="D1097" s="1115" t="s">
        <v>2310</v>
      </c>
      <c r="E1097" s="1115" t="s">
        <v>781</v>
      </c>
      <c r="F1097" s="1115" t="n">
        <v>94730</v>
      </c>
      <c r="G1097" s="1115" t="n">
        <v>31740</v>
      </c>
      <c r="H1097" s="1115" t="s">
        <v>2370</v>
      </c>
      <c r="I1097" s="1115" t="n">
        <v>30920</v>
      </c>
      <c r="J1097" s="1115" t="s">
        <v>794</v>
      </c>
    </row>
    <row r="1098" customFormat="false" ht="14.1" hidden="false" customHeight="true" outlineLevel="0" collapsed="false">
      <c r="A1098" s="1115" t="n">
        <v>30820</v>
      </c>
      <c r="B1098" s="1115" t="s">
        <v>162</v>
      </c>
      <c r="C1098" s="1115" t="n">
        <v>30820</v>
      </c>
      <c r="D1098" s="1115" t="s">
        <v>2311</v>
      </c>
      <c r="E1098" s="1115" t="s">
        <v>781</v>
      </c>
      <c r="F1098" s="1115" t="n">
        <v>94800</v>
      </c>
      <c r="G1098" s="1115" t="n">
        <v>31750</v>
      </c>
      <c r="H1098" s="1115" t="s">
        <v>2340</v>
      </c>
      <c r="I1098" s="1115" t="n">
        <v>30940</v>
      </c>
      <c r="J1098" s="1115" t="s">
        <v>794</v>
      </c>
    </row>
    <row r="1099" customFormat="false" ht="14.1" hidden="false" customHeight="true" outlineLevel="0" collapsed="false">
      <c r="A1099" s="1115" t="n">
        <v>30920</v>
      </c>
      <c r="B1099" s="1115" t="s">
        <v>162</v>
      </c>
      <c r="C1099" s="1115" t="n">
        <v>30920</v>
      </c>
      <c r="D1099" s="1115" t="s">
        <v>2312</v>
      </c>
      <c r="E1099" s="1115" t="s">
        <v>781</v>
      </c>
      <c r="F1099" s="1115" t="n">
        <v>94830</v>
      </c>
      <c r="G1099" s="1115" t="n">
        <v>31760</v>
      </c>
      <c r="H1099" s="1115" t="s">
        <v>1581</v>
      </c>
      <c r="I1099" s="1115" t="n">
        <v>30980</v>
      </c>
      <c r="J1099" s="1115" t="s">
        <v>794</v>
      </c>
    </row>
    <row r="1100" customFormat="false" ht="14.1" hidden="false" customHeight="true" outlineLevel="0" collapsed="false">
      <c r="A1100" s="1115" t="n">
        <v>30940</v>
      </c>
      <c r="B1100" s="1115" t="s">
        <v>162</v>
      </c>
      <c r="C1100" s="1115" t="n">
        <v>30940</v>
      </c>
      <c r="D1100" s="1115" t="s">
        <v>2314</v>
      </c>
      <c r="E1100" s="1115" t="s">
        <v>781</v>
      </c>
      <c r="F1100" s="1115" t="n">
        <v>94900</v>
      </c>
      <c r="G1100" s="1115" t="n">
        <v>31780</v>
      </c>
      <c r="H1100" s="1115" t="s">
        <v>2371</v>
      </c>
      <c r="I1100" s="1115" t="n">
        <v>31110</v>
      </c>
      <c r="J1100" s="1115" t="s">
        <v>794</v>
      </c>
    </row>
    <row r="1101" customFormat="false" ht="14.1" hidden="false" customHeight="true" outlineLevel="0" collapsed="false">
      <c r="A1101" s="1115" t="n">
        <v>30980</v>
      </c>
      <c r="B1101" s="1115" t="s">
        <v>162</v>
      </c>
      <c r="C1101" s="1115" t="n">
        <v>30980</v>
      </c>
      <c r="D1101" s="1115" t="s">
        <v>2315</v>
      </c>
      <c r="E1101" s="1115" t="s">
        <v>1035</v>
      </c>
      <c r="F1101" s="1115" t="n">
        <v>98100</v>
      </c>
      <c r="G1101" s="1115" t="n">
        <v>31790</v>
      </c>
      <c r="H1101" s="1115" t="s">
        <v>2372</v>
      </c>
      <c r="I1101" s="1115" t="n">
        <v>31120</v>
      </c>
      <c r="J1101" s="1115" t="s">
        <v>794</v>
      </c>
    </row>
    <row r="1102" customFormat="false" ht="14.1" hidden="false" customHeight="true" outlineLevel="0" collapsed="false">
      <c r="A1102" s="1115" t="n">
        <v>31110</v>
      </c>
      <c r="B1102" s="1115" t="s">
        <v>162</v>
      </c>
      <c r="C1102" s="1115" t="n">
        <v>31110</v>
      </c>
      <c r="D1102" s="1115" t="s">
        <v>2316</v>
      </c>
      <c r="E1102" s="1115" t="s">
        <v>1035</v>
      </c>
      <c r="F1102" s="1115" t="n">
        <v>98120</v>
      </c>
      <c r="G1102" s="1115" t="n">
        <v>31810</v>
      </c>
      <c r="H1102" s="1115" t="s">
        <v>2373</v>
      </c>
      <c r="I1102" s="1115" t="n">
        <v>31140</v>
      </c>
      <c r="J1102" s="1115" t="s">
        <v>1581</v>
      </c>
    </row>
    <row r="1103" customFormat="false" ht="14.1" hidden="false" customHeight="true" outlineLevel="0" collapsed="false">
      <c r="A1103" s="1115" t="n">
        <v>31120</v>
      </c>
      <c r="B1103" s="1115" t="s">
        <v>162</v>
      </c>
      <c r="C1103" s="1115" t="n">
        <v>31120</v>
      </c>
      <c r="D1103" s="1115" t="s">
        <v>2318</v>
      </c>
      <c r="E1103" s="1115" t="s">
        <v>2374</v>
      </c>
      <c r="F1103" s="1115" t="n">
        <v>93720</v>
      </c>
      <c r="G1103" s="1115" t="n">
        <v>31820</v>
      </c>
      <c r="H1103" s="1115" t="s">
        <v>2375</v>
      </c>
      <c r="I1103" s="1115" t="n">
        <v>31150</v>
      </c>
      <c r="J1103" s="1115" t="s">
        <v>1581</v>
      </c>
    </row>
    <row r="1104" customFormat="false" ht="14.1" hidden="false" customHeight="true" outlineLevel="0" collapsed="false">
      <c r="A1104" s="1115" t="n">
        <v>31140</v>
      </c>
      <c r="B1104" s="1115" t="s">
        <v>162</v>
      </c>
      <c r="C1104" s="1115" t="n">
        <v>31140</v>
      </c>
      <c r="D1104" s="1115" t="s">
        <v>2320</v>
      </c>
      <c r="E1104" s="1115" t="s">
        <v>1038</v>
      </c>
      <c r="F1104" s="1115" t="n">
        <v>94400</v>
      </c>
      <c r="G1104" s="1115" t="n">
        <v>31830</v>
      </c>
      <c r="H1104" s="1115" t="s">
        <v>1329</v>
      </c>
      <c r="I1104" s="1115" t="n">
        <v>31160</v>
      </c>
      <c r="J1104" s="1115" t="s">
        <v>1581</v>
      </c>
    </row>
    <row r="1105" customFormat="false" ht="14.1" hidden="false" customHeight="true" outlineLevel="0" collapsed="false">
      <c r="A1105" s="1115" t="n">
        <v>31150</v>
      </c>
      <c r="B1105" s="1115" t="s">
        <v>162</v>
      </c>
      <c r="C1105" s="1115" t="n">
        <v>31150</v>
      </c>
      <c r="D1105" s="1115" t="s">
        <v>1381</v>
      </c>
      <c r="E1105" s="1115" t="s">
        <v>1041</v>
      </c>
      <c r="F1105" s="1115" t="n">
        <v>25700</v>
      </c>
      <c r="G1105" s="1115" t="n">
        <v>31830</v>
      </c>
      <c r="H1105" s="1115" t="s">
        <v>1329</v>
      </c>
      <c r="I1105" s="1115" t="n">
        <v>31170</v>
      </c>
      <c r="J1105" s="1115" t="s">
        <v>1581</v>
      </c>
    </row>
    <row r="1106" customFormat="false" ht="14.1" hidden="false" customHeight="true" outlineLevel="0" collapsed="false">
      <c r="A1106" s="1115" t="n">
        <v>31160</v>
      </c>
      <c r="B1106" s="1115" t="s">
        <v>162</v>
      </c>
      <c r="C1106" s="1115" t="n">
        <v>31160</v>
      </c>
      <c r="D1106" s="1115" t="s">
        <v>2322</v>
      </c>
      <c r="E1106" s="1115" t="s">
        <v>1043</v>
      </c>
      <c r="F1106" s="1115" t="n">
        <v>90440</v>
      </c>
      <c r="G1106" s="1115" t="n">
        <v>31850</v>
      </c>
      <c r="H1106" s="1115" t="s">
        <v>2376</v>
      </c>
      <c r="I1106" s="1115" t="n">
        <v>31210</v>
      </c>
      <c r="J1106" s="1115" t="s">
        <v>1581</v>
      </c>
    </row>
    <row r="1107" customFormat="false" ht="14.1" hidden="false" customHeight="true" outlineLevel="0" collapsed="false">
      <c r="A1107" s="1115" t="n">
        <v>31170</v>
      </c>
      <c r="B1107" s="1115" t="s">
        <v>162</v>
      </c>
      <c r="C1107" s="1115" t="n">
        <v>31170</v>
      </c>
      <c r="D1107" s="1115" t="s">
        <v>2323</v>
      </c>
      <c r="E1107" s="1115" t="s">
        <v>1043</v>
      </c>
      <c r="F1107" s="1115" t="n">
        <v>90450</v>
      </c>
      <c r="G1107" s="1115" t="n">
        <v>31860</v>
      </c>
      <c r="H1107" s="1115" t="s">
        <v>2377</v>
      </c>
      <c r="I1107" s="1115" t="n">
        <v>31230</v>
      </c>
      <c r="J1107" s="1115" t="s">
        <v>1581</v>
      </c>
    </row>
    <row r="1108" customFormat="false" ht="14.1" hidden="false" customHeight="true" outlineLevel="0" collapsed="false">
      <c r="A1108" s="1115" t="n">
        <v>31210</v>
      </c>
      <c r="B1108" s="1115" t="s">
        <v>162</v>
      </c>
      <c r="C1108" s="1115" t="n">
        <v>31210</v>
      </c>
      <c r="D1108" s="1115" t="s">
        <v>2325</v>
      </c>
      <c r="E1108" s="1115" t="s">
        <v>1046</v>
      </c>
      <c r="F1108" s="1115" t="n">
        <v>4200</v>
      </c>
      <c r="G1108" s="1115" t="n">
        <v>31860</v>
      </c>
      <c r="H1108" s="1115" t="s">
        <v>2377</v>
      </c>
      <c r="I1108" s="1115" t="n">
        <v>31240</v>
      </c>
      <c r="J1108" s="1115" t="s">
        <v>1581</v>
      </c>
    </row>
    <row r="1109" customFormat="false" ht="14.1" hidden="false" customHeight="true" outlineLevel="0" collapsed="false">
      <c r="A1109" s="1115" t="n">
        <v>31230</v>
      </c>
      <c r="B1109" s="1115" t="s">
        <v>162</v>
      </c>
      <c r="C1109" s="1115" t="n">
        <v>31230</v>
      </c>
      <c r="D1109" s="1115" t="s">
        <v>2326</v>
      </c>
      <c r="E1109" s="1115" t="s">
        <v>1046</v>
      </c>
      <c r="F1109" s="1115" t="n">
        <v>4220</v>
      </c>
      <c r="G1109" s="1115" t="n">
        <v>31900</v>
      </c>
      <c r="H1109" s="1115" t="s">
        <v>1379</v>
      </c>
      <c r="I1109" s="1115" t="n">
        <v>31250</v>
      </c>
      <c r="J1109" s="1115" t="s">
        <v>1581</v>
      </c>
    </row>
    <row r="1110" customFormat="false" ht="14.1" hidden="false" customHeight="true" outlineLevel="0" collapsed="false">
      <c r="A1110" s="1115" t="n">
        <v>31240</v>
      </c>
      <c r="B1110" s="1115" t="s">
        <v>162</v>
      </c>
      <c r="C1110" s="1115" t="n">
        <v>31240</v>
      </c>
      <c r="D1110" s="1115" t="s">
        <v>2328</v>
      </c>
      <c r="E1110" s="1115" t="s">
        <v>1046</v>
      </c>
      <c r="F1110" s="1115" t="n">
        <v>4230</v>
      </c>
      <c r="G1110" s="1115" t="n">
        <v>31910</v>
      </c>
      <c r="H1110" s="1115" t="s">
        <v>1501</v>
      </c>
      <c r="I1110" s="1115" t="n">
        <v>31300</v>
      </c>
      <c r="J1110" s="1115" t="s">
        <v>1581</v>
      </c>
    </row>
    <row r="1111" customFormat="false" ht="14.1" hidden="false" customHeight="true" outlineLevel="0" collapsed="false">
      <c r="A1111" s="1115" t="n">
        <v>31250</v>
      </c>
      <c r="B1111" s="1115" t="s">
        <v>162</v>
      </c>
      <c r="C1111" s="1115" t="n">
        <v>31250</v>
      </c>
      <c r="D1111" s="1115" t="s">
        <v>2330</v>
      </c>
      <c r="E1111" s="1115" t="s">
        <v>1046</v>
      </c>
      <c r="F1111" s="1115" t="n">
        <v>4260</v>
      </c>
      <c r="G1111" s="1115" t="n">
        <v>31930</v>
      </c>
      <c r="H1111" s="1115" t="s">
        <v>2378</v>
      </c>
      <c r="I1111" s="1115" t="n">
        <v>31310</v>
      </c>
      <c r="J1111" s="1115" t="s">
        <v>1581</v>
      </c>
    </row>
    <row r="1112" customFormat="false" ht="14.1" hidden="false" customHeight="true" outlineLevel="0" collapsed="false">
      <c r="A1112" s="1115" t="n">
        <v>31300</v>
      </c>
      <c r="B1112" s="1115" t="s">
        <v>162</v>
      </c>
      <c r="C1112" s="1115" t="n">
        <v>31300</v>
      </c>
      <c r="D1112" s="1115" t="s">
        <v>1547</v>
      </c>
      <c r="E1112" s="1115" t="s">
        <v>1048</v>
      </c>
      <c r="F1112" s="1115" t="n">
        <v>58200</v>
      </c>
      <c r="G1112" s="1115" t="n">
        <v>31940</v>
      </c>
      <c r="H1112" s="1115" t="s">
        <v>1991</v>
      </c>
      <c r="I1112" s="1115" t="n">
        <v>31320</v>
      </c>
      <c r="J1112" s="1115" t="s">
        <v>1581</v>
      </c>
    </row>
    <row r="1113" customFormat="false" ht="14.1" hidden="false" customHeight="true" outlineLevel="0" collapsed="false">
      <c r="A1113" s="1115" t="n">
        <v>31310</v>
      </c>
      <c r="B1113" s="1115" t="s">
        <v>162</v>
      </c>
      <c r="C1113" s="1115" t="n">
        <v>31310</v>
      </c>
      <c r="D1113" s="1115" t="s">
        <v>2333</v>
      </c>
      <c r="E1113" s="1115" t="s">
        <v>2379</v>
      </c>
      <c r="F1113" s="1115" t="n">
        <v>79660</v>
      </c>
      <c r="G1113" s="1115" t="n">
        <v>31950</v>
      </c>
      <c r="H1113" s="1115" t="s">
        <v>2380</v>
      </c>
      <c r="I1113" s="1115" t="n">
        <v>31330</v>
      </c>
      <c r="J1113" s="1115" t="s">
        <v>1581</v>
      </c>
    </row>
    <row r="1114" customFormat="false" ht="14.1" hidden="false" customHeight="true" outlineLevel="0" collapsed="false">
      <c r="A1114" s="1115" t="n">
        <v>31320</v>
      </c>
      <c r="B1114" s="1115" t="s">
        <v>162</v>
      </c>
      <c r="C1114" s="1115" t="n">
        <v>31320</v>
      </c>
      <c r="D1114" s="1115" t="s">
        <v>2334</v>
      </c>
      <c r="E1114" s="1115" t="s">
        <v>2381</v>
      </c>
      <c r="F1114" s="1115" t="n">
        <v>79650</v>
      </c>
      <c r="G1114" s="1115" t="n">
        <v>31960</v>
      </c>
      <c r="H1114" s="1115" t="s">
        <v>2382</v>
      </c>
      <c r="I1114" s="1115" t="n">
        <v>31340</v>
      </c>
      <c r="J1114" s="1115" t="s">
        <v>1581</v>
      </c>
    </row>
    <row r="1115" customFormat="false" ht="14.1" hidden="false" customHeight="true" outlineLevel="0" collapsed="false">
      <c r="A1115" s="1115" t="n">
        <v>31330</v>
      </c>
      <c r="B1115" s="1115" t="s">
        <v>162</v>
      </c>
      <c r="C1115" s="1115" t="n">
        <v>31330</v>
      </c>
      <c r="D1115" s="1115" t="s">
        <v>2336</v>
      </c>
      <c r="E1115" s="1115" t="s">
        <v>1345</v>
      </c>
      <c r="F1115" s="1115" t="n">
        <v>6530</v>
      </c>
      <c r="G1115" s="1115" t="n">
        <v>31970</v>
      </c>
      <c r="H1115" s="1115" t="s">
        <v>2233</v>
      </c>
      <c r="I1115" s="1115" t="n">
        <v>31350</v>
      </c>
      <c r="J1115" s="1115" t="s">
        <v>1581</v>
      </c>
    </row>
    <row r="1116" customFormat="false" ht="14.1" hidden="false" customHeight="true" outlineLevel="0" collapsed="false">
      <c r="A1116" s="1115" t="n">
        <v>31340</v>
      </c>
      <c r="B1116" s="1115" t="s">
        <v>162</v>
      </c>
      <c r="C1116" s="1115" t="n">
        <v>31340</v>
      </c>
      <c r="D1116" s="1115" t="s">
        <v>2337</v>
      </c>
      <c r="E1116" s="1115" t="s">
        <v>2383</v>
      </c>
      <c r="F1116" s="1115" t="n">
        <v>77930</v>
      </c>
      <c r="G1116" s="1115" t="n">
        <v>32100</v>
      </c>
      <c r="H1116" s="1115" t="s">
        <v>1645</v>
      </c>
      <c r="I1116" s="1115" t="n">
        <v>31360</v>
      </c>
      <c r="J1116" s="1115" t="s">
        <v>1581</v>
      </c>
    </row>
    <row r="1117" customFormat="false" ht="14.1" hidden="false" customHeight="true" outlineLevel="0" collapsed="false">
      <c r="A1117" s="1115" t="n">
        <v>31350</v>
      </c>
      <c r="B1117" s="1115" t="s">
        <v>162</v>
      </c>
      <c r="C1117" s="1115" t="n">
        <v>31350</v>
      </c>
      <c r="D1117" s="1115" t="s">
        <v>2339</v>
      </c>
      <c r="E1117" s="1115" t="s">
        <v>2384</v>
      </c>
      <c r="F1117" s="1115" t="n">
        <v>79910</v>
      </c>
      <c r="G1117" s="1115" t="n">
        <v>32110</v>
      </c>
      <c r="H1117" s="1115" t="s">
        <v>2385</v>
      </c>
      <c r="I1117" s="1115" t="n">
        <v>31400</v>
      </c>
      <c r="J1117" s="1115" t="s">
        <v>1581</v>
      </c>
    </row>
    <row r="1118" customFormat="false" ht="14.1" hidden="false" customHeight="true" outlineLevel="0" collapsed="false">
      <c r="A1118" s="1115" t="n">
        <v>31360</v>
      </c>
      <c r="B1118" s="1115" t="s">
        <v>162</v>
      </c>
      <c r="C1118" s="1115" t="n">
        <v>31360</v>
      </c>
      <c r="D1118" s="1115" t="s">
        <v>1755</v>
      </c>
      <c r="E1118" s="1115" t="s">
        <v>2386</v>
      </c>
      <c r="F1118" s="1115" t="n">
        <v>92510</v>
      </c>
      <c r="G1118" s="1115" t="n">
        <v>32140</v>
      </c>
      <c r="H1118" s="1115" t="s">
        <v>1645</v>
      </c>
      <c r="I1118" s="1115" t="n">
        <v>31410</v>
      </c>
      <c r="J1118" s="1115" t="s">
        <v>1581</v>
      </c>
    </row>
    <row r="1119" customFormat="false" ht="14.1" hidden="false" customHeight="true" outlineLevel="0" collapsed="false">
      <c r="A1119" s="1115" t="n">
        <v>31400</v>
      </c>
      <c r="B1119" s="1115" t="s">
        <v>162</v>
      </c>
      <c r="C1119" s="1115" t="n">
        <v>31400</v>
      </c>
      <c r="D1119" s="1115" t="s">
        <v>1507</v>
      </c>
      <c r="E1119" s="1115" t="s">
        <v>2387</v>
      </c>
      <c r="F1119" s="1115" t="n">
        <v>40220</v>
      </c>
      <c r="G1119" s="1115" t="n">
        <v>32200</v>
      </c>
      <c r="H1119" s="1115" t="s">
        <v>1187</v>
      </c>
      <c r="I1119" s="1115" t="n">
        <v>31430</v>
      </c>
      <c r="J1119" s="1115" t="s">
        <v>1581</v>
      </c>
    </row>
    <row r="1120" customFormat="false" ht="14.1" hidden="false" customHeight="true" outlineLevel="0" collapsed="false">
      <c r="A1120" s="1115" t="n">
        <v>31410</v>
      </c>
      <c r="B1120" s="1115" t="s">
        <v>162</v>
      </c>
      <c r="C1120" s="1115" t="n">
        <v>31410</v>
      </c>
      <c r="D1120" s="1115" t="s">
        <v>2342</v>
      </c>
      <c r="E1120" s="1115" t="s">
        <v>2388</v>
      </c>
      <c r="F1120" s="1115" t="n">
        <v>97830</v>
      </c>
      <c r="G1120" s="1115" t="n">
        <v>32210</v>
      </c>
      <c r="H1120" s="1115" t="s">
        <v>1187</v>
      </c>
      <c r="I1120" s="1115" t="n">
        <v>31460</v>
      </c>
      <c r="J1120" s="1115" t="s">
        <v>1581</v>
      </c>
    </row>
    <row r="1121" customFormat="false" ht="14.1" hidden="false" customHeight="true" outlineLevel="0" collapsed="false">
      <c r="A1121" s="1115" t="n">
        <v>31430</v>
      </c>
      <c r="B1121" s="1115" t="s">
        <v>162</v>
      </c>
      <c r="C1121" s="1115" t="n">
        <v>31430</v>
      </c>
      <c r="D1121" s="1115" t="s">
        <v>2344</v>
      </c>
      <c r="E1121" s="1115" t="s">
        <v>2389</v>
      </c>
      <c r="F1121" s="1115" t="n">
        <v>82120</v>
      </c>
      <c r="G1121" s="1115" t="n">
        <v>32220</v>
      </c>
      <c r="H1121" s="1115" t="s">
        <v>2270</v>
      </c>
      <c r="I1121" s="1115" t="n">
        <v>31470</v>
      </c>
      <c r="J1121" s="1115" t="s">
        <v>1581</v>
      </c>
    </row>
    <row r="1122" customFormat="false" ht="14.1" hidden="false" customHeight="true" outlineLevel="0" collapsed="false">
      <c r="A1122" s="1115" t="n">
        <v>31460</v>
      </c>
      <c r="B1122" s="1115" t="s">
        <v>162</v>
      </c>
      <c r="C1122" s="1115" t="n">
        <v>31460</v>
      </c>
      <c r="D1122" s="1115" t="s">
        <v>1713</v>
      </c>
      <c r="E1122" s="1115" t="s">
        <v>2390</v>
      </c>
      <c r="F1122" s="1115" t="n">
        <v>91230</v>
      </c>
      <c r="G1122" s="1115" t="n">
        <v>32240</v>
      </c>
      <c r="H1122" s="1115" t="s">
        <v>1315</v>
      </c>
      <c r="I1122" s="1115" t="n">
        <v>31480</v>
      </c>
      <c r="J1122" s="1115" t="s">
        <v>1581</v>
      </c>
    </row>
    <row r="1123" customFormat="false" ht="14.1" hidden="false" customHeight="true" outlineLevel="0" collapsed="false">
      <c r="A1123" s="1115" t="n">
        <v>31470</v>
      </c>
      <c r="B1123" s="1115" t="s">
        <v>162</v>
      </c>
      <c r="C1123" s="1115" t="n">
        <v>31470</v>
      </c>
      <c r="D1123" s="1115" t="s">
        <v>2346</v>
      </c>
      <c r="E1123" s="1115" t="s">
        <v>2291</v>
      </c>
      <c r="F1123" s="1115" t="n">
        <v>29870</v>
      </c>
      <c r="G1123" s="1115" t="n">
        <v>32250</v>
      </c>
      <c r="H1123" s="1115" t="s">
        <v>2391</v>
      </c>
      <c r="I1123" s="1115" t="n">
        <v>31490</v>
      </c>
      <c r="J1123" s="1115" t="s">
        <v>1581</v>
      </c>
    </row>
    <row r="1124" customFormat="false" ht="14.1" hidden="false" customHeight="true" outlineLevel="0" collapsed="false">
      <c r="A1124" s="1115" t="n">
        <v>31480</v>
      </c>
      <c r="B1124" s="1115" t="s">
        <v>162</v>
      </c>
      <c r="C1124" s="1115" t="n">
        <v>31480</v>
      </c>
      <c r="D1124" s="1115" t="s">
        <v>2299</v>
      </c>
      <c r="E1124" s="1115" t="s">
        <v>2392</v>
      </c>
      <c r="F1124" s="1115" t="n">
        <v>66360</v>
      </c>
      <c r="G1124" s="1115" t="n">
        <v>32260</v>
      </c>
      <c r="H1124" s="1115" t="s">
        <v>2393</v>
      </c>
      <c r="I1124" s="1115" t="n">
        <v>31500</v>
      </c>
      <c r="J1124" s="1115" t="s">
        <v>1773</v>
      </c>
    </row>
    <row r="1125" customFormat="false" ht="14.1" hidden="false" customHeight="true" outlineLevel="0" collapsed="false">
      <c r="A1125" s="1115" t="n">
        <v>31490</v>
      </c>
      <c r="B1125" s="1115" t="s">
        <v>162</v>
      </c>
      <c r="C1125" s="1115" t="n">
        <v>31490</v>
      </c>
      <c r="D1125" s="1115" t="s">
        <v>2348</v>
      </c>
      <c r="E1125" s="1115" t="s">
        <v>1050</v>
      </c>
      <c r="F1125" s="1115" t="n">
        <v>92700</v>
      </c>
      <c r="G1125" s="1115" t="n">
        <v>32270</v>
      </c>
      <c r="H1125" s="1115" t="s">
        <v>2394</v>
      </c>
      <c r="I1125" s="1115" t="n">
        <v>31510</v>
      </c>
      <c r="J1125" s="1115" t="s">
        <v>1773</v>
      </c>
    </row>
    <row r="1126" customFormat="false" ht="14.1" hidden="false" customHeight="true" outlineLevel="0" collapsed="false">
      <c r="A1126" s="1115" t="n">
        <v>31500</v>
      </c>
      <c r="B1126" s="1115" t="s">
        <v>162</v>
      </c>
      <c r="C1126" s="1115" t="n">
        <v>31500</v>
      </c>
      <c r="D1126" s="1115" t="s">
        <v>1773</v>
      </c>
      <c r="E1126" s="1115" t="s">
        <v>2395</v>
      </c>
      <c r="F1126" s="1115" t="n">
        <v>59420</v>
      </c>
      <c r="G1126" s="1115" t="n">
        <v>32300</v>
      </c>
      <c r="H1126" s="1115" t="s">
        <v>1224</v>
      </c>
      <c r="I1126" s="1115" t="n">
        <v>31520</v>
      </c>
      <c r="J1126" s="1115" t="s">
        <v>1773</v>
      </c>
    </row>
    <row r="1127" customFormat="false" ht="14.1" hidden="false" customHeight="true" outlineLevel="0" collapsed="false">
      <c r="A1127" s="1115" t="n">
        <v>31510</v>
      </c>
      <c r="B1127" s="1115" t="s">
        <v>162</v>
      </c>
      <c r="C1127" s="1115" t="n">
        <v>31510</v>
      </c>
      <c r="D1127" s="1115" t="s">
        <v>2351</v>
      </c>
      <c r="E1127" s="1115" t="s">
        <v>1053</v>
      </c>
      <c r="F1127" s="1115" t="n">
        <v>59800</v>
      </c>
      <c r="G1127" s="1115" t="n">
        <v>32320</v>
      </c>
      <c r="H1127" s="1115" t="s">
        <v>1844</v>
      </c>
      <c r="I1127" s="1115" t="n">
        <v>31530</v>
      </c>
      <c r="J1127" s="1115" t="s">
        <v>1773</v>
      </c>
    </row>
    <row r="1128" customFormat="false" ht="14.1" hidden="false" customHeight="true" outlineLevel="0" collapsed="false">
      <c r="A1128" s="1115" t="n">
        <v>31520</v>
      </c>
      <c r="B1128" s="1115" t="s">
        <v>162</v>
      </c>
      <c r="C1128" s="1115" t="n">
        <v>31520</v>
      </c>
      <c r="D1128" s="1115" t="s">
        <v>2353</v>
      </c>
      <c r="E1128" s="1115" t="s">
        <v>2396</v>
      </c>
      <c r="F1128" s="1115" t="n">
        <v>91420</v>
      </c>
      <c r="G1128" s="1115" t="n">
        <v>32410</v>
      </c>
      <c r="H1128" s="1115" t="s">
        <v>2397</v>
      </c>
      <c r="I1128" s="1115" t="n">
        <v>31540</v>
      </c>
      <c r="J1128" s="1115" t="s">
        <v>1773</v>
      </c>
    </row>
    <row r="1129" customFormat="false" ht="14.1" hidden="false" customHeight="true" outlineLevel="0" collapsed="false">
      <c r="A1129" s="1115" t="n">
        <v>31530</v>
      </c>
      <c r="B1129" s="1115" t="s">
        <v>162</v>
      </c>
      <c r="C1129" s="1115" t="n">
        <v>31530</v>
      </c>
      <c r="D1129" s="1115" t="s">
        <v>2354</v>
      </c>
      <c r="E1129" s="1115" t="s">
        <v>2106</v>
      </c>
      <c r="F1129" s="1115" t="n">
        <v>25430</v>
      </c>
      <c r="G1129" s="1115" t="n">
        <v>32420</v>
      </c>
      <c r="H1129" s="1115" t="s">
        <v>1302</v>
      </c>
      <c r="I1129" s="1115" t="n">
        <v>31560</v>
      </c>
      <c r="J1129" s="1115" t="s">
        <v>1773</v>
      </c>
    </row>
    <row r="1130" customFormat="false" ht="14.1" hidden="false" customHeight="true" outlineLevel="0" collapsed="false">
      <c r="A1130" s="1115" t="n">
        <v>31540</v>
      </c>
      <c r="B1130" s="1115" t="s">
        <v>162</v>
      </c>
      <c r="C1130" s="1115" t="n">
        <v>31540</v>
      </c>
      <c r="D1130" s="1115" t="s">
        <v>2356</v>
      </c>
      <c r="E1130" s="1115" t="s">
        <v>2398</v>
      </c>
      <c r="F1130" s="1115" t="n">
        <v>42760</v>
      </c>
      <c r="G1130" s="1115" t="n">
        <v>32430</v>
      </c>
      <c r="H1130" s="1115" t="s">
        <v>2399</v>
      </c>
      <c r="I1130" s="1115" t="n">
        <v>31570</v>
      </c>
      <c r="J1130" s="1115" t="s">
        <v>1773</v>
      </c>
    </row>
    <row r="1131" customFormat="false" ht="14.1" hidden="false" customHeight="true" outlineLevel="0" collapsed="false">
      <c r="A1131" s="1115" t="n">
        <v>31560</v>
      </c>
      <c r="B1131" s="1115" t="s">
        <v>162</v>
      </c>
      <c r="C1131" s="1115" t="n">
        <v>31560</v>
      </c>
      <c r="D1131" s="1115" t="s">
        <v>2321</v>
      </c>
      <c r="E1131" s="1115" t="s">
        <v>1055</v>
      </c>
      <c r="F1131" s="1115" t="n">
        <v>42700</v>
      </c>
      <c r="G1131" s="1115" t="n">
        <v>32440</v>
      </c>
      <c r="H1131" s="1115" t="s">
        <v>717</v>
      </c>
      <c r="I1131" s="1115" t="n">
        <v>31580</v>
      </c>
      <c r="J1131" s="1115" t="s">
        <v>1773</v>
      </c>
    </row>
    <row r="1132" customFormat="false" ht="14.1" hidden="false" customHeight="true" outlineLevel="0" collapsed="false">
      <c r="A1132" s="1115" t="n">
        <v>31570</v>
      </c>
      <c r="B1132" s="1115" t="s">
        <v>162</v>
      </c>
      <c r="C1132" s="1115" t="n">
        <v>31570</v>
      </c>
      <c r="D1132" s="1115" t="s">
        <v>2358</v>
      </c>
      <c r="E1132" s="1115" t="s">
        <v>1055</v>
      </c>
      <c r="F1132" s="1115" t="n">
        <v>42700</v>
      </c>
      <c r="G1132" s="1115" t="n">
        <v>32450</v>
      </c>
      <c r="H1132" s="1115" t="s">
        <v>2400</v>
      </c>
      <c r="I1132" s="1115" t="n">
        <v>31600</v>
      </c>
      <c r="J1132" s="1115" t="s">
        <v>906</v>
      </c>
    </row>
    <row r="1133" customFormat="false" ht="14.1" hidden="false" customHeight="true" outlineLevel="0" collapsed="false">
      <c r="A1133" s="1115" t="n">
        <v>31580</v>
      </c>
      <c r="B1133" s="1115" t="s">
        <v>162</v>
      </c>
      <c r="C1133" s="1115" t="n">
        <v>31580</v>
      </c>
      <c r="D1133" s="1115" t="s">
        <v>2360</v>
      </c>
      <c r="E1133" s="1115" t="s">
        <v>1055</v>
      </c>
      <c r="F1133" s="1115" t="n">
        <v>42720</v>
      </c>
      <c r="G1133" s="1115" t="n">
        <v>32460</v>
      </c>
      <c r="H1133" s="1115" t="s">
        <v>1669</v>
      </c>
      <c r="I1133" s="1115" t="n">
        <v>31610</v>
      </c>
      <c r="J1133" s="1115" t="s">
        <v>906</v>
      </c>
    </row>
    <row r="1134" customFormat="false" ht="14.1" hidden="false" customHeight="true" outlineLevel="0" collapsed="false">
      <c r="A1134" s="1115" t="n">
        <v>31600</v>
      </c>
      <c r="B1134" s="1115" t="s">
        <v>162</v>
      </c>
      <c r="C1134" s="1115" t="n">
        <v>31600</v>
      </c>
      <c r="D1134" s="1115" t="s">
        <v>906</v>
      </c>
      <c r="E1134" s="1115" t="s">
        <v>2401</v>
      </c>
      <c r="F1134" s="1115" t="n">
        <v>89740</v>
      </c>
      <c r="G1134" s="1115" t="n">
        <v>32500</v>
      </c>
      <c r="H1134" s="1115" t="s">
        <v>1297</v>
      </c>
      <c r="I1134" s="1115" t="n">
        <v>31620</v>
      </c>
      <c r="J1134" s="1115" t="s">
        <v>906</v>
      </c>
    </row>
    <row r="1135" customFormat="false" ht="14.1" hidden="false" customHeight="true" outlineLevel="0" collapsed="false">
      <c r="A1135" s="1115" t="n">
        <v>31610</v>
      </c>
      <c r="B1135" s="1115" t="s">
        <v>162</v>
      </c>
      <c r="C1135" s="1115" t="n">
        <v>31610</v>
      </c>
      <c r="D1135" s="1115" t="s">
        <v>2363</v>
      </c>
      <c r="E1135" s="1115" t="s">
        <v>2402</v>
      </c>
      <c r="F1135" s="1115" t="n">
        <v>97390</v>
      </c>
      <c r="G1135" s="1115" t="n">
        <v>32550</v>
      </c>
      <c r="H1135" s="1115" t="s">
        <v>2403</v>
      </c>
      <c r="I1135" s="1115" t="n">
        <v>31630</v>
      </c>
      <c r="J1135" s="1115" t="s">
        <v>906</v>
      </c>
    </row>
    <row r="1136" customFormat="false" ht="14.1" hidden="false" customHeight="true" outlineLevel="0" collapsed="false">
      <c r="A1136" s="1115" t="n">
        <v>31620</v>
      </c>
      <c r="B1136" s="1115" t="s">
        <v>162</v>
      </c>
      <c r="C1136" s="1115" t="n">
        <v>31620</v>
      </c>
      <c r="D1136" s="1115" t="s">
        <v>2365</v>
      </c>
      <c r="E1136" s="1115" t="s">
        <v>2404</v>
      </c>
      <c r="F1136" s="1115" t="n">
        <v>95950</v>
      </c>
      <c r="G1136" s="1115" t="n">
        <v>32560</v>
      </c>
      <c r="H1136" s="1115" t="s">
        <v>2405</v>
      </c>
      <c r="I1136" s="1115" t="n">
        <v>31640</v>
      </c>
      <c r="J1136" s="1115" t="s">
        <v>861</v>
      </c>
    </row>
    <row r="1137" customFormat="false" ht="14.1" hidden="false" customHeight="true" outlineLevel="0" collapsed="false">
      <c r="A1137" s="1115" t="n">
        <v>31630</v>
      </c>
      <c r="B1137" s="1115" t="s">
        <v>162</v>
      </c>
      <c r="C1137" s="1115" t="n">
        <v>31630</v>
      </c>
      <c r="D1137" s="1115" t="s">
        <v>2366</v>
      </c>
      <c r="E1137" s="1115" t="s">
        <v>1058</v>
      </c>
      <c r="F1137" s="1115" t="n">
        <v>39820</v>
      </c>
      <c r="G1137" s="1115" t="n">
        <v>32570</v>
      </c>
      <c r="H1137" s="1115" t="s">
        <v>2406</v>
      </c>
      <c r="I1137" s="1115" t="n">
        <v>31650</v>
      </c>
      <c r="J1137" s="1115" t="s">
        <v>861</v>
      </c>
    </row>
    <row r="1138" customFormat="false" ht="14.1" hidden="false" customHeight="true" outlineLevel="0" collapsed="false">
      <c r="A1138" s="1115" t="n">
        <v>31640</v>
      </c>
      <c r="B1138" s="1115" t="s">
        <v>162</v>
      </c>
      <c r="C1138" s="1115" t="n">
        <v>31640</v>
      </c>
      <c r="D1138" s="1115" t="s">
        <v>861</v>
      </c>
      <c r="E1138" s="1115" t="s">
        <v>1058</v>
      </c>
      <c r="F1138" s="1115" t="n">
        <v>39880</v>
      </c>
      <c r="G1138" s="1115" t="n">
        <v>32610</v>
      </c>
      <c r="H1138" s="1115" t="s">
        <v>1598</v>
      </c>
      <c r="I1138" s="1115" t="n">
        <v>31660</v>
      </c>
      <c r="J1138" s="1115" t="s">
        <v>1187</v>
      </c>
    </row>
    <row r="1139" customFormat="false" ht="14.1" hidden="false" customHeight="true" outlineLevel="0" collapsed="false">
      <c r="A1139" s="1115" t="n">
        <v>31650</v>
      </c>
      <c r="B1139" s="1115" t="s">
        <v>162</v>
      </c>
      <c r="C1139" s="1115" t="n">
        <v>31650</v>
      </c>
      <c r="D1139" s="1115" t="s">
        <v>2367</v>
      </c>
      <c r="E1139" s="1115" t="s">
        <v>2407</v>
      </c>
      <c r="F1139" s="1115" t="n">
        <v>82140</v>
      </c>
      <c r="G1139" s="1115" t="n">
        <v>32620</v>
      </c>
      <c r="H1139" s="1115" t="s">
        <v>2408</v>
      </c>
      <c r="I1139" s="1115" t="n">
        <v>31700</v>
      </c>
      <c r="J1139" s="1115" t="s">
        <v>1187</v>
      </c>
    </row>
    <row r="1140" customFormat="false" ht="14.1" hidden="false" customHeight="true" outlineLevel="0" collapsed="false">
      <c r="A1140" s="1115" t="n">
        <v>31660</v>
      </c>
      <c r="B1140" s="1115" t="s">
        <v>162</v>
      </c>
      <c r="C1140" s="1115" t="n">
        <v>31660</v>
      </c>
      <c r="D1140" s="1115" t="s">
        <v>2368</v>
      </c>
      <c r="E1140" s="1115" t="s">
        <v>1062</v>
      </c>
      <c r="F1140" s="1115" t="n">
        <v>25390</v>
      </c>
      <c r="G1140" s="1115" t="n">
        <v>32650</v>
      </c>
      <c r="H1140" s="1115" t="s">
        <v>2409</v>
      </c>
      <c r="I1140" s="1115" t="n">
        <v>31720</v>
      </c>
      <c r="J1140" s="1115" t="s">
        <v>1187</v>
      </c>
    </row>
    <row r="1141" customFormat="false" ht="14.1" hidden="false" customHeight="true" outlineLevel="0" collapsed="false">
      <c r="A1141" s="1115" t="n">
        <v>31700</v>
      </c>
      <c r="B1141" s="1115" t="s">
        <v>162</v>
      </c>
      <c r="C1141" s="1115" t="n">
        <v>31700</v>
      </c>
      <c r="D1141" s="1115" t="s">
        <v>1581</v>
      </c>
      <c r="E1141" s="1115" t="s">
        <v>2410</v>
      </c>
      <c r="F1141" s="1115" t="n">
        <v>38300</v>
      </c>
      <c r="G1141" s="1115" t="n">
        <v>32700</v>
      </c>
      <c r="H1141" s="1115" t="s">
        <v>859</v>
      </c>
      <c r="I1141" s="1115" t="n">
        <v>31730</v>
      </c>
      <c r="J1141" s="1115" t="s">
        <v>1187</v>
      </c>
    </row>
    <row r="1142" customFormat="false" ht="14.1" hidden="false" customHeight="true" outlineLevel="0" collapsed="false">
      <c r="A1142" s="1115" t="n">
        <v>31720</v>
      </c>
      <c r="B1142" s="1115" t="s">
        <v>162</v>
      </c>
      <c r="C1142" s="1115" t="n">
        <v>31720</v>
      </c>
      <c r="D1142" s="1115" t="s">
        <v>2369</v>
      </c>
      <c r="E1142" s="1115" t="s">
        <v>2130</v>
      </c>
      <c r="F1142" s="1115" t="n">
        <v>25760</v>
      </c>
      <c r="G1142" s="1115" t="n">
        <v>32710</v>
      </c>
      <c r="H1142" s="1115" t="s">
        <v>2411</v>
      </c>
      <c r="I1142" s="1115" t="n">
        <v>31740</v>
      </c>
      <c r="J1142" s="1115" t="s">
        <v>1187</v>
      </c>
    </row>
    <row r="1143" customFormat="false" ht="14.1" hidden="false" customHeight="true" outlineLevel="0" collapsed="false">
      <c r="A1143" s="1115" t="n">
        <v>31730</v>
      </c>
      <c r="B1143" s="1115" t="s">
        <v>162</v>
      </c>
      <c r="C1143" s="1115" t="n">
        <v>31730</v>
      </c>
      <c r="D1143" s="1115" t="s">
        <v>1767</v>
      </c>
      <c r="E1143" s="1115" t="s">
        <v>2412</v>
      </c>
      <c r="F1143" s="1115" t="n">
        <v>38320</v>
      </c>
      <c r="G1143" s="1115" t="n">
        <v>32730</v>
      </c>
      <c r="H1143" s="1115" t="s">
        <v>2343</v>
      </c>
      <c r="I1143" s="1115" t="n">
        <v>31750</v>
      </c>
      <c r="J1143" s="1115" t="s">
        <v>1187</v>
      </c>
    </row>
    <row r="1144" customFormat="false" ht="14.1" hidden="false" customHeight="true" outlineLevel="0" collapsed="false">
      <c r="A1144" s="1115" t="n">
        <v>31740</v>
      </c>
      <c r="B1144" s="1115" t="s">
        <v>162</v>
      </c>
      <c r="C1144" s="1115" t="n">
        <v>31740</v>
      </c>
      <c r="D1144" s="1115" t="s">
        <v>2370</v>
      </c>
      <c r="E1144" s="1115" t="s">
        <v>1068</v>
      </c>
      <c r="F1144" s="1115" t="n">
        <v>90900</v>
      </c>
      <c r="G1144" s="1115" t="n">
        <v>32740</v>
      </c>
      <c r="H1144" s="1115" t="s">
        <v>1647</v>
      </c>
      <c r="I1144" s="1115" t="n">
        <v>31760</v>
      </c>
      <c r="J1144" s="1115" t="s">
        <v>1187</v>
      </c>
    </row>
    <row r="1145" customFormat="false" ht="14.1" hidden="false" customHeight="true" outlineLevel="0" collapsed="false">
      <c r="A1145" s="1115" t="n">
        <v>31750</v>
      </c>
      <c r="B1145" s="1115" t="s">
        <v>162</v>
      </c>
      <c r="C1145" s="1115" t="n">
        <v>31750</v>
      </c>
      <c r="D1145" s="1115" t="s">
        <v>2340</v>
      </c>
      <c r="E1145" s="1115" t="s">
        <v>2413</v>
      </c>
      <c r="F1145" s="1115" t="n">
        <v>85470</v>
      </c>
      <c r="G1145" s="1115" t="n">
        <v>32760</v>
      </c>
      <c r="H1145" s="1115" t="s">
        <v>2414</v>
      </c>
      <c r="I1145" s="1115" t="n">
        <v>31780</v>
      </c>
      <c r="J1145" s="1115" t="s">
        <v>1187</v>
      </c>
    </row>
    <row r="1146" customFormat="false" ht="14.1" hidden="false" customHeight="true" outlineLevel="0" collapsed="false">
      <c r="A1146" s="1115" t="n">
        <v>31760</v>
      </c>
      <c r="B1146" s="1115" t="s">
        <v>162</v>
      </c>
      <c r="C1146" s="1115" t="n">
        <v>31760</v>
      </c>
      <c r="D1146" s="1115" t="s">
        <v>1581</v>
      </c>
      <c r="E1146" s="1115" t="s">
        <v>2415</v>
      </c>
      <c r="F1146" s="1115" t="n">
        <v>99250</v>
      </c>
      <c r="G1146" s="1115" t="n">
        <v>32770</v>
      </c>
      <c r="H1146" s="1115" t="s">
        <v>1788</v>
      </c>
      <c r="I1146" s="1115" t="n">
        <v>31790</v>
      </c>
      <c r="J1146" s="1115" t="s">
        <v>1187</v>
      </c>
    </row>
    <row r="1147" customFormat="false" ht="14.1" hidden="false" customHeight="true" outlineLevel="0" collapsed="false">
      <c r="A1147" s="1115" t="n">
        <v>31780</v>
      </c>
      <c r="B1147" s="1115" t="s">
        <v>162</v>
      </c>
      <c r="C1147" s="1115" t="n">
        <v>31780</v>
      </c>
      <c r="D1147" s="1115" t="s">
        <v>2371</v>
      </c>
      <c r="E1147" s="1115" t="s">
        <v>2416</v>
      </c>
      <c r="F1147" s="1115" t="n">
        <v>93970</v>
      </c>
      <c r="G1147" s="1115" t="n">
        <v>32770</v>
      </c>
      <c r="H1147" s="1115" t="s">
        <v>1788</v>
      </c>
      <c r="I1147" s="1115" t="n">
        <v>31810</v>
      </c>
      <c r="J1147" s="1115" t="s">
        <v>1379</v>
      </c>
    </row>
    <row r="1148" customFormat="false" ht="14.1" hidden="false" customHeight="true" outlineLevel="0" collapsed="false">
      <c r="A1148" s="1115" t="n">
        <v>31790</v>
      </c>
      <c r="B1148" s="1115" t="s">
        <v>162</v>
      </c>
      <c r="C1148" s="1115" t="n">
        <v>31790</v>
      </c>
      <c r="D1148" s="1115" t="s">
        <v>2372</v>
      </c>
      <c r="E1148" s="1115" t="s">
        <v>1295</v>
      </c>
      <c r="F1148" s="1115" t="n">
        <v>5250</v>
      </c>
      <c r="G1148" s="1115" t="n">
        <v>32800</v>
      </c>
      <c r="H1148" s="1115" t="s">
        <v>1092</v>
      </c>
      <c r="I1148" s="1115" t="n">
        <v>31820</v>
      </c>
      <c r="J1148" s="1115" t="s">
        <v>1379</v>
      </c>
    </row>
    <row r="1149" customFormat="false" ht="14.1" hidden="false" customHeight="true" outlineLevel="0" collapsed="false">
      <c r="A1149" s="1115" t="n">
        <v>31810</v>
      </c>
      <c r="B1149" s="1115" t="s">
        <v>162</v>
      </c>
      <c r="C1149" s="1115" t="n">
        <v>31810</v>
      </c>
      <c r="D1149" s="1115" t="s">
        <v>2373</v>
      </c>
      <c r="E1149" s="1115" t="s">
        <v>1958</v>
      </c>
      <c r="F1149" s="1115" t="n">
        <v>21440</v>
      </c>
      <c r="G1149" s="1115" t="n">
        <v>32810</v>
      </c>
      <c r="H1149" s="1115" t="s">
        <v>2417</v>
      </c>
      <c r="I1149" s="1115" t="n">
        <v>31830</v>
      </c>
      <c r="J1149" s="1115" t="s">
        <v>1379</v>
      </c>
    </row>
    <row r="1150" customFormat="false" ht="14.1" hidden="false" customHeight="true" outlineLevel="0" collapsed="false">
      <c r="A1150" s="1115" t="n">
        <v>31820</v>
      </c>
      <c r="B1150" s="1115" t="s">
        <v>162</v>
      </c>
      <c r="C1150" s="1115" t="n">
        <v>31820</v>
      </c>
      <c r="D1150" s="1115" t="s">
        <v>2375</v>
      </c>
      <c r="E1150" s="1115" t="s">
        <v>2250</v>
      </c>
      <c r="F1150" s="1115" t="n">
        <v>29220</v>
      </c>
      <c r="G1150" s="1115" t="n">
        <v>32830</v>
      </c>
      <c r="H1150" s="1115" t="s">
        <v>2418</v>
      </c>
      <c r="I1150" s="1115" t="n">
        <v>31830</v>
      </c>
      <c r="J1150" s="1115" t="s">
        <v>1379</v>
      </c>
    </row>
    <row r="1151" customFormat="false" ht="14.1" hidden="false" customHeight="true" outlineLevel="0" collapsed="false">
      <c r="A1151" s="1115" t="n">
        <v>31830</v>
      </c>
      <c r="B1151" s="1115" t="s">
        <v>162</v>
      </c>
      <c r="C1151" s="1115" t="n">
        <v>31830</v>
      </c>
      <c r="D1151" s="1115" t="s">
        <v>1329</v>
      </c>
      <c r="E1151" s="1115" t="s">
        <v>2419</v>
      </c>
      <c r="F1151" s="1115" t="n">
        <v>34980</v>
      </c>
      <c r="G1151" s="1115" t="n">
        <v>32840</v>
      </c>
      <c r="H1151" s="1115" t="s">
        <v>2420</v>
      </c>
      <c r="I1151" s="1115" t="n">
        <v>31850</v>
      </c>
      <c r="J1151" s="1115" t="s">
        <v>1379</v>
      </c>
    </row>
    <row r="1152" customFormat="false" ht="14.1" hidden="false" customHeight="true" outlineLevel="0" collapsed="false">
      <c r="A1152" s="1115" t="n">
        <v>31830</v>
      </c>
      <c r="B1152" s="1115" t="s">
        <v>162</v>
      </c>
      <c r="C1152" s="1115" t="n">
        <v>31830</v>
      </c>
      <c r="D1152" s="1115" t="s">
        <v>1329</v>
      </c>
      <c r="E1152" s="1115" t="s">
        <v>2421</v>
      </c>
      <c r="F1152" s="1115" t="n">
        <v>99490</v>
      </c>
      <c r="G1152" s="1115" t="n">
        <v>32860</v>
      </c>
      <c r="H1152" s="1115" t="s">
        <v>2422</v>
      </c>
      <c r="I1152" s="1115" t="n">
        <v>31860</v>
      </c>
      <c r="J1152" s="1115" t="s">
        <v>1379</v>
      </c>
    </row>
    <row r="1153" customFormat="false" ht="14.1" hidden="false" customHeight="true" outlineLevel="0" collapsed="false">
      <c r="A1153" s="1115" t="n">
        <v>31850</v>
      </c>
      <c r="B1153" s="1115" t="s">
        <v>162</v>
      </c>
      <c r="C1153" s="1115" t="n">
        <v>31850</v>
      </c>
      <c r="D1153" s="1115" t="s">
        <v>2376</v>
      </c>
      <c r="E1153" s="1115" t="s">
        <v>2423</v>
      </c>
      <c r="F1153" s="1115" t="n">
        <v>86350</v>
      </c>
      <c r="G1153" s="1115" t="n">
        <v>32910</v>
      </c>
      <c r="H1153" s="1115" t="s">
        <v>2338</v>
      </c>
      <c r="I1153" s="1115" t="n">
        <v>31860</v>
      </c>
      <c r="J1153" s="1115" t="s">
        <v>1379</v>
      </c>
    </row>
    <row r="1154" customFormat="false" ht="14.1" hidden="false" customHeight="true" outlineLevel="0" collapsed="false">
      <c r="A1154" s="1115" t="n">
        <v>31860</v>
      </c>
      <c r="B1154" s="1115" t="s">
        <v>162</v>
      </c>
      <c r="C1154" s="1115" t="n">
        <v>31860</v>
      </c>
      <c r="D1154" s="1115" t="s">
        <v>2377</v>
      </c>
      <c r="E1154" s="1115" t="s">
        <v>2424</v>
      </c>
      <c r="F1154" s="1115" t="n">
        <v>39530</v>
      </c>
      <c r="G1154" s="1115" t="n">
        <v>32920</v>
      </c>
      <c r="H1154" s="1115" t="s">
        <v>2338</v>
      </c>
      <c r="I1154" s="1115" t="n">
        <v>31900</v>
      </c>
      <c r="J1154" s="1115" t="s">
        <v>1379</v>
      </c>
    </row>
    <row r="1155" customFormat="false" ht="14.1" hidden="false" customHeight="true" outlineLevel="0" collapsed="false">
      <c r="A1155" s="1115" t="n">
        <v>31860</v>
      </c>
      <c r="B1155" s="1115" t="s">
        <v>162</v>
      </c>
      <c r="C1155" s="1115" t="n">
        <v>31860</v>
      </c>
      <c r="D1155" s="1115" t="s">
        <v>2377</v>
      </c>
      <c r="E1155" s="1115" t="s">
        <v>2425</v>
      </c>
      <c r="F1155" s="1115" t="n">
        <v>44660</v>
      </c>
      <c r="G1155" s="1115" t="n">
        <v>33007</v>
      </c>
      <c r="H1155" s="1115" t="s">
        <v>161</v>
      </c>
      <c r="I1155" s="1115" t="n">
        <v>31910</v>
      </c>
      <c r="J1155" s="1115" t="s">
        <v>1379</v>
      </c>
    </row>
    <row r="1156" customFormat="false" ht="14.1" hidden="false" customHeight="true" outlineLevel="0" collapsed="false">
      <c r="A1156" s="1115" t="n">
        <v>31900</v>
      </c>
      <c r="B1156" s="1115" t="s">
        <v>162</v>
      </c>
      <c r="C1156" s="1115" t="n">
        <v>31900</v>
      </c>
      <c r="D1156" s="1115" t="s">
        <v>1379</v>
      </c>
      <c r="E1156" s="1115" t="s">
        <v>2426</v>
      </c>
      <c r="F1156" s="1115" t="n">
        <v>43520</v>
      </c>
      <c r="G1156" s="1115" t="n">
        <v>33009</v>
      </c>
      <c r="H1156" s="1115" t="s">
        <v>161</v>
      </c>
      <c r="I1156" s="1115" t="n">
        <v>31930</v>
      </c>
      <c r="J1156" s="1115" t="s">
        <v>1379</v>
      </c>
    </row>
    <row r="1157" customFormat="false" ht="14.1" hidden="false" customHeight="true" outlineLevel="0" collapsed="false">
      <c r="A1157" s="1115" t="n">
        <v>31910</v>
      </c>
      <c r="B1157" s="1115" t="s">
        <v>162</v>
      </c>
      <c r="C1157" s="1115" t="n">
        <v>31910</v>
      </c>
      <c r="D1157" s="1115" t="s">
        <v>1501</v>
      </c>
      <c r="E1157" s="1115" t="s">
        <v>2427</v>
      </c>
      <c r="F1157" s="1115" t="n">
        <v>66810</v>
      </c>
      <c r="G1157" s="1115" t="n">
        <v>33100</v>
      </c>
      <c r="H1157" s="1115" t="s">
        <v>161</v>
      </c>
      <c r="I1157" s="1115" t="n">
        <v>31940</v>
      </c>
      <c r="J1157" s="1115" t="s">
        <v>1379</v>
      </c>
    </row>
    <row r="1158" customFormat="false" ht="14.1" hidden="false" customHeight="true" outlineLevel="0" collapsed="false">
      <c r="A1158" s="1115" t="n">
        <v>31930</v>
      </c>
      <c r="B1158" s="1115" t="s">
        <v>162</v>
      </c>
      <c r="C1158" s="1115" t="n">
        <v>31930</v>
      </c>
      <c r="D1158" s="1115" t="s">
        <v>2378</v>
      </c>
      <c r="E1158" s="1115" t="s">
        <v>2428</v>
      </c>
      <c r="F1158" s="1115" t="n">
        <v>47650</v>
      </c>
      <c r="G1158" s="1115" t="n">
        <v>33180</v>
      </c>
      <c r="H1158" s="1115" t="s">
        <v>161</v>
      </c>
      <c r="I1158" s="1115" t="n">
        <v>31950</v>
      </c>
      <c r="J1158" s="1115" t="s">
        <v>1379</v>
      </c>
    </row>
    <row r="1159" customFormat="false" ht="14.1" hidden="false" customHeight="true" outlineLevel="0" collapsed="false">
      <c r="A1159" s="1115" t="n">
        <v>31940</v>
      </c>
      <c r="B1159" s="1115" t="s">
        <v>162</v>
      </c>
      <c r="C1159" s="1115" t="n">
        <v>31940</v>
      </c>
      <c r="D1159" s="1115" t="s">
        <v>1991</v>
      </c>
      <c r="E1159" s="1115" t="s">
        <v>2428</v>
      </c>
      <c r="F1159" s="1115" t="n">
        <v>47650</v>
      </c>
      <c r="G1159" s="1115" t="n">
        <v>33200</v>
      </c>
      <c r="H1159" s="1115" t="s">
        <v>161</v>
      </c>
      <c r="I1159" s="1115" t="n">
        <v>31960</v>
      </c>
      <c r="J1159" s="1115" t="s">
        <v>1379</v>
      </c>
    </row>
    <row r="1160" customFormat="false" ht="14.1" hidden="false" customHeight="true" outlineLevel="0" collapsed="false">
      <c r="A1160" s="1115" t="n">
        <v>31950</v>
      </c>
      <c r="B1160" s="1115" t="s">
        <v>162</v>
      </c>
      <c r="C1160" s="1115" t="n">
        <v>31950</v>
      </c>
      <c r="D1160" s="1115" t="s">
        <v>2380</v>
      </c>
      <c r="E1160" s="1115" t="s">
        <v>2429</v>
      </c>
      <c r="F1160" s="1115" t="n">
        <v>47350</v>
      </c>
      <c r="G1160" s="1115" t="n">
        <v>33210</v>
      </c>
      <c r="H1160" s="1115" t="s">
        <v>161</v>
      </c>
      <c r="I1160" s="1115" t="n">
        <v>31970</v>
      </c>
      <c r="J1160" s="1115" t="s">
        <v>1379</v>
      </c>
    </row>
    <row r="1161" customFormat="false" ht="14.1" hidden="false" customHeight="true" outlineLevel="0" collapsed="false">
      <c r="A1161" s="1115" t="n">
        <v>31960</v>
      </c>
      <c r="B1161" s="1115" t="s">
        <v>162</v>
      </c>
      <c r="C1161" s="1115" t="n">
        <v>31960</v>
      </c>
      <c r="D1161" s="1115" t="s">
        <v>2382</v>
      </c>
      <c r="E1161" s="1115" t="s">
        <v>2430</v>
      </c>
      <c r="F1161" s="1115" t="n">
        <v>83825</v>
      </c>
      <c r="G1161" s="1115" t="n">
        <v>33230</v>
      </c>
      <c r="H1161" s="1115" t="s">
        <v>161</v>
      </c>
      <c r="I1161" s="1115" t="n">
        <v>32100</v>
      </c>
      <c r="J1161" s="1115" t="s">
        <v>1645</v>
      </c>
    </row>
    <row r="1162" customFormat="false" ht="14.1" hidden="false" customHeight="true" outlineLevel="0" collapsed="false">
      <c r="A1162" s="1115" t="n">
        <v>31970</v>
      </c>
      <c r="B1162" s="1115" t="s">
        <v>162</v>
      </c>
      <c r="C1162" s="1115" t="n">
        <v>31970</v>
      </c>
      <c r="D1162" s="1115" t="s">
        <v>2233</v>
      </c>
      <c r="E1162" s="1115" t="s">
        <v>2431</v>
      </c>
      <c r="F1162" s="1115" t="n">
        <v>40930</v>
      </c>
      <c r="G1162" s="1115" t="n">
        <v>33240</v>
      </c>
      <c r="H1162" s="1115" t="s">
        <v>161</v>
      </c>
      <c r="I1162" s="1115" t="n">
        <v>32110</v>
      </c>
      <c r="J1162" s="1115" t="s">
        <v>1645</v>
      </c>
    </row>
    <row r="1163" customFormat="false" ht="14.1" hidden="false" customHeight="true" outlineLevel="0" collapsed="false">
      <c r="A1163" s="1115" t="n">
        <v>32100</v>
      </c>
      <c r="B1163" s="1115" t="s">
        <v>162</v>
      </c>
      <c r="C1163" s="1115" t="n">
        <v>32100</v>
      </c>
      <c r="D1163" s="1115" t="s">
        <v>1645</v>
      </c>
      <c r="E1163" s="1115" t="s">
        <v>2432</v>
      </c>
      <c r="F1163" s="1115" t="n">
        <v>82855</v>
      </c>
      <c r="G1163" s="1115" t="n">
        <v>33250</v>
      </c>
      <c r="H1163" s="1115" t="s">
        <v>161</v>
      </c>
      <c r="I1163" s="1115" t="n">
        <v>32140</v>
      </c>
      <c r="J1163" s="1115" t="s">
        <v>1645</v>
      </c>
    </row>
    <row r="1164" customFormat="false" ht="14.1" hidden="false" customHeight="true" outlineLevel="0" collapsed="false">
      <c r="A1164" s="1115" t="n">
        <v>32110</v>
      </c>
      <c r="B1164" s="1115" t="s">
        <v>162</v>
      </c>
      <c r="C1164" s="1115" t="n">
        <v>32110</v>
      </c>
      <c r="D1164" s="1115" t="s">
        <v>2385</v>
      </c>
      <c r="E1164" s="1115" t="s">
        <v>2433</v>
      </c>
      <c r="F1164" s="1115" t="n">
        <v>82850</v>
      </c>
      <c r="G1164" s="1115" t="n">
        <v>33270</v>
      </c>
      <c r="H1164" s="1115" t="s">
        <v>161</v>
      </c>
      <c r="I1164" s="1115" t="n">
        <v>32200</v>
      </c>
      <c r="J1164" s="1115" t="s">
        <v>1645</v>
      </c>
    </row>
    <row r="1165" customFormat="false" ht="14.1" hidden="false" customHeight="true" outlineLevel="0" collapsed="false">
      <c r="A1165" s="1115" t="n">
        <v>32140</v>
      </c>
      <c r="B1165" s="1115" t="s">
        <v>162</v>
      </c>
      <c r="C1165" s="1115" t="n">
        <v>32140</v>
      </c>
      <c r="D1165" s="1115" t="s">
        <v>1645</v>
      </c>
      <c r="E1165" s="1115" t="s">
        <v>2434</v>
      </c>
      <c r="F1165" s="1115" t="n">
        <v>52870</v>
      </c>
      <c r="G1165" s="1115" t="n">
        <v>33300</v>
      </c>
      <c r="H1165" s="1115" t="s">
        <v>161</v>
      </c>
      <c r="I1165" s="1115" t="n">
        <v>32210</v>
      </c>
      <c r="J1165" s="1115" t="s">
        <v>1645</v>
      </c>
    </row>
    <row r="1166" customFormat="false" ht="14.1" hidden="false" customHeight="true" outlineLevel="0" collapsed="false">
      <c r="A1166" s="1115" t="n">
        <v>32200</v>
      </c>
      <c r="B1166" s="1115" t="s">
        <v>162</v>
      </c>
      <c r="C1166" s="1115" t="n">
        <v>32200</v>
      </c>
      <c r="D1166" s="1115" t="s">
        <v>1187</v>
      </c>
      <c r="E1166" s="1115" t="s">
        <v>1072</v>
      </c>
      <c r="F1166" s="1115" t="n">
        <v>43900</v>
      </c>
      <c r="G1166" s="1115" t="n">
        <v>33310</v>
      </c>
      <c r="H1166" s="1115" t="s">
        <v>161</v>
      </c>
      <c r="I1166" s="1115" t="n">
        <v>32220</v>
      </c>
      <c r="J1166" s="1115" t="s">
        <v>1645</v>
      </c>
    </row>
    <row r="1167" customFormat="false" ht="14.1" hidden="false" customHeight="true" outlineLevel="0" collapsed="false">
      <c r="A1167" s="1115" t="n">
        <v>32210</v>
      </c>
      <c r="B1167" s="1115" t="s">
        <v>162</v>
      </c>
      <c r="C1167" s="1115" t="n">
        <v>32210</v>
      </c>
      <c r="D1167" s="1115" t="s">
        <v>1187</v>
      </c>
      <c r="E1167" s="1115" t="s">
        <v>2435</v>
      </c>
      <c r="F1167" s="1115" t="n">
        <v>71730</v>
      </c>
      <c r="G1167" s="1115" t="n">
        <v>33330</v>
      </c>
      <c r="H1167" s="1115" t="s">
        <v>161</v>
      </c>
      <c r="I1167" s="1115" t="n">
        <v>32240</v>
      </c>
      <c r="J1167" s="1115" t="s">
        <v>1645</v>
      </c>
    </row>
    <row r="1168" customFormat="false" ht="14.1" hidden="false" customHeight="true" outlineLevel="0" collapsed="false">
      <c r="A1168" s="1115" t="n">
        <v>32220</v>
      </c>
      <c r="B1168" s="1115" t="s">
        <v>162</v>
      </c>
      <c r="C1168" s="1115" t="n">
        <v>32220</v>
      </c>
      <c r="D1168" s="1115" t="s">
        <v>2270</v>
      </c>
      <c r="E1168" s="1115" t="s">
        <v>2436</v>
      </c>
      <c r="F1168" s="1115" t="n">
        <v>41920</v>
      </c>
      <c r="G1168" s="1115" t="n">
        <v>33340</v>
      </c>
      <c r="H1168" s="1115" t="s">
        <v>161</v>
      </c>
      <c r="I1168" s="1115" t="n">
        <v>32250</v>
      </c>
      <c r="J1168" s="1115" t="s">
        <v>1645</v>
      </c>
    </row>
    <row r="1169" customFormat="false" ht="14.1" hidden="false" customHeight="true" outlineLevel="0" collapsed="false">
      <c r="A1169" s="1115" t="n">
        <v>32240</v>
      </c>
      <c r="B1169" s="1115" t="s">
        <v>162</v>
      </c>
      <c r="C1169" s="1115" t="n">
        <v>32240</v>
      </c>
      <c r="D1169" s="1115" t="s">
        <v>1315</v>
      </c>
      <c r="E1169" s="1115" t="s">
        <v>2437</v>
      </c>
      <c r="F1169" s="1115" t="n">
        <v>44990</v>
      </c>
      <c r="G1169" s="1115" t="n">
        <v>33380</v>
      </c>
      <c r="H1169" s="1115" t="s">
        <v>2438</v>
      </c>
      <c r="I1169" s="1115" t="n">
        <v>32260</v>
      </c>
      <c r="J1169" s="1115" t="s">
        <v>1645</v>
      </c>
    </row>
    <row r="1170" customFormat="false" ht="14.1" hidden="false" customHeight="true" outlineLevel="0" collapsed="false">
      <c r="A1170" s="1115" t="n">
        <v>32250</v>
      </c>
      <c r="B1170" s="1115" t="s">
        <v>162</v>
      </c>
      <c r="C1170" s="1115" t="n">
        <v>32250</v>
      </c>
      <c r="D1170" s="1115" t="s">
        <v>2391</v>
      </c>
      <c r="E1170" s="1115" t="s">
        <v>2439</v>
      </c>
      <c r="F1170" s="1115" t="n">
        <v>93140</v>
      </c>
      <c r="G1170" s="1115" t="n">
        <v>33410</v>
      </c>
      <c r="H1170" s="1115" t="s">
        <v>161</v>
      </c>
      <c r="I1170" s="1115" t="n">
        <v>32270</v>
      </c>
      <c r="J1170" s="1115" t="s">
        <v>1645</v>
      </c>
    </row>
    <row r="1171" customFormat="false" ht="14.1" hidden="false" customHeight="true" outlineLevel="0" collapsed="false">
      <c r="A1171" s="1115" t="n">
        <v>32260</v>
      </c>
      <c r="B1171" s="1115" t="s">
        <v>162</v>
      </c>
      <c r="C1171" s="1115" t="n">
        <v>32260</v>
      </c>
      <c r="D1171" s="1115" t="s">
        <v>2393</v>
      </c>
      <c r="E1171" s="1115" t="s">
        <v>1977</v>
      </c>
      <c r="F1171" s="1115" t="n">
        <v>21610</v>
      </c>
      <c r="G1171" s="1115" t="n">
        <v>33420</v>
      </c>
      <c r="H1171" s="1115" t="s">
        <v>161</v>
      </c>
      <c r="I1171" s="1115" t="n">
        <v>32300</v>
      </c>
      <c r="J1171" s="1115" t="s">
        <v>1645</v>
      </c>
    </row>
    <row r="1172" customFormat="false" ht="14.1" hidden="false" customHeight="true" outlineLevel="0" collapsed="false">
      <c r="A1172" s="1115" t="n">
        <v>32270</v>
      </c>
      <c r="B1172" s="1115" t="s">
        <v>162</v>
      </c>
      <c r="C1172" s="1115" t="n">
        <v>32270</v>
      </c>
      <c r="D1172" s="1115" t="s">
        <v>2394</v>
      </c>
      <c r="E1172" s="1115" t="s">
        <v>2440</v>
      </c>
      <c r="F1172" s="1115" t="n">
        <v>59410</v>
      </c>
      <c r="G1172" s="1115" t="n">
        <v>33430</v>
      </c>
      <c r="H1172" s="1115" t="s">
        <v>2441</v>
      </c>
      <c r="I1172" s="1115" t="n">
        <v>32320</v>
      </c>
      <c r="J1172" s="1115" t="s">
        <v>1645</v>
      </c>
    </row>
    <row r="1173" customFormat="false" ht="14.1" hidden="false" customHeight="true" outlineLevel="0" collapsed="false">
      <c r="A1173" s="1115" t="n">
        <v>32300</v>
      </c>
      <c r="B1173" s="1115" t="s">
        <v>162</v>
      </c>
      <c r="C1173" s="1115" t="n">
        <v>32300</v>
      </c>
      <c r="D1173" s="1115" t="s">
        <v>1224</v>
      </c>
      <c r="E1173" s="1115" t="s">
        <v>2057</v>
      </c>
      <c r="F1173" s="1115" t="n">
        <v>23230</v>
      </c>
      <c r="G1173" s="1115" t="n">
        <v>33450</v>
      </c>
      <c r="H1173" s="1115" t="s">
        <v>2442</v>
      </c>
      <c r="I1173" s="1115" t="n">
        <v>32410</v>
      </c>
      <c r="J1173" s="1115" t="s">
        <v>1645</v>
      </c>
    </row>
    <row r="1174" customFormat="false" ht="14.1" hidden="false" customHeight="true" outlineLevel="0" collapsed="false">
      <c r="A1174" s="1115" t="n">
        <v>32320</v>
      </c>
      <c r="B1174" s="1115" t="s">
        <v>162</v>
      </c>
      <c r="C1174" s="1115" t="n">
        <v>32320</v>
      </c>
      <c r="D1174" s="1115" t="s">
        <v>1844</v>
      </c>
      <c r="E1174" s="1115" t="s">
        <v>1076</v>
      </c>
      <c r="F1174" s="1115" t="n">
        <v>2400</v>
      </c>
      <c r="G1174" s="1115" t="n">
        <v>33470</v>
      </c>
      <c r="H1174" s="1115" t="s">
        <v>1644</v>
      </c>
      <c r="I1174" s="1115" t="n">
        <v>32420</v>
      </c>
      <c r="J1174" s="1115" t="s">
        <v>1645</v>
      </c>
    </row>
    <row r="1175" customFormat="false" ht="14.1" hidden="false" customHeight="true" outlineLevel="0" collapsed="false">
      <c r="A1175" s="1115" t="n">
        <v>32410</v>
      </c>
      <c r="B1175" s="1115" t="s">
        <v>162</v>
      </c>
      <c r="C1175" s="1115" t="n">
        <v>32410</v>
      </c>
      <c r="D1175" s="1115" t="s">
        <v>2397</v>
      </c>
      <c r="E1175" s="1115" t="s">
        <v>1076</v>
      </c>
      <c r="F1175" s="1115" t="n">
        <v>2410</v>
      </c>
      <c r="G1175" s="1115" t="n">
        <v>33480</v>
      </c>
      <c r="H1175" s="1115" t="s">
        <v>1644</v>
      </c>
      <c r="I1175" s="1115" t="n">
        <v>32430</v>
      </c>
      <c r="J1175" s="1115" t="s">
        <v>1645</v>
      </c>
    </row>
    <row r="1176" customFormat="false" ht="14.1" hidden="false" customHeight="true" outlineLevel="0" collapsed="false">
      <c r="A1176" s="1115" t="n">
        <v>32420</v>
      </c>
      <c r="B1176" s="1115" t="s">
        <v>162</v>
      </c>
      <c r="C1176" s="1115" t="n">
        <v>32420</v>
      </c>
      <c r="D1176" s="1115" t="s">
        <v>1302</v>
      </c>
      <c r="E1176" s="1115" t="s">
        <v>1076</v>
      </c>
      <c r="F1176" s="1115" t="n">
        <v>2480</v>
      </c>
      <c r="G1176" s="1115" t="n">
        <v>33500</v>
      </c>
      <c r="H1176" s="1115" t="s">
        <v>161</v>
      </c>
      <c r="I1176" s="1115" t="n">
        <v>32440</v>
      </c>
      <c r="J1176" s="1115" t="s">
        <v>1645</v>
      </c>
    </row>
    <row r="1177" customFormat="false" ht="14.1" hidden="false" customHeight="true" outlineLevel="0" collapsed="false">
      <c r="A1177" s="1115" t="n">
        <v>32430</v>
      </c>
      <c r="B1177" s="1115" t="s">
        <v>162</v>
      </c>
      <c r="C1177" s="1115" t="n">
        <v>32430</v>
      </c>
      <c r="D1177" s="1115" t="s">
        <v>2399</v>
      </c>
      <c r="E1177" s="1115" t="s">
        <v>1079</v>
      </c>
      <c r="F1177" s="1115" t="n">
        <v>25470</v>
      </c>
      <c r="G1177" s="1115" t="n">
        <v>33520</v>
      </c>
      <c r="H1177" s="1115" t="s">
        <v>161</v>
      </c>
      <c r="I1177" s="1115" t="n">
        <v>32450</v>
      </c>
      <c r="J1177" s="1115" t="s">
        <v>1645</v>
      </c>
    </row>
    <row r="1178" customFormat="false" ht="14.1" hidden="false" customHeight="true" outlineLevel="0" collapsed="false">
      <c r="A1178" s="1115" t="n">
        <v>32440</v>
      </c>
      <c r="B1178" s="1115" t="s">
        <v>162</v>
      </c>
      <c r="C1178" s="1115" t="n">
        <v>32440</v>
      </c>
      <c r="D1178" s="1115" t="s">
        <v>717</v>
      </c>
      <c r="E1178" s="1115" t="s">
        <v>1081</v>
      </c>
      <c r="F1178" s="1115" t="n">
        <v>82500</v>
      </c>
      <c r="G1178" s="1115" t="n">
        <v>33530</v>
      </c>
      <c r="H1178" s="1115" t="s">
        <v>161</v>
      </c>
      <c r="I1178" s="1115" t="n">
        <v>32460</v>
      </c>
      <c r="J1178" s="1115" t="s">
        <v>1645</v>
      </c>
    </row>
    <row r="1179" customFormat="false" ht="14.1" hidden="false" customHeight="true" outlineLevel="0" collapsed="false">
      <c r="A1179" s="1115" t="n">
        <v>32450</v>
      </c>
      <c r="B1179" s="1115" t="s">
        <v>162</v>
      </c>
      <c r="C1179" s="1115" t="n">
        <v>32450</v>
      </c>
      <c r="D1179" s="1115" t="s">
        <v>2400</v>
      </c>
      <c r="E1179" s="1115" t="s">
        <v>2443</v>
      </c>
      <c r="F1179" s="1115" t="n">
        <v>82510</v>
      </c>
      <c r="G1179" s="1115" t="n">
        <v>33540</v>
      </c>
      <c r="H1179" s="1115" t="s">
        <v>161</v>
      </c>
      <c r="I1179" s="1115" t="n">
        <v>32500</v>
      </c>
      <c r="J1179" s="1115" t="s">
        <v>1645</v>
      </c>
    </row>
    <row r="1180" customFormat="false" ht="14.1" hidden="false" customHeight="true" outlineLevel="0" collapsed="false">
      <c r="A1180" s="1115" t="n">
        <v>32460</v>
      </c>
      <c r="B1180" s="1115" t="s">
        <v>162</v>
      </c>
      <c r="C1180" s="1115" t="n">
        <v>32460</v>
      </c>
      <c r="D1180" s="1115" t="s">
        <v>1669</v>
      </c>
      <c r="E1180" s="1115" t="s">
        <v>2444</v>
      </c>
      <c r="F1180" s="1115" t="n">
        <v>61470</v>
      </c>
      <c r="G1180" s="1115" t="n">
        <v>33560</v>
      </c>
      <c r="H1180" s="1115" t="s">
        <v>161</v>
      </c>
      <c r="I1180" s="1115" t="n">
        <v>32550</v>
      </c>
      <c r="J1180" s="1115" t="s">
        <v>1645</v>
      </c>
    </row>
    <row r="1181" customFormat="false" ht="14.1" hidden="false" customHeight="true" outlineLevel="0" collapsed="false">
      <c r="A1181" s="1115" t="n">
        <v>32500</v>
      </c>
      <c r="B1181" s="1115" t="s">
        <v>162</v>
      </c>
      <c r="C1181" s="1115" t="n">
        <v>32500</v>
      </c>
      <c r="D1181" s="1115" t="s">
        <v>1297</v>
      </c>
      <c r="E1181" s="1115" t="s">
        <v>2444</v>
      </c>
      <c r="F1181" s="1115" t="n">
        <v>61470</v>
      </c>
      <c r="G1181" s="1115" t="n">
        <v>33580</v>
      </c>
      <c r="H1181" s="1115" t="s">
        <v>161</v>
      </c>
      <c r="I1181" s="1115" t="n">
        <v>32560</v>
      </c>
      <c r="J1181" s="1115" t="s">
        <v>1645</v>
      </c>
    </row>
    <row r="1182" customFormat="false" ht="14.1" hidden="false" customHeight="true" outlineLevel="0" collapsed="false">
      <c r="A1182" s="1115" t="n">
        <v>32550</v>
      </c>
      <c r="B1182" s="1115" t="s">
        <v>162</v>
      </c>
      <c r="C1182" s="1115" t="n">
        <v>32550</v>
      </c>
      <c r="D1182" s="1115" t="s">
        <v>2403</v>
      </c>
      <c r="E1182" s="1115" t="s">
        <v>2444</v>
      </c>
      <c r="F1182" s="1115" t="n">
        <v>61470</v>
      </c>
      <c r="G1182" s="1115" t="n">
        <v>33610</v>
      </c>
      <c r="H1182" s="1115" t="s">
        <v>161</v>
      </c>
      <c r="I1182" s="1115" t="n">
        <v>32570</v>
      </c>
      <c r="J1182" s="1115" t="s">
        <v>1645</v>
      </c>
    </row>
    <row r="1183" customFormat="false" ht="14.1" hidden="false" customHeight="true" outlineLevel="0" collapsed="false">
      <c r="A1183" s="1115" t="n">
        <v>32560</v>
      </c>
      <c r="B1183" s="1115" t="s">
        <v>162</v>
      </c>
      <c r="C1183" s="1115" t="n">
        <v>32560</v>
      </c>
      <c r="D1183" s="1115" t="s">
        <v>2405</v>
      </c>
      <c r="E1183" s="1115" t="s">
        <v>2445</v>
      </c>
      <c r="F1183" s="1115" t="n">
        <v>93830</v>
      </c>
      <c r="G1183" s="1115" t="n">
        <v>33680</v>
      </c>
      <c r="H1183" s="1115" t="s">
        <v>161</v>
      </c>
      <c r="I1183" s="1115" t="n">
        <v>32610</v>
      </c>
      <c r="J1183" s="1115" t="s">
        <v>1598</v>
      </c>
    </row>
    <row r="1184" customFormat="false" ht="14.1" hidden="false" customHeight="true" outlineLevel="0" collapsed="false">
      <c r="A1184" s="1115" t="n">
        <v>32570</v>
      </c>
      <c r="B1184" s="1115" t="s">
        <v>162</v>
      </c>
      <c r="C1184" s="1115" t="n">
        <v>32570</v>
      </c>
      <c r="D1184" s="1115" t="s">
        <v>2406</v>
      </c>
      <c r="E1184" s="1115" t="s">
        <v>2446</v>
      </c>
      <c r="F1184" s="1115" t="n">
        <v>81670</v>
      </c>
      <c r="G1184" s="1115" t="n">
        <v>33700</v>
      </c>
      <c r="H1184" s="1115" t="s">
        <v>161</v>
      </c>
      <c r="I1184" s="1115" t="n">
        <v>32620</v>
      </c>
      <c r="J1184" s="1115" t="s">
        <v>1598</v>
      </c>
    </row>
    <row r="1185" customFormat="false" ht="14.1" hidden="false" customHeight="true" outlineLevel="0" collapsed="false">
      <c r="A1185" s="1115" t="n">
        <v>32610</v>
      </c>
      <c r="B1185" s="1115" t="s">
        <v>162</v>
      </c>
      <c r="C1185" s="1115" t="n">
        <v>32610</v>
      </c>
      <c r="D1185" s="1115" t="s">
        <v>1598</v>
      </c>
      <c r="E1185" s="1115" t="s">
        <v>1083</v>
      </c>
      <c r="F1185" s="1115" t="n">
        <v>99100</v>
      </c>
      <c r="G1185" s="1115" t="n">
        <v>33710</v>
      </c>
      <c r="H1185" s="1115" t="s">
        <v>161</v>
      </c>
      <c r="I1185" s="1115" t="n">
        <v>32650</v>
      </c>
      <c r="J1185" s="1115" t="s">
        <v>1598</v>
      </c>
    </row>
    <row r="1186" customFormat="false" ht="14.1" hidden="false" customHeight="true" outlineLevel="0" collapsed="false">
      <c r="A1186" s="1115" t="n">
        <v>32620</v>
      </c>
      <c r="B1186" s="1115" t="s">
        <v>162</v>
      </c>
      <c r="C1186" s="1115" t="n">
        <v>32620</v>
      </c>
      <c r="D1186" s="1115" t="s">
        <v>2408</v>
      </c>
      <c r="E1186" s="1115" t="s">
        <v>1085</v>
      </c>
      <c r="F1186" s="1115" t="n">
        <v>27400</v>
      </c>
      <c r="G1186" s="1115" t="n">
        <v>33720</v>
      </c>
      <c r="H1186" s="1115" t="s">
        <v>161</v>
      </c>
      <c r="I1186" s="1115" t="n">
        <v>32700</v>
      </c>
      <c r="J1186" s="1115" t="s">
        <v>859</v>
      </c>
    </row>
    <row r="1187" customFormat="false" ht="14.1" hidden="false" customHeight="true" outlineLevel="0" collapsed="false">
      <c r="A1187" s="1115" t="n">
        <v>32650</v>
      </c>
      <c r="B1187" s="1115" t="s">
        <v>162</v>
      </c>
      <c r="C1187" s="1115" t="n">
        <v>32650</v>
      </c>
      <c r="D1187" s="1115" t="s">
        <v>2409</v>
      </c>
      <c r="E1187" s="1115" t="s">
        <v>2447</v>
      </c>
      <c r="F1187" s="1115" t="n">
        <v>99630</v>
      </c>
      <c r="G1187" s="1115" t="n">
        <v>33730</v>
      </c>
      <c r="H1187" s="1115" t="s">
        <v>161</v>
      </c>
      <c r="I1187" s="1115" t="n">
        <v>32710</v>
      </c>
      <c r="J1187" s="1115" t="s">
        <v>859</v>
      </c>
    </row>
    <row r="1188" customFormat="false" ht="14.1" hidden="false" customHeight="true" outlineLevel="0" collapsed="false">
      <c r="A1188" s="1115" t="n">
        <v>32700</v>
      </c>
      <c r="B1188" s="1115" t="s">
        <v>161</v>
      </c>
      <c r="C1188" s="1115" t="n">
        <v>32700</v>
      </c>
      <c r="D1188" s="1115" t="s">
        <v>859</v>
      </c>
      <c r="E1188" s="1115" t="s">
        <v>1087</v>
      </c>
      <c r="F1188" s="1115" t="n">
        <v>74700</v>
      </c>
      <c r="G1188" s="1115" t="n">
        <v>33800</v>
      </c>
      <c r="H1188" s="1115" t="s">
        <v>161</v>
      </c>
      <c r="I1188" s="1115" t="n">
        <v>32730</v>
      </c>
      <c r="J1188" s="1115" t="s">
        <v>859</v>
      </c>
    </row>
    <row r="1189" customFormat="false" ht="14.1" hidden="false" customHeight="true" outlineLevel="0" collapsed="false">
      <c r="A1189" s="1115" t="n">
        <v>32710</v>
      </c>
      <c r="B1189" s="1115" t="s">
        <v>161</v>
      </c>
      <c r="C1189" s="1115" t="n">
        <v>32710</v>
      </c>
      <c r="D1189" s="1115" t="s">
        <v>2411</v>
      </c>
      <c r="E1189" s="1115" t="s">
        <v>2448</v>
      </c>
      <c r="F1189" s="1115" t="n">
        <v>49470</v>
      </c>
      <c r="G1189" s="1115" t="n">
        <v>33820</v>
      </c>
      <c r="H1189" s="1115" t="s">
        <v>161</v>
      </c>
      <c r="I1189" s="1115" t="n">
        <v>32740</v>
      </c>
      <c r="J1189" s="1115" t="s">
        <v>859</v>
      </c>
    </row>
    <row r="1190" customFormat="false" ht="14.1" hidden="false" customHeight="true" outlineLevel="0" collapsed="false">
      <c r="A1190" s="1115" t="n">
        <v>32730</v>
      </c>
      <c r="B1190" s="1115" t="s">
        <v>161</v>
      </c>
      <c r="C1190" s="1115" t="n">
        <v>32730</v>
      </c>
      <c r="D1190" s="1115" t="s">
        <v>2343</v>
      </c>
      <c r="E1190" s="1115" t="s">
        <v>2449</v>
      </c>
      <c r="F1190" s="1115" t="n">
        <v>88350</v>
      </c>
      <c r="G1190" s="1115" t="n">
        <v>33840</v>
      </c>
      <c r="H1190" s="1115" t="s">
        <v>161</v>
      </c>
      <c r="I1190" s="1115" t="n">
        <v>32760</v>
      </c>
      <c r="J1190" s="1115" t="s">
        <v>859</v>
      </c>
    </row>
    <row r="1191" customFormat="false" ht="14.1" hidden="false" customHeight="true" outlineLevel="0" collapsed="false">
      <c r="A1191" s="1115" t="n">
        <v>32740</v>
      </c>
      <c r="B1191" s="1115" t="s">
        <v>161</v>
      </c>
      <c r="C1191" s="1115" t="n">
        <v>32740</v>
      </c>
      <c r="D1191" s="1115" t="s">
        <v>1647</v>
      </c>
      <c r="E1191" s="1115" t="s">
        <v>2450</v>
      </c>
      <c r="F1191" s="1115" t="n">
        <v>58650</v>
      </c>
      <c r="G1191" s="1115" t="n">
        <v>33850</v>
      </c>
      <c r="H1191" s="1115" t="s">
        <v>161</v>
      </c>
      <c r="I1191" s="1115" t="n">
        <v>32770</v>
      </c>
      <c r="J1191" s="1115" t="s">
        <v>859</v>
      </c>
    </row>
    <row r="1192" customFormat="false" ht="14.1" hidden="false" customHeight="true" outlineLevel="0" collapsed="false">
      <c r="A1192" s="1115" t="n">
        <v>32760</v>
      </c>
      <c r="B1192" s="1115" t="s">
        <v>161</v>
      </c>
      <c r="C1192" s="1115" t="n">
        <v>32760</v>
      </c>
      <c r="D1192" s="1115" t="s">
        <v>2414</v>
      </c>
      <c r="E1192" s="1115" t="s">
        <v>1089</v>
      </c>
      <c r="F1192" s="1115" t="n">
        <v>43800</v>
      </c>
      <c r="G1192" s="1115" t="n">
        <v>33880</v>
      </c>
      <c r="H1192" s="1115" t="s">
        <v>1163</v>
      </c>
      <c r="I1192" s="1115" t="n">
        <v>32770</v>
      </c>
      <c r="J1192" s="1115" t="s">
        <v>859</v>
      </c>
    </row>
    <row r="1193" customFormat="false" ht="14.1" hidden="false" customHeight="true" outlineLevel="0" collapsed="false">
      <c r="A1193" s="1115" t="n">
        <v>32770</v>
      </c>
      <c r="B1193" s="1115" t="s">
        <v>161</v>
      </c>
      <c r="C1193" s="1115" t="n">
        <v>32770</v>
      </c>
      <c r="D1193" s="1115" t="s">
        <v>1788</v>
      </c>
      <c r="E1193" s="1115" t="s">
        <v>2451</v>
      </c>
      <c r="F1193" s="1115" t="n">
        <v>69910</v>
      </c>
      <c r="G1193" s="1115" t="n">
        <v>33900</v>
      </c>
      <c r="H1193" s="1115" t="s">
        <v>161</v>
      </c>
      <c r="I1193" s="1115" t="n">
        <v>32800</v>
      </c>
      <c r="J1193" s="1115" t="s">
        <v>1092</v>
      </c>
    </row>
    <row r="1194" customFormat="false" ht="14.1" hidden="false" customHeight="true" outlineLevel="0" collapsed="false">
      <c r="A1194" s="1115" t="n">
        <v>32770</v>
      </c>
      <c r="B1194" s="1115" t="s">
        <v>161</v>
      </c>
      <c r="C1194" s="1115" t="n">
        <v>32770</v>
      </c>
      <c r="D1194" s="1115" t="s">
        <v>1788</v>
      </c>
      <c r="E1194" s="1115" t="s">
        <v>2053</v>
      </c>
      <c r="F1194" s="1115" t="n">
        <v>23170</v>
      </c>
      <c r="G1194" s="1115" t="n">
        <v>33920</v>
      </c>
      <c r="H1194" s="1115" t="s">
        <v>1353</v>
      </c>
      <c r="I1194" s="1115" t="n">
        <v>32810</v>
      </c>
      <c r="J1194" s="1115" t="s">
        <v>1092</v>
      </c>
    </row>
    <row r="1195" customFormat="false" ht="14.1" hidden="false" customHeight="true" outlineLevel="0" collapsed="false">
      <c r="A1195" s="1115" t="n">
        <v>32800</v>
      </c>
      <c r="B1195" s="1115" t="s">
        <v>159</v>
      </c>
      <c r="C1195" s="1115" t="n">
        <v>32800</v>
      </c>
      <c r="D1195" s="1115" t="s">
        <v>1092</v>
      </c>
      <c r="E1195" s="1115" t="s">
        <v>2452</v>
      </c>
      <c r="F1195" s="1115" t="n">
        <v>81430</v>
      </c>
      <c r="G1195" s="1115" t="n">
        <v>33940</v>
      </c>
      <c r="H1195" s="1115" t="s">
        <v>1353</v>
      </c>
      <c r="I1195" s="1115" t="n">
        <v>32830</v>
      </c>
      <c r="J1195" s="1115" t="s">
        <v>1092</v>
      </c>
    </row>
    <row r="1196" customFormat="false" ht="14.1" hidden="false" customHeight="true" outlineLevel="0" collapsed="false">
      <c r="A1196" s="1115" t="n">
        <v>32810</v>
      </c>
      <c r="B1196" s="1115" t="s">
        <v>159</v>
      </c>
      <c r="C1196" s="1115" t="n">
        <v>32810</v>
      </c>
      <c r="D1196" s="1115" t="s">
        <v>2417</v>
      </c>
      <c r="E1196" s="1115" t="s">
        <v>2453</v>
      </c>
      <c r="F1196" s="1115" t="n">
        <v>90810</v>
      </c>
      <c r="G1196" s="1115" t="n">
        <v>33950</v>
      </c>
      <c r="H1196" s="1115" t="s">
        <v>1353</v>
      </c>
      <c r="I1196" s="1115" t="n">
        <v>32840</v>
      </c>
      <c r="J1196" s="1115" t="s">
        <v>1092</v>
      </c>
    </row>
    <row r="1197" customFormat="false" ht="14.1" hidden="false" customHeight="true" outlineLevel="0" collapsed="false">
      <c r="A1197" s="1115" t="n">
        <v>32830</v>
      </c>
      <c r="B1197" s="1115" t="s">
        <v>159</v>
      </c>
      <c r="C1197" s="1115" t="n">
        <v>32830</v>
      </c>
      <c r="D1197" s="1115" t="s">
        <v>2418</v>
      </c>
      <c r="E1197" s="1115" t="s">
        <v>2454</v>
      </c>
      <c r="F1197" s="1115" t="n">
        <v>93925</v>
      </c>
      <c r="G1197" s="1115" t="n">
        <v>33960</v>
      </c>
      <c r="H1197" s="1115" t="s">
        <v>1353</v>
      </c>
      <c r="I1197" s="1115" t="n">
        <v>32860</v>
      </c>
      <c r="J1197" s="1115" t="s">
        <v>1092</v>
      </c>
    </row>
    <row r="1198" customFormat="false" ht="14.1" hidden="false" customHeight="true" outlineLevel="0" collapsed="false">
      <c r="A1198" s="1115" t="n">
        <v>32840</v>
      </c>
      <c r="B1198" s="1115" t="s">
        <v>159</v>
      </c>
      <c r="C1198" s="1115" t="n">
        <v>32840</v>
      </c>
      <c r="D1198" s="1115" t="s">
        <v>2420</v>
      </c>
      <c r="E1198" s="1115" t="s">
        <v>2455</v>
      </c>
      <c r="F1198" s="1115" t="n">
        <v>41730</v>
      </c>
      <c r="G1198" s="1115" t="n">
        <v>33970</v>
      </c>
      <c r="H1198" s="1115" t="s">
        <v>1353</v>
      </c>
      <c r="I1198" s="1115" t="n">
        <v>32910</v>
      </c>
      <c r="J1198" s="1115" t="s">
        <v>1092</v>
      </c>
    </row>
    <row r="1199" customFormat="false" ht="14.1" hidden="false" customHeight="true" outlineLevel="0" collapsed="false">
      <c r="A1199" s="1115" t="n">
        <v>32860</v>
      </c>
      <c r="B1199" s="1115" t="s">
        <v>159</v>
      </c>
      <c r="C1199" s="1115" t="n">
        <v>32860</v>
      </c>
      <c r="D1199" s="1115" t="s">
        <v>2422</v>
      </c>
      <c r="E1199" s="1115" t="s">
        <v>2456</v>
      </c>
      <c r="F1199" s="1115" t="n">
        <v>97670</v>
      </c>
      <c r="G1199" s="1115" t="n">
        <v>33980</v>
      </c>
      <c r="H1199" s="1115" t="s">
        <v>1353</v>
      </c>
      <c r="I1199" s="1115" t="n">
        <v>32920</v>
      </c>
      <c r="J1199" s="1115" t="s">
        <v>1092</v>
      </c>
    </row>
    <row r="1200" customFormat="false" ht="14.1" hidden="false" customHeight="true" outlineLevel="0" collapsed="false">
      <c r="A1200" s="1115" t="n">
        <v>32910</v>
      </c>
      <c r="B1200" s="1115" t="s">
        <v>159</v>
      </c>
      <c r="C1200" s="1115" t="n">
        <v>32910</v>
      </c>
      <c r="D1200" s="1115" t="s">
        <v>2338</v>
      </c>
      <c r="E1200" s="1115" t="s">
        <v>2457</v>
      </c>
      <c r="F1200" s="1115" t="n">
        <v>49860</v>
      </c>
      <c r="G1200" s="1115" t="n">
        <v>34110</v>
      </c>
      <c r="H1200" s="1115" t="s">
        <v>2458</v>
      </c>
      <c r="I1200" s="1115" t="n">
        <v>33007</v>
      </c>
      <c r="J1200" s="1115" t="s">
        <v>161</v>
      </c>
    </row>
    <row r="1201" customFormat="false" ht="14.1" hidden="false" customHeight="true" outlineLevel="0" collapsed="false">
      <c r="A1201" s="1115" t="n">
        <v>32920</v>
      </c>
      <c r="B1201" s="1115" t="s">
        <v>159</v>
      </c>
      <c r="C1201" s="1115" t="n">
        <v>32920</v>
      </c>
      <c r="D1201" s="1115" t="s">
        <v>2338</v>
      </c>
      <c r="E1201" s="1115" t="s">
        <v>1067</v>
      </c>
      <c r="F1201" s="1115" t="n">
        <v>1800</v>
      </c>
      <c r="G1201" s="1115" t="n">
        <v>34120</v>
      </c>
      <c r="H1201" s="1115" t="s">
        <v>2459</v>
      </c>
      <c r="I1201" s="1115" t="n">
        <v>33009</v>
      </c>
      <c r="J1201" s="1115" t="s">
        <v>161</v>
      </c>
    </row>
    <row r="1202" customFormat="false" ht="14.1" hidden="false" customHeight="true" outlineLevel="0" collapsed="false">
      <c r="A1202" s="1115" t="n">
        <v>33007</v>
      </c>
      <c r="B1202" s="1115" t="s">
        <v>161</v>
      </c>
      <c r="C1202" s="1115" t="n">
        <v>33007</v>
      </c>
      <c r="D1202" s="1115" t="s">
        <v>161</v>
      </c>
      <c r="E1202" s="1115" t="s">
        <v>2113</v>
      </c>
      <c r="F1202" s="1115" t="n">
        <v>25540</v>
      </c>
      <c r="G1202" s="1115" t="n">
        <v>34130</v>
      </c>
      <c r="H1202" s="1115" t="s">
        <v>2460</v>
      </c>
      <c r="I1202" s="1115" t="n">
        <v>33100</v>
      </c>
      <c r="J1202" s="1115" t="s">
        <v>161</v>
      </c>
    </row>
    <row r="1203" customFormat="false" ht="14.1" hidden="false" customHeight="true" outlineLevel="0" collapsed="false">
      <c r="A1203" s="1115" t="n">
        <v>33009</v>
      </c>
      <c r="B1203" s="1115" t="s">
        <v>161</v>
      </c>
      <c r="C1203" s="1115" t="n">
        <v>33009</v>
      </c>
      <c r="D1203" s="1115" t="s">
        <v>161</v>
      </c>
      <c r="E1203" s="1115" t="s">
        <v>2461</v>
      </c>
      <c r="F1203" s="1115" t="n">
        <v>64930</v>
      </c>
      <c r="G1203" s="1115" t="n">
        <v>34140</v>
      </c>
      <c r="H1203" s="1115" t="s">
        <v>2462</v>
      </c>
      <c r="I1203" s="1115" t="n">
        <v>33180</v>
      </c>
      <c r="J1203" s="1115" t="s">
        <v>161</v>
      </c>
    </row>
    <row r="1204" customFormat="false" ht="14.1" hidden="false" customHeight="true" outlineLevel="0" collapsed="false">
      <c r="A1204" s="1115" t="n">
        <v>33100</v>
      </c>
      <c r="B1204" s="1115" t="s">
        <v>161</v>
      </c>
      <c r="C1204" s="1115" t="n">
        <v>33100</v>
      </c>
      <c r="D1204" s="1115" t="s">
        <v>161</v>
      </c>
      <c r="E1204" s="1115" t="s">
        <v>2182</v>
      </c>
      <c r="F1204" s="1115" t="n">
        <v>27250</v>
      </c>
      <c r="G1204" s="1115" t="n">
        <v>34150</v>
      </c>
      <c r="H1204" s="1115" t="s">
        <v>2463</v>
      </c>
      <c r="I1204" s="1115" t="n">
        <v>33200</v>
      </c>
      <c r="J1204" s="1115" t="s">
        <v>161</v>
      </c>
    </row>
    <row r="1205" customFormat="false" ht="14.1" hidden="false" customHeight="true" outlineLevel="0" collapsed="false">
      <c r="A1205" s="1115" t="n">
        <v>33180</v>
      </c>
      <c r="B1205" s="1115" t="s">
        <v>161</v>
      </c>
      <c r="C1205" s="1115" t="n">
        <v>33180</v>
      </c>
      <c r="D1205" s="1115" t="s">
        <v>161</v>
      </c>
      <c r="E1205" s="1115" t="s">
        <v>1090</v>
      </c>
      <c r="F1205" s="1115" t="n">
        <v>27310</v>
      </c>
      <c r="G1205" s="1115" t="n">
        <v>34180</v>
      </c>
      <c r="H1205" s="1115" t="s">
        <v>2464</v>
      </c>
      <c r="I1205" s="1115" t="n">
        <v>33210</v>
      </c>
      <c r="J1205" s="1115" t="s">
        <v>161</v>
      </c>
    </row>
    <row r="1206" customFormat="false" ht="14.1" hidden="false" customHeight="true" outlineLevel="0" collapsed="false">
      <c r="A1206" s="1115" t="n">
        <v>33200</v>
      </c>
      <c r="B1206" s="1115" t="s">
        <v>161</v>
      </c>
      <c r="C1206" s="1115" t="n">
        <v>33200</v>
      </c>
      <c r="D1206" s="1115" t="s">
        <v>161</v>
      </c>
      <c r="E1206" s="1115" t="s">
        <v>2465</v>
      </c>
      <c r="F1206" s="1115" t="n">
        <v>79270</v>
      </c>
      <c r="G1206" s="1115" t="n">
        <v>34240</v>
      </c>
      <c r="H1206" s="1115" t="s">
        <v>2466</v>
      </c>
      <c r="I1206" s="1115" t="n">
        <v>33230</v>
      </c>
      <c r="J1206" s="1115" t="s">
        <v>161</v>
      </c>
    </row>
    <row r="1207" customFormat="false" ht="14.1" hidden="false" customHeight="true" outlineLevel="0" collapsed="false">
      <c r="A1207" s="1115" t="n">
        <v>33210</v>
      </c>
      <c r="B1207" s="1115" t="s">
        <v>161</v>
      </c>
      <c r="C1207" s="1115" t="n">
        <v>33210</v>
      </c>
      <c r="D1207" s="1115" t="s">
        <v>161</v>
      </c>
      <c r="E1207" s="1115" t="s">
        <v>2467</v>
      </c>
      <c r="F1207" s="1115" t="n">
        <v>75970</v>
      </c>
      <c r="G1207" s="1115" t="n">
        <v>34260</v>
      </c>
      <c r="H1207" s="1115" t="s">
        <v>2468</v>
      </c>
      <c r="I1207" s="1115" t="n">
        <v>33240</v>
      </c>
      <c r="J1207" s="1115" t="s">
        <v>161</v>
      </c>
    </row>
    <row r="1208" customFormat="false" ht="14.1" hidden="false" customHeight="true" outlineLevel="0" collapsed="false">
      <c r="A1208" s="1115" t="n">
        <v>33230</v>
      </c>
      <c r="B1208" s="1115" t="s">
        <v>161</v>
      </c>
      <c r="C1208" s="1115" t="n">
        <v>33230</v>
      </c>
      <c r="D1208" s="1115" t="s">
        <v>161</v>
      </c>
      <c r="E1208" s="1115" t="s">
        <v>2310</v>
      </c>
      <c r="F1208" s="1115" t="n">
        <v>30760</v>
      </c>
      <c r="G1208" s="1115" t="n">
        <v>34270</v>
      </c>
      <c r="H1208" s="1115" t="s">
        <v>2469</v>
      </c>
      <c r="I1208" s="1115" t="n">
        <v>33250</v>
      </c>
      <c r="J1208" s="1115" t="s">
        <v>161</v>
      </c>
    </row>
    <row r="1209" customFormat="false" ht="14.1" hidden="false" customHeight="true" outlineLevel="0" collapsed="false">
      <c r="A1209" s="1115" t="n">
        <v>33240</v>
      </c>
      <c r="B1209" s="1115" t="s">
        <v>161</v>
      </c>
      <c r="C1209" s="1115" t="n">
        <v>33240</v>
      </c>
      <c r="D1209" s="1115" t="s">
        <v>161</v>
      </c>
      <c r="E1209" s="1115" t="s">
        <v>2470</v>
      </c>
      <c r="F1209" s="1115" t="n">
        <v>51880</v>
      </c>
      <c r="G1209" s="1115" t="n">
        <v>34300</v>
      </c>
      <c r="H1209" s="1115" t="s">
        <v>1126</v>
      </c>
      <c r="I1209" s="1115" t="n">
        <v>33270</v>
      </c>
      <c r="J1209" s="1115" t="s">
        <v>161</v>
      </c>
    </row>
    <row r="1210" customFormat="false" ht="14.1" hidden="false" customHeight="true" outlineLevel="0" collapsed="false">
      <c r="A1210" s="1115" t="n">
        <v>33250</v>
      </c>
      <c r="B1210" s="1115" t="s">
        <v>161</v>
      </c>
      <c r="C1210" s="1115" t="n">
        <v>33250</v>
      </c>
      <c r="D1210" s="1115" t="s">
        <v>161</v>
      </c>
      <c r="E1210" s="1115" t="s">
        <v>2471</v>
      </c>
      <c r="F1210" s="1115" t="n">
        <v>52730</v>
      </c>
      <c r="G1210" s="1115" t="n">
        <v>34320</v>
      </c>
      <c r="H1210" s="1115" t="s">
        <v>2472</v>
      </c>
      <c r="I1210" s="1115" t="n">
        <v>33300</v>
      </c>
      <c r="J1210" s="1115" t="s">
        <v>161</v>
      </c>
    </row>
    <row r="1211" customFormat="false" ht="14.1" hidden="false" customHeight="true" outlineLevel="0" collapsed="false">
      <c r="A1211" s="1115" t="n">
        <v>33270</v>
      </c>
      <c r="B1211" s="1115" t="s">
        <v>161</v>
      </c>
      <c r="C1211" s="1115" t="n">
        <v>33270</v>
      </c>
      <c r="D1211" s="1115" t="s">
        <v>161</v>
      </c>
      <c r="E1211" s="1115" t="s">
        <v>2473</v>
      </c>
      <c r="F1211" s="1115" t="n">
        <v>74490</v>
      </c>
      <c r="G1211" s="1115" t="n">
        <v>34330</v>
      </c>
      <c r="H1211" s="1115" t="s">
        <v>2474</v>
      </c>
      <c r="I1211" s="1115" t="n">
        <v>33310</v>
      </c>
      <c r="J1211" s="1115" t="s">
        <v>161</v>
      </c>
    </row>
    <row r="1212" customFormat="false" ht="14.1" hidden="false" customHeight="true" outlineLevel="0" collapsed="false">
      <c r="A1212" s="1115" t="n">
        <v>33300</v>
      </c>
      <c r="B1212" s="1115" t="s">
        <v>161</v>
      </c>
      <c r="C1212" s="1115" t="n">
        <v>33300</v>
      </c>
      <c r="D1212" s="1115" t="s">
        <v>161</v>
      </c>
      <c r="E1212" s="1115" t="s">
        <v>1520</v>
      </c>
      <c r="F1212" s="1115" t="n">
        <v>9630</v>
      </c>
      <c r="G1212" s="1115" t="n">
        <v>34350</v>
      </c>
      <c r="H1212" s="1115" t="s">
        <v>2136</v>
      </c>
      <c r="I1212" s="1115" t="n">
        <v>33330</v>
      </c>
      <c r="J1212" s="1115" t="s">
        <v>161</v>
      </c>
    </row>
    <row r="1213" customFormat="false" ht="14.1" hidden="false" customHeight="true" outlineLevel="0" collapsed="false">
      <c r="A1213" s="1115" t="n">
        <v>33310</v>
      </c>
      <c r="B1213" s="1115" t="s">
        <v>161</v>
      </c>
      <c r="C1213" s="1115" t="n">
        <v>33310</v>
      </c>
      <c r="D1213" s="1115" t="s">
        <v>161</v>
      </c>
      <c r="E1213" s="1115" t="s">
        <v>2475</v>
      </c>
      <c r="F1213" s="1115" t="n">
        <v>93460</v>
      </c>
      <c r="G1213" s="1115" t="n">
        <v>34370</v>
      </c>
      <c r="H1213" s="1115" t="s">
        <v>2476</v>
      </c>
      <c r="I1213" s="1115" t="n">
        <v>33340</v>
      </c>
      <c r="J1213" s="1115" t="s">
        <v>161</v>
      </c>
    </row>
    <row r="1214" customFormat="false" ht="14.1" hidden="false" customHeight="true" outlineLevel="0" collapsed="false">
      <c r="A1214" s="1115" t="n">
        <v>33330</v>
      </c>
      <c r="B1214" s="1115" t="s">
        <v>161</v>
      </c>
      <c r="C1214" s="1115" t="n">
        <v>33330</v>
      </c>
      <c r="D1214" s="1115" t="s">
        <v>161</v>
      </c>
      <c r="E1214" s="1115" t="s">
        <v>2477</v>
      </c>
      <c r="F1214" s="1115" t="n">
        <v>59130</v>
      </c>
      <c r="G1214" s="1115" t="n">
        <v>34410</v>
      </c>
      <c r="H1214" s="1115" t="s">
        <v>2478</v>
      </c>
      <c r="I1214" s="1115" t="n">
        <v>33380</v>
      </c>
      <c r="J1214" s="1115" t="s">
        <v>1271</v>
      </c>
    </row>
    <row r="1215" customFormat="false" ht="14.1" hidden="false" customHeight="true" outlineLevel="0" collapsed="false">
      <c r="A1215" s="1115" t="n">
        <v>33340</v>
      </c>
      <c r="B1215" s="1115" t="s">
        <v>161</v>
      </c>
      <c r="C1215" s="1115" t="n">
        <v>33340</v>
      </c>
      <c r="D1215" s="1115" t="s">
        <v>161</v>
      </c>
      <c r="E1215" s="1115" t="s">
        <v>2301</v>
      </c>
      <c r="F1215" s="1115" t="n">
        <v>29960</v>
      </c>
      <c r="G1215" s="1115" t="n">
        <v>34420</v>
      </c>
      <c r="H1215" s="1115" t="s">
        <v>2479</v>
      </c>
      <c r="I1215" s="1115" t="n">
        <v>33410</v>
      </c>
      <c r="J1215" s="1115" t="s">
        <v>161</v>
      </c>
    </row>
    <row r="1216" customFormat="false" ht="14.1" hidden="false" customHeight="true" outlineLevel="0" collapsed="false">
      <c r="A1216" s="1115" t="n">
        <v>33380</v>
      </c>
      <c r="B1216" s="1115" t="s">
        <v>161</v>
      </c>
      <c r="C1216" s="1115" t="n">
        <v>33380</v>
      </c>
      <c r="D1216" s="1115" t="s">
        <v>2438</v>
      </c>
      <c r="E1216" s="1115" t="s">
        <v>1874</v>
      </c>
      <c r="F1216" s="1115" t="n">
        <v>19540</v>
      </c>
      <c r="G1216" s="1115" t="n">
        <v>34430</v>
      </c>
      <c r="H1216" s="1115" t="s">
        <v>2350</v>
      </c>
      <c r="I1216" s="1115" t="n">
        <v>33420</v>
      </c>
      <c r="J1216" s="1115" t="s">
        <v>161</v>
      </c>
    </row>
    <row r="1217" customFormat="false" ht="14.1" hidden="false" customHeight="true" outlineLevel="0" collapsed="false">
      <c r="A1217" s="1115" t="n">
        <v>33410</v>
      </c>
      <c r="B1217" s="1115" t="s">
        <v>161</v>
      </c>
      <c r="C1217" s="1115" t="n">
        <v>33410</v>
      </c>
      <c r="D1217" s="1115" t="s">
        <v>161</v>
      </c>
      <c r="E1217" s="1115" t="s">
        <v>2480</v>
      </c>
      <c r="F1217" s="1115" t="n">
        <v>85430</v>
      </c>
      <c r="G1217" s="1115" t="n">
        <v>34450</v>
      </c>
      <c r="H1217" s="1115" t="s">
        <v>2102</v>
      </c>
      <c r="I1217" s="1115" t="n">
        <v>33430</v>
      </c>
      <c r="J1217" s="1115" t="s">
        <v>1644</v>
      </c>
    </row>
    <row r="1218" customFormat="false" ht="14.1" hidden="false" customHeight="true" outlineLevel="0" collapsed="false">
      <c r="A1218" s="1115" t="n">
        <v>33420</v>
      </c>
      <c r="B1218" s="1115" t="s">
        <v>161</v>
      </c>
      <c r="C1218" s="1115" t="n">
        <v>33420</v>
      </c>
      <c r="D1218" s="1115" t="s">
        <v>161</v>
      </c>
      <c r="E1218" s="1115" t="s">
        <v>2481</v>
      </c>
      <c r="F1218" s="1115" t="n">
        <v>95355</v>
      </c>
      <c r="G1218" s="1115" t="n">
        <v>34510</v>
      </c>
      <c r="H1218" s="1115" t="s">
        <v>2482</v>
      </c>
      <c r="I1218" s="1115" t="n">
        <v>33450</v>
      </c>
      <c r="J1218" s="1115" t="s">
        <v>1644</v>
      </c>
    </row>
    <row r="1219" customFormat="false" ht="14.1" hidden="false" customHeight="true" outlineLevel="0" collapsed="false">
      <c r="A1219" s="1115" t="n">
        <v>33430</v>
      </c>
      <c r="B1219" s="1115" t="s">
        <v>161</v>
      </c>
      <c r="C1219" s="1115" t="n">
        <v>33430</v>
      </c>
      <c r="D1219" s="1115" t="s">
        <v>2441</v>
      </c>
      <c r="E1219" s="1115" t="s">
        <v>2483</v>
      </c>
      <c r="F1219" s="1115" t="n">
        <v>72880</v>
      </c>
      <c r="G1219" s="1115" t="n">
        <v>34530</v>
      </c>
      <c r="H1219" s="1115" t="s">
        <v>2484</v>
      </c>
      <c r="I1219" s="1115" t="n">
        <v>33470</v>
      </c>
      <c r="J1219" s="1115" t="s">
        <v>1644</v>
      </c>
    </row>
    <row r="1220" customFormat="false" ht="14.1" hidden="false" customHeight="true" outlineLevel="0" collapsed="false">
      <c r="A1220" s="1115" t="n">
        <v>33450</v>
      </c>
      <c r="B1220" s="1115" t="s">
        <v>161</v>
      </c>
      <c r="C1220" s="1115" t="n">
        <v>33450</v>
      </c>
      <c r="D1220" s="1115" t="s">
        <v>2442</v>
      </c>
      <c r="E1220" s="1115" t="s">
        <v>2358</v>
      </c>
      <c r="F1220" s="1115" t="n">
        <v>31570</v>
      </c>
      <c r="G1220" s="1115" t="n">
        <v>34550</v>
      </c>
      <c r="H1220" s="1115" t="s">
        <v>1968</v>
      </c>
      <c r="I1220" s="1115" t="n">
        <v>33480</v>
      </c>
      <c r="J1220" s="1115" t="s">
        <v>1644</v>
      </c>
    </row>
    <row r="1221" customFormat="false" ht="14.1" hidden="false" customHeight="true" outlineLevel="0" collapsed="false">
      <c r="A1221" s="1115" t="n">
        <v>33470</v>
      </c>
      <c r="B1221" s="1115" t="s">
        <v>161</v>
      </c>
      <c r="C1221" s="1115" t="n">
        <v>33470</v>
      </c>
      <c r="D1221" s="1115" t="s">
        <v>1644</v>
      </c>
      <c r="E1221" s="1115" t="s">
        <v>2485</v>
      </c>
      <c r="F1221" s="1115" t="n">
        <v>51360</v>
      </c>
      <c r="G1221" s="1115" t="n">
        <v>34600</v>
      </c>
      <c r="H1221" s="1115" t="s">
        <v>1454</v>
      </c>
      <c r="I1221" s="1115" t="n">
        <v>33500</v>
      </c>
      <c r="J1221" s="1115" t="s">
        <v>161</v>
      </c>
    </row>
    <row r="1222" customFormat="false" ht="14.1" hidden="false" customHeight="true" outlineLevel="0" collapsed="false">
      <c r="A1222" s="1115" t="n">
        <v>33480</v>
      </c>
      <c r="B1222" s="1115" t="s">
        <v>161</v>
      </c>
      <c r="C1222" s="1115" t="n">
        <v>33480</v>
      </c>
      <c r="D1222" s="1115" t="s">
        <v>1644</v>
      </c>
      <c r="E1222" s="1115" t="s">
        <v>2486</v>
      </c>
      <c r="F1222" s="1115" t="n">
        <v>66530</v>
      </c>
      <c r="G1222" s="1115" t="n">
        <v>34610</v>
      </c>
      <c r="H1222" s="1115" t="s">
        <v>2487</v>
      </c>
      <c r="I1222" s="1115" t="n">
        <v>33520</v>
      </c>
      <c r="J1222" s="1115" t="s">
        <v>161</v>
      </c>
    </row>
    <row r="1223" customFormat="false" ht="14.1" hidden="false" customHeight="true" outlineLevel="0" collapsed="false">
      <c r="A1223" s="1115" t="n">
        <v>33500</v>
      </c>
      <c r="B1223" s="1115" t="s">
        <v>161</v>
      </c>
      <c r="C1223" s="1115" t="n">
        <v>33500</v>
      </c>
      <c r="D1223" s="1115" t="s">
        <v>161</v>
      </c>
      <c r="E1223" s="1115" t="s">
        <v>2488</v>
      </c>
      <c r="F1223" s="1115" t="n">
        <v>79750</v>
      </c>
      <c r="G1223" s="1115" t="n">
        <v>34620</v>
      </c>
      <c r="H1223" s="1115" t="s">
        <v>2489</v>
      </c>
      <c r="I1223" s="1115" t="n">
        <v>33530</v>
      </c>
      <c r="J1223" s="1115" t="s">
        <v>161</v>
      </c>
    </row>
    <row r="1224" customFormat="false" ht="14.1" hidden="false" customHeight="true" outlineLevel="0" collapsed="false">
      <c r="A1224" s="1115" t="n">
        <v>33520</v>
      </c>
      <c r="B1224" s="1115" t="s">
        <v>161</v>
      </c>
      <c r="C1224" s="1115" t="n">
        <v>33520</v>
      </c>
      <c r="D1224" s="1115" t="s">
        <v>161</v>
      </c>
      <c r="E1224" s="1115" t="s">
        <v>2490</v>
      </c>
      <c r="F1224" s="1115" t="n">
        <v>44890</v>
      </c>
      <c r="G1224" s="1115" t="n">
        <v>34630</v>
      </c>
      <c r="H1224" s="1115" t="s">
        <v>2491</v>
      </c>
      <c r="I1224" s="1115" t="n">
        <v>33540</v>
      </c>
      <c r="J1224" s="1115" t="s">
        <v>161</v>
      </c>
    </row>
    <row r="1225" customFormat="false" ht="14.1" hidden="false" customHeight="true" outlineLevel="0" collapsed="false">
      <c r="A1225" s="1115" t="n">
        <v>33530</v>
      </c>
      <c r="B1225" s="1115" t="s">
        <v>161</v>
      </c>
      <c r="C1225" s="1115" t="n">
        <v>33530</v>
      </c>
      <c r="D1225" s="1115" t="s">
        <v>161</v>
      </c>
      <c r="E1225" s="1115" t="s">
        <v>2391</v>
      </c>
      <c r="F1225" s="1115" t="n">
        <v>32250</v>
      </c>
      <c r="G1225" s="1115" t="n">
        <v>34640</v>
      </c>
      <c r="H1225" s="1115" t="s">
        <v>2492</v>
      </c>
      <c r="I1225" s="1115" t="n">
        <v>33560</v>
      </c>
      <c r="J1225" s="1115" t="s">
        <v>161</v>
      </c>
    </row>
    <row r="1226" customFormat="false" ht="14.1" hidden="false" customHeight="true" outlineLevel="0" collapsed="false">
      <c r="A1226" s="1115" t="n">
        <v>33540</v>
      </c>
      <c r="B1226" s="1115" t="s">
        <v>161</v>
      </c>
      <c r="C1226" s="1115" t="n">
        <v>33540</v>
      </c>
      <c r="D1226" s="1115" t="s">
        <v>161</v>
      </c>
      <c r="E1226" s="1115" t="s">
        <v>2393</v>
      </c>
      <c r="F1226" s="1115" t="n">
        <v>32260</v>
      </c>
      <c r="G1226" s="1115" t="n">
        <v>34710</v>
      </c>
      <c r="H1226" s="1115" t="s">
        <v>2493</v>
      </c>
      <c r="I1226" s="1115" t="n">
        <v>33580</v>
      </c>
      <c r="J1226" s="1115" t="s">
        <v>161</v>
      </c>
    </row>
    <row r="1227" customFormat="false" ht="14.1" hidden="false" customHeight="true" outlineLevel="0" collapsed="false">
      <c r="A1227" s="1115" t="n">
        <v>33560</v>
      </c>
      <c r="B1227" s="1115" t="s">
        <v>161</v>
      </c>
      <c r="C1227" s="1115" t="n">
        <v>33560</v>
      </c>
      <c r="D1227" s="1115" t="s">
        <v>161</v>
      </c>
      <c r="E1227" s="1115" t="s">
        <v>1092</v>
      </c>
      <c r="F1227" s="1115" t="n">
        <v>32800</v>
      </c>
      <c r="G1227" s="1115" t="n">
        <v>34730</v>
      </c>
      <c r="H1227" s="1115" t="s">
        <v>2494</v>
      </c>
      <c r="I1227" s="1115" t="n">
        <v>33610</v>
      </c>
      <c r="J1227" s="1115" t="s">
        <v>161</v>
      </c>
    </row>
    <row r="1228" customFormat="false" ht="14.1" hidden="false" customHeight="true" outlineLevel="0" collapsed="false">
      <c r="A1228" s="1115" t="n">
        <v>33580</v>
      </c>
      <c r="B1228" s="1115" t="s">
        <v>161</v>
      </c>
      <c r="C1228" s="1115" t="n">
        <v>33580</v>
      </c>
      <c r="D1228" s="1115" t="s">
        <v>161</v>
      </c>
      <c r="E1228" s="1115" t="s">
        <v>2495</v>
      </c>
      <c r="F1228" s="1115" t="n">
        <v>82865</v>
      </c>
      <c r="G1228" s="1115" t="n">
        <v>34740</v>
      </c>
      <c r="H1228" s="1115" t="s">
        <v>2496</v>
      </c>
      <c r="I1228" s="1115" t="n">
        <v>33680</v>
      </c>
      <c r="J1228" s="1115" t="s">
        <v>161</v>
      </c>
    </row>
    <row r="1229" customFormat="false" ht="14.1" hidden="false" customHeight="true" outlineLevel="0" collapsed="false">
      <c r="A1229" s="1115" t="n">
        <v>33610</v>
      </c>
      <c r="B1229" s="1115" t="s">
        <v>161</v>
      </c>
      <c r="C1229" s="1115" t="n">
        <v>33610</v>
      </c>
      <c r="D1229" s="1115" t="s">
        <v>161</v>
      </c>
      <c r="E1229" s="1115" t="s">
        <v>1665</v>
      </c>
      <c r="F1229" s="1115" t="n">
        <v>14760</v>
      </c>
      <c r="G1229" s="1115" t="n">
        <v>34740</v>
      </c>
      <c r="H1229" s="1115" t="s">
        <v>2497</v>
      </c>
      <c r="I1229" s="1115" t="n">
        <v>33700</v>
      </c>
      <c r="J1229" s="1115" t="s">
        <v>161</v>
      </c>
    </row>
    <row r="1230" customFormat="false" ht="14.1" hidden="false" customHeight="true" outlineLevel="0" collapsed="false">
      <c r="A1230" s="1115" t="n">
        <v>33680</v>
      </c>
      <c r="B1230" s="1115" t="s">
        <v>161</v>
      </c>
      <c r="C1230" s="1115" t="n">
        <v>33680</v>
      </c>
      <c r="D1230" s="1115" t="s">
        <v>161</v>
      </c>
      <c r="E1230" s="1115" t="s">
        <v>2498</v>
      </c>
      <c r="F1230" s="1115" t="n">
        <v>82435</v>
      </c>
      <c r="G1230" s="1115" t="n">
        <v>34750</v>
      </c>
      <c r="H1230" s="1115" t="s">
        <v>2499</v>
      </c>
      <c r="I1230" s="1115" t="n">
        <v>33710</v>
      </c>
      <c r="J1230" s="1115" t="s">
        <v>161</v>
      </c>
    </row>
    <row r="1231" customFormat="false" ht="14.1" hidden="false" customHeight="true" outlineLevel="0" collapsed="false">
      <c r="A1231" s="1115" t="n">
        <v>33700</v>
      </c>
      <c r="B1231" s="1115" t="s">
        <v>161</v>
      </c>
      <c r="C1231" s="1115" t="n">
        <v>33700</v>
      </c>
      <c r="D1231" s="1115" t="s">
        <v>161</v>
      </c>
      <c r="E1231" s="1115" t="s">
        <v>2500</v>
      </c>
      <c r="F1231" s="1115" t="n">
        <v>93195</v>
      </c>
      <c r="G1231" s="1115" t="n">
        <v>34770</v>
      </c>
      <c r="H1231" s="1115" t="s">
        <v>2501</v>
      </c>
      <c r="I1231" s="1115" t="n">
        <v>33720</v>
      </c>
      <c r="J1231" s="1115" t="s">
        <v>161</v>
      </c>
    </row>
    <row r="1232" customFormat="false" ht="14.1" hidden="false" customHeight="true" outlineLevel="0" collapsed="false">
      <c r="A1232" s="1115" t="n">
        <v>33710</v>
      </c>
      <c r="B1232" s="1115" t="s">
        <v>161</v>
      </c>
      <c r="C1232" s="1115" t="n">
        <v>33710</v>
      </c>
      <c r="D1232" s="1115" t="s">
        <v>161</v>
      </c>
      <c r="E1232" s="1115" t="s">
        <v>761</v>
      </c>
      <c r="F1232" s="1115" t="n">
        <v>67100</v>
      </c>
      <c r="G1232" s="1115" t="n">
        <v>34800</v>
      </c>
      <c r="H1232" s="1115" t="s">
        <v>1627</v>
      </c>
      <c r="I1232" s="1115" t="n">
        <v>33730</v>
      </c>
      <c r="J1232" s="1115" t="s">
        <v>161</v>
      </c>
    </row>
    <row r="1233" customFormat="false" ht="14.1" hidden="false" customHeight="true" outlineLevel="0" collapsed="false">
      <c r="A1233" s="1115" t="n">
        <v>33720</v>
      </c>
      <c r="B1233" s="1115" t="s">
        <v>161</v>
      </c>
      <c r="C1233" s="1115" t="n">
        <v>33720</v>
      </c>
      <c r="D1233" s="1115" t="s">
        <v>161</v>
      </c>
      <c r="E1233" s="1115" t="s">
        <v>761</v>
      </c>
      <c r="F1233" s="1115" t="n">
        <v>67200</v>
      </c>
      <c r="G1233" s="1115" t="n">
        <v>34850</v>
      </c>
      <c r="H1233" s="1115" t="s">
        <v>2116</v>
      </c>
      <c r="I1233" s="1115" t="n">
        <v>33800</v>
      </c>
      <c r="J1233" s="1115" t="s">
        <v>161</v>
      </c>
    </row>
    <row r="1234" customFormat="false" ht="14.1" hidden="false" customHeight="true" outlineLevel="0" collapsed="false">
      <c r="A1234" s="1115" t="n">
        <v>33730</v>
      </c>
      <c r="B1234" s="1115" t="s">
        <v>161</v>
      </c>
      <c r="C1234" s="1115" t="n">
        <v>33730</v>
      </c>
      <c r="D1234" s="1115" t="s">
        <v>161</v>
      </c>
      <c r="E1234" s="1115" t="s">
        <v>761</v>
      </c>
      <c r="F1234" s="1115" t="n">
        <v>67300</v>
      </c>
      <c r="G1234" s="1115" t="n">
        <v>34870</v>
      </c>
      <c r="H1234" s="1115" t="s">
        <v>2502</v>
      </c>
      <c r="I1234" s="1115" t="n">
        <v>33820</v>
      </c>
      <c r="J1234" s="1115" t="s">
        <v>161</v>
      </c>
    </row>
    <row r="1235" customFormat="false" ht="14.1" hidden="false" customHeight="true" outlineLevel="0" collapsed="false">
      <c r="A1235" s="1115" t="n">
        <v>33800</v>
      </c>
      <c r="B1235" s="1115" t="s">
        <v>161</v>
      </c>
      <c r="C1235" s="1115" t="n">
        <v>33800</v>
      </c>
      <c r="D1235" s="1115" t="s">
        <v>161</v>
      </c>
      <c r="E1235" s="1115" t="s">
        <v>761</v>
      </c>
      <c r="F1235" s="1115" t="n">
        <v>67400</v>
      </c>
      <c r="G1235" s="1115" t="n">
        <v>34910</v>
      </c>
      <c r="H1235" s="1115" t="s">
        <v>2503</v>
      </c>
      <c r="I1235" s="1115" t="n">
        <v>33840</v>
      </c>
      <c r="J1235" s="1115" t="s">
        <v>161</v>
      </c>
    </row>
    <row r="1236" customFormat="false" ht="14.1" hidden="false" customHeight="true" outlineLevel="0" collapsed="false">
      <c r="A1236" s="1115" t="n">
        <v>33820</v>
      </c>
      <c r="B1236" s="1115" t="s">
        <v>161</v>
      </c>
      <c r="C1236" s="1115" t="n">
        <v>33820</v>
      </c>
      <c r="D1236" s="1115" t="s">
        <v>161</v>
      </c>
      <c r="E1236" s="1115" t="s">
        <v>761</v>
      </c>
      <c r="F1236" s="1115" t="n">
        <v>67410</v>
      </c>
      <c r="G1236" s="1115" t="n">
        <v>34930</v>
      </c>
      <c r="H1236" s="1115" t="s">
        <v>2504</v>
      </c>
      <c r="I1236" s="1115" t="n">
        <v>33850</v>
      </c>
      <c r="J1236" s="1115" t="s">
        <v>161</v>
      </c>
    </row>
    <row r="1237" customFormat="false" ht="14.1" hidden="false" customHeight="true" outlineLevel="0" collapsed="false">
      <c r="A1237" s="1115" t="n">
        <v>33840</v>
      </c>
      <c r="B1237" s="1115" t="s">
        <v>161</v>
      </c>
      <c r="C1237" s="1115" t="n">
        <v>33840</v>
      </c>
      <c r="D1237" s="1115" t="s">
        <v>161</v>
      </c>
      <c r="E1237" s="1115" t="s">
        <v>761</v>
      </c>
      <c r="F1237" s="1115" t="n">
        <v>67500</v>
      </c>
      <c r="G1237" s="1115" t="n">
        <v>34950</v>
      </c>
      <c r="H1237" s="1115" t="s">
        <v>2505</v>
      </c>
      <c r="I1237" s="1115" t="n">
        <v>33880</v>
      </c>
      <c r="J1237" s="1115" t="s">
        <v>1163</v>
      </c>
    </row>
    <row r="1238" customFormat="false" ht="14.1" hidden="false" customHeight="true" outlineLevel="0" collapsed="false">
      <c r="A1238" s="1115" t="n">
        <v>33850</v>
      </c>
      <c r="B1238" s="1115" t="s">
        <v>161</v>
      </c>
      <c r="C1238" s="1115" t="n">
        <v>33850</v>
      </c>
      <c r="D1238" s="1115" t="s">
        <v>161</v>
      </c>
      <c r="E1238" s="1115" t="s">
        <v>761</v>
      </c>
      <c r="F1238" s="1115" t="n">
        <v>67600</v>
      </c>
      <c r="G1238" s="1115" t="n">
        <v>34950</v>
      </c>
      <c r="H1238" s="1115" t="s">
        <v>2506</v>
      </c>
      <c r="I1238" s="1115" t="n">
        <v>33900</v>
      </c>
      <c r="J1238" s="1115" t="s">
        <v>161</v>
      </c>
    </row>
    <row r="1239" customFormat="false" ht="14.1" hidden="false" customHeight="true" outlineLevel="0" collapsed="false">
      <c r="A1239" s="1115" t="n">
        <v>33880</v>
      </c>
      <c r="B1239" s="1115" t="s">
        <v>161</v>
      </c>
      <c r="C1239" s="1115" t="n">
        <v>33880</v>
      </c>
      <c r="D1239" s="1115" t="s">
        <v>1163</v>
      </c>
      <c r="E1239" s="1115" t="s">
        <v>761</v>
      </c>
      <c r="F1239" s="1115" t="n">
        <v>67700</v>
      </c>
      <c r="G1239" s="1115" t="n">
        <v>34970</v>
      </c>
      <c r="H1239" s="1115" t="s">
        <v>2507</v>
      </c>
      <c r="I1239" s="1115" t="n">
        <v>33920</v>
      </c>
      <c r="J1239" s="1115" t="s">
        <v>1353</v>
      </c>
    </row>
    <row r="1240" customFormat="false" ht="14.1" hidden="false" customHeight="true" outlineLevel="0" collapsed="false">
      <c r="A1240" s="1115" t="n">
        <v>33900</v>
      </c>
      <c r="B1240" s="1115" t="s">
        <v>161</v>
      </c>
      <c r="C1240" s="1115" t="n">
        <v>33900</v>
      </c>
      <c r="D1240" s="1115" t="s">
        <v>161</v>
      </c>
      <c r="E1240" s="1115" t="s">
        <v>761</v>
      </c>
      <c r="F1240" s="1115" t="n">
        <v>67800</v>
      </c>
      <c r="G1240" s="1115" t="n">
        <v>34980</v>
      </c>
      <c r="H1240" s="1115" t="s">
        <v>2419</v>
      </c>
      <c r="I1240" s="1115" t="n">
        <v>33940</v>
      </c>
      <c r="J1240" s="1115" t="s">
        <v>1353</v>
      </c>
    </row>
    <row r="1241" customFormat="false" ht="14.1" hidden="false" customHeight="true" outlineLevel="0" collapsed="false">
      <c r="A1241" s="1115" t="n">
        <v>33920</v>
      </c>
      <c r="B1241" s="1115" t="s">
        <v>161</v>
      </c>
      <c r="C1241" s="1115" t="n">
        <v>33920</v>
      </c>
      <c r="D1241" s="1115" t="s">
        <v>1353</v>
      </c>
      <c r="E1241" s="1115" t="s">
        <v>761</v>
      </c>
      <c r="F1241" s="1115" t="n">
        <v>67900</v>
      </c>
      <c r="G1241" s="1115" t="n">
        <v>35100</v>
      </c>
      <c r="H1241" s="1115" t="s">
        <v>1300</v>
      </c>
      <c r="I1241" s="1115" t="n">
        <v>33950</v>
      </c>
      <c r="J1241" s="1115" t="s">
        <v>1353</v>
      </c>
    </row>
    <row r="1242" customFormat="false" ht="14.1" hidden="false" customHeight="true" outlineLevel="0" collapsed="false">
      <c r="A1242" s="1115" t="n">
        <v>33940</v>
      </c>
      <c r="B1242" s="1115" t="s">
        <v>161</v>
      </c>
      <c r="C1242" s="1115" t="n">
        <v>33940</v>
      </c>
      <c r="D1242" s="1115" t="s">
        <v>1353</v>
      </c>
      <c r="E1242" s="1115" t="s">
        <v>761</v>
      </c>
      <c r="F1242" s="1115" t="n">
        <v>68999</v>
      </c>
      <c r="G1242" s="1115" t="n">
        <v>35130</v>
      </c>
      <c r="H1242" s="1115" t="s">
        <v>2508</v>
      </c>
      <c r="I1242" s="1115" t="n">
        <v>33960</v>
      </c>
      <c r="J1242" s="1115" t="s">
        <v>1353</v>
      </c>
    </row>
    <row r="1243" customFormat="false" ht="14.1" hidden="false" customHeight="true" outlineLevel="0" collapsed="false">
      <c r="A1243" s="1115" t="n">
        <v>33950</v>
      </c>
      <c r="B1243" s="1115" t="s">
        <v>161</v>
      </c>
      <c r="C1243" s="1115" t="n">
        <v>33950</v>
      </c>
      <c r="D1243" s="1115" t="s">
        <v>1353</v>
      </c>
      <c r="E1243" s="1115" t="s">
        <v>2509</v>
      </c>
      <c r="F1243" s="1115" t="n">
        <v>58310</v>
      </c>
      <c r="G1243" s="1115" t="n">
        <v>35150</v>
      </c>
      <c r="H1243" s="1115" t="s">
        <v>2510</v>
      </c>
      <c r="I1243" s="1115" t="n">
        <v>33970</v>
      </c>
      <c r="J1243" s="1115" t="s">
        <v>1353</v>
      </c>
    </row>
    <row r="1244" customFormat="false" ht="14.1" hidden="false" customHeight="true" outlineLevel="0" collapsed="false">
      <c r="A1244" s="1115" t="n">
        <v>33960</v>
      </c>
      <c r="B1244" s="1115" t="s">
        <v>161</v>
      </c>
      <c r="C1244" s="1115" t="n">
        <v>33960</v>
      </c>
      <c r="D1244" s="1115" t="s">
        <v>1353</v>
      </c>
      <c r="E1244" s="1115" t="s">
        <v>1093</v>
      </c>
      <c r="F1244" s="1115" t="n">
        <v>95900</v>
      </c>
      <c r="G1244" s="1115" t="n">
        <v>35220</v>
      </c>
      <c r="H1244" s="1115" t="s">
        <v>1113</v>
      </c>
      <c r="I1244" s="1115" t="n">
        <v>33980</v>
      </c>
      <c r="J1244" s="1115" t="s">
        <v>1353</v>
      </c>
    </row>
    <row r="1245" customFormat="false" ht="14.1" hidden="false" customHeight="true" outlineLevel="0" collapsed="false">
      <c r="A1245" s="1115" t="n">
        <v>33970</v>
      </c>
      <c r="B1245" s="1115" t="s">
        <v>161</v>
      </c>
      <c r="C1245" s="1115" t="n">
        <v>33970</v>
      </c>
      <c r="D1245" s="1115" t="s">
        <v>1353</v>
      </c>
      <c r="E1245" s="1115" t="s">
        <v>2511</v>
      </c>
      <c r="F1245" s="1115" t="n">
        <v>35990</v>
      </c>
      <c r="G1245" s="1115" t="n">
        <v>35240</v>
      </c>
      <c r="H1245" s="1115" t="s">
        <v>2512</v>
      </c>
      <c r="I1245" s="1115" t="n">
        <v>34110</v>
      </c>
      <c r="J1245" s="1115" t="s">
        <v>1353</v>
      </c>
    </row>
    <row r="1246" customFormat="false" ht="14.1" hidden="false" customHeight="true" outlineLevel="0" collapsed="false">
      <c r="A1246" s="1115" t="n">
        <v>33980</v>
      </c>
      <c r="B1246" s="1115" t="s">
        <v>161</v>
      </c>
      <c r="C1246" s="1115" t="n">
        <v>33980</v>
      </c>
      <c r="D1246" s="1115" t="s">
        <v>1353</v>
      </c>
      <c r="E1246" s="1115" t="s">
        <v>2513</v>
      </c>
      <c r="F1246" s="1115" t="n">
        <v>83960</v>
      </c>
      <c r="G1246" s="1115" t="n">
        <v>35260</v>
      </c>
      <c r="H1246" s="1115" t="s">
        <v>1747</v>
      </c>
      <c r="I1246" s="1115" t="n">
        <v>34120</v>
      </c>
      <c r="J1246" s="1115" t="s">
        <v>1353</v>
      </c>
    </row>
    <row r="1247" customFormat="false" ht="14.1" hidden="false" customHeight="true" outlineLevel="0" collapsed="false">
      <c r="A1247" s="1115" t="n">
        <v>34110</v>
      </c>
      <c r="B1247" s="1115" t="s">
        <v>161</v>
      </c>
      <c r="C1247" s="1115" t="n">
        <v>34110</v>
      </c>
      <c r="D1247" s="1115" t="s">
        <v>2458</v>
      </c>
      <c r="E1247" s="1115" t="s">
        <v>2514</v>
      </c>
      <c r="F1247" s="1115" t="n">
        <v>51660</v>
      </c>
      <c r="G1247" s="1115" t="n">
        <v>35270</v>
      </c>
      <c r="H1247" s="1115" t="s">
        <v>2515</v>
      </c>
      <c r="I1247" s="1115" t="n">
        <v>34130</v>
      </c>
      <c r="J1247" s="1115" t="s">
        <v>1353</v>
      </c>
    </row>
    <row r="1248" customFormat="false" ht="14.1" hidden="false" customHeight="true" outlineLevel="0" collapsed="false">
      <c r="A1248" s="1115" t="n">
        <v>34120</v>
      </c>
      <c r="B1248" s="1115" t="s">
        <v>161</v>
      </c>
      <c r="C1248" s="1115" t="n">
        <v>34120</v>
      </c>
      <c r="D1248" s="1115" t="s">
        <v>2459</v>
      </c>
      <c r="E1248" s="1115" t="s">
        <v>2516</v>
      </c>
      <c r="F1248" s="1115" t="n">
        <v>74160</v>
      </c>
      <c r="G1248" s="1115" t="n">
        <v>35300</v>
      </c>
      <c r="H1248" s="1115" t="s">
        <v>1300</v>
      </c>
      <c r="I1248" s="1115" t="n">
        <v>34140</v>
      </c>
      <c r="J1248" s="1115" t="s">
        <v>1353</v>
      </c>
    </row>
    <row r="1249" customFormat="false" ht="14.1" hidden="false" customHeight="true" outlineLevel="0" collapsed="false">
      <c r="A1249" s="1115" t="n">
        <v>34130</v>
      </c>
      <c r="B1249" s="1115" t="s">
        <v>161</v>
      </c>
      <c r="C1249" s="1115" t="n">
        <v>34130</v>
      </c>
      <c r="D1249" s="1115" t="s">
        <v>2460</v>
      </c>
      <c r="E1249" s="1115" t="s">
        <v>2517</v>
      </c>
      <c r="F1249" s="1115" t="n">
        <v>43250</v>
      </c>
      <c r="G1249" s="1115" t="n">
        <v>35320</v>
      </c>
      <c r="H1249" s="1115" t="s">
        <v>1712</v>
      </c>
      <c r="I1249" s="1115" t="n">
        <v>34150</v>
      </c>
      <c r="J1249" s="1115" t="s">
        <v>1353</v>
      </c>
    </row>
    <row r="1250" customFormat="false" ht="14.1" hidden="false" customHeight="true" outlineLevel="0" collapsed="false">
      <c r="A1250" s="1115" t="n">
        <v>34140</v>
      </c>
      <c r="B1250" s="1115" t="s">
        <v>161</v>
      </c>
      <c r="C1250" s="1115" t="n">
        <v>34140</v>
      </c>
      <c r="D1250" s="1115" t="s">
        <v>2462</v>
      </c>
      <c r="E1250" s="1115" t="s">
        <v>2518</v>
      </c>
      <c r="F1250" s="1115" t="n">
        <v>42840</v>
      </c>
      <c r="G1250" s="1115" t="n">
        <v>35400</v>
      </c>
      <c r="H1250" s="1115" t="s">
        <v>2519</v>
      </c>
      <c r="I1250" s="1115" t="n">
        <v>34180</v>
      </c>
      <c r="J1250" s="1115" t="s">
        <v>1353</v>
      </c>
    </row>
    <row r="1251" customFormat="false" ht="14.1" hidden="false" customHeight="true" outlineLevel="0" collapsed="false">
      <c r="A1251" s="1115" t="n">
        <v>34150</v>
      </c>
      <c r="B1251" s="1115" t="s">
        <v>161</v>
      </c>
      <c r="C1251" s="1115" t="n">
        <v>34150</v>
      </c>
      <c r="D1251" s="1115" t="s">
        <v>2463</v>
      </c>
      <c r="E1251" s="1115" t="s">
        <v>2520</v>
      </c>
      <c r="F1251" s="1115" t="n">
        <v>58930</v>
      </c>
      <c r="G1251" s="1115" t="n">
        <v>35420</v>
      </c>
      <c r="H1251" s="1115" t="s">
        <v>2521</v>
      </c>
      <c r="I1251" s="1115" t="n">
        <v>34240</v>
      </c>
      <c r="J1251" s="1115" t="s">
        <v>1353</v>
      </c>
    </row>
    <row r="1252" customFormat="false" ht="14.1" hidden="false" customHeight="true" outlineLevel="0" collapsed="false">
      <c r="A1252" s="1115" t="n">
        <v>34180</v>
      </c>
      <c r="B1252" s="1115" t="s">
        <v>161</v>
      </c>
      <c r="C1252" s="1115" t="n">
        <v>34180</v>
      </c>
      <c r="D1252" s="1115" t="s">
        <v>2464</v>
      </c>
      <c r="E1252" s="1115" t="s">
        <v>2522</v>
      </c>
      <c r="F1252" s="1115" t="n">
        <v>58920</v>
      </c>
      <c r="G1252" s="1115" t="n">
        <v>35480</v>
      </c>
      <c r="H1252" s="1115" t="s">
        <v>1207</v>
      </c>
      <c r="I1252" s="1115" t="n">
        <v>34260</v>
      </c>
      <c r="J1252" s="1115" t="s">
        <v>1353</v>
      </c>
    </row>
    <row r="1253" customFormat="false" ht="14.1" hidden="false" customHeight="true" outlineLevel="0" collapsed="false">
      <c r="A1253" s="1115" t="n">
        <v>34240</v>
      </c>
      <c r="B1253" s="1115" t="s">
        <v>161</v>
      </c>
      <c r="C1253" s="1115" t="n">
        <v>34240</v>
      </c>
      <c r="D1253" s="1115" t="s">
        <v>2466</v>
      </c>
      <c r="E1253" s="1115" t="s">
        <v>2161</v>
      </c>
      <c r="F1253" s="1115" t="n">
        <v>26560</v>
      </c>
      <c r="G1253" s="1115" t="n">
        <v>35500</v>
      </c>
      <c r="H1253" s="1115" t="s">
        <v>2523</v>
      </c>
      <c r="I1253" s="1115" t="n">
        <v>34270</v>
      </c>
      <c r="J1253" s="1115" t="s">
        <v>1353</v>
      </c>
    </row>
    <row r="1254" customFormat="false" ht="14.1" hidden="false" customHeight="true" outlineLevel="0" collapsed="false">
      <c r="A1254" s="1115" t="n">
        <v>34260</v>
      </c>
      <c r="B1254" s="1115" t="s">
        <v>161</v>
      </c>
      <c r="C1254" s="1115" t="n">
        <v>34260</v>
      </c>
      <c r="D1254" s="1115" t="s">
        <v>2468</v>
      </c>
      <c r="E1254" s="1115" t="s">
        <v>2524</v>
      </c>
      <c r="F1254" s="1115" t="n">
        <v>93145</v>
      </c>
      <c r="G1254" s="1115" t="n">
        <v>35520</v>
      </c>
      <c r="H1254" s="1115" t="s">
        <v>2525</v>
      </c>
      <c r="I1254" s="1115" t="n">
        <v>34300</v>
      </c>
      <c r="J1254" s="1115" t="s">
        <v>1353</v>
      </c>
    </row>
    <row r="1255" customFormat="false" ht="14.1" hidden="false" customHeight="true" outlineLevel="0" collapsed="false">
      <c r="A1255" s="1115" t="n">
        <v>34270</v>
      </c>
      <c r="B1255" s="1115" t="s">
        <v>161</v>
      </c>
      <c r="C1255" s="1115" t="n">
        <v>34270</v>
      </c>
      <c r="D1255" s="1115" t="s">
        <v>2469</v>
      </c>
      <c r="E1255" s="1115" t="s">
        <v>2526</v>
      </c>
      <c r="F1255" s="1115" t="n">
        <v>79630</v>
      </c>
      <c r="G1255" s="1115" t="n">
        <v>35530</v>
      </c>
      <c r="H1255" s="1115" t="s">
        <v>2527</v>
      </c>
      <c r="I1255" s="1115" t="n">
        <v>34320</v>
      </c>
      <c r="J1255" s="1115" t="s">
        <v>1353</v>
      </c>
    </row>
    <row r="1256" customFormat="false" ht="14.1" hidden="false" customHeight="true" outlineLevel="0" collapsed="false">
      <c r="A1256" s="1115" t="n">
        <v>34300</v>
      </c>
      <c r="B1256" s="1115" t="s">
        <v>161</v>
      </c>
      <c r="C1256" s="1115" t="n">
        <v>34300</v>
      </c>
      <c r="D1256" s="1115" t="s">
        <v>1126</v>
      </c>
      <c r="E1256" s="1115" t="s">
        <v>2528</v>
      </c>
      <c r="F1256" s="1115" t="n">
        <v>71830</v>
      </c>
      <c r="G1256" s="1115" t="n">
        <v>35540</v>
      </c>
      <c r="H1256" s="1115" t="s">
        <v>926</v>
      </c>
      <c r="I1256" s="1115" t="n">
        <v>34330</v>
      </c>
      <c r="J1256" s="1115" t="s">
        <v>1353</v>
      </c>
    </row>
    <row r="1257" customFormat="false" ht="14.1" hidden="false" customHeight="true" outlineLevel="0" collapsed="false">
      <c r="A1257" s="1115" t="n">
        <v>34320</v>
      </c>
      <c r="B1257" s="1115" t="s">
        <v>161</v>
      </c>
      <c r="C1257" s="1115" t="n">
        <v>34320</v>
      </c>
      <c r="D1257" s="1115" t="s">
        <v>2472</v>
      </c>
      <c r="E1257" s="1115" t="s">
        <v>2011</v>
      </c>
      <c r="F1257" s="1115" t="n">
        <v>21970</v>
      </c>
      <c r="G1257" s="1115" t="n">
        <v>35550</v>
      </c>
      <c r="H1257" s="1115" t="s">
        <v>2529</v>
      </c>
      <c r="I1257" s="1115" t="n">
        <v>34350</v>
      </c>
      <c r="J1257" s="1115" t="s">
        <v>1353</v>
      </c>
    </row>
    <row r="1258" customFormat="false" ht="14.1" hidden="false" customHeight="true" outlineLevel="0" collapsed="false">
      <c r="A1258" s="1115" t="n">
        <v>34330</v>
      </c>
      <c r="B1258" s="1115" t="s">
        <v>161</v>
      </c>
      <c r="C1258" s="1115" t="n">
        <v>34330</v>
      </c>
      <c r="D1258" s="1115" t="s">
        <v>2474</v>
      </c>
      <c r="E1258" s="1115" t="s">
        <v>2530</v>
      </c>
      <c r="F1258" s="1115" t="n">
        <v>39360</v>
      </c>
      <c r="G1258" s="1115" t="n">
        <v>35600</v>
      </c>
      <c r="H1258" s="1115" t="s">
        <v>1337</v>
      </c>
      <c r="I1258" s="1115" t="n">
        <v>34370</v>
      </c>
      <c r="J1258" s="1115" t="s">
        <v>1353</v>
      </c>
    </row>
    <row r="1259" customFormat="false" ht="14.1" hidden="false" customHeight="true" outlineLevel="0" collapsed="false">
      <c r="A1259" s="1115" t="n">
        <v>34350</v>
      </c>
      <c r="B1259" s="1115" t="s">
        <v>161</v>
      </c>
      <c r="C1259" s="1115" t="n">
        <v>34350</v>
      </c>
      <c r="D1259" s="1115" t="s">
        <v>2136</v>
      </c>
      <c r="E1259" s="1115" t="s">
        <v>2531</v>
      </c>
      <c r="F1259" s="1115" t="n">
        <v>66820</v>
      </c>
      <c r="G1259" s="1115" t="n">
        <v>35610</v>
      </c>
      <c r="H1259" s="1115" t="s">
        <v>2532</v>
      </c>
      <c r="I1259" s="1115" t="n">
        <v>34410</v>
      </c>
      <c r="J1259" s="1115" t="s">
        <v>1454</v>
      </c>
    </row>
    <row r="1260" customFormat="false" ht="14.1" hidden="false" customHeight="true" outlineLevel="0" collapsed="false">
      <c r="A1260" s="1115" t="n">
        <v>34370</v>
      </c>
      <c r="B1260" s="1115" t="s">
        <v>161</v>
      </c>
      <c r="C1260" s="1115" t="n">
        <v>34370</v>
      </c>
      <c r="D1260" s="1115" t="s">
        <v>2476</v>
      </c>
      <c r="E1260" s="1115" t="s">
        <v>2533</v>
      </c>
      <c r="F1260" s="1115" t="n">
        <v>83310</v>
      </c>
      <c r="G1260" s="1115" t="n">
        <v>35630</v>
      </c>
      <c r="H1260" s="1115" t="s">
        <v>2534</v>
      </c>
      <c r="I1260" s="1115" t="n">
        <v>34420</v>
      </c>
      <c r="J1260" s="1115" t="s">
        <v>1454</v>
      </c>
    </row>
    <row r="1261" customFormat="false" ht="14.1" hidden="false" customHeight="true" outlineLevel="0" collapsed="false">
      <c r="A1261" s="1115" t="n">
        <v>34410</v>
      </c>
      <c r="B1261" s="1115" t="s">
        <v>161</v>
      </c>
      <c r="C1261" s="1115" t="n">
        <v>34410</v>
      </c>
      <c r="D1261" s="1115" t="s">
        <v>2478</v>
      </c>
      <c r="E1261" s="1115" t="s">
        <v>2535</v>
      </c>
      <c r="F1261" s="1115" t="n">
        <v>51120</v>
      </c>
      <c r="G1261" s="1115" t="n">
        <v>35700</v>
      </c>
      <c r="H1261" s="1115" t="s">
        <v>1624</v>
      </c>
      <c r="I1261" s="1115" t="n">
        <v>34430</v>
      </c>
      <c r="J1261" s="1115" t="s">
        <v>1454</v>
      </c>
    </row>
    <row r="1262" customFormat="false" ht="14.1" hidden="false" customHeight="true" outlineLevel="0" collapsed="false">
      <c r="A1262" s="1115" t="n">
        <v>34420</v>
      </c>
      <c r="B1262" s="1115" t="s">
        <v>161</v>
      </c>
      <c r="C1262" s="1115" t="n">
        <v>34420</v>
      </c>
      <c r="D1262" s="1115" t="s">
        <v>2479</v>
      </c>
      <c r="E1262" s="1115" t="s">
        <v>2536</v>
      </c>
      <c r="F1262" s="1115" t="n">
        <v>44400</v>
      </c>
      <c r="G1262" s="1115" t="n">
        <v>35800</v>
      </c>
      <c r="H1262" s="1115" t="s">
        <v>1251</v>
      </c>
      <c r="I1262" s="1115" t="n">
        <v>34450</v>
      </c>
      <c r="J1262" s="1115" t="s">
        <v>1454</v>
      </c>
    </row>
    <row r="1263" customFormat="false" ht="14.1" hidden="false" customHeight="true" outlineLevel="0" collapsed="false">
      <c r="A1263" s="1115" t="n">
        <v>34430</v>
      </c>
      <c r="B1263" s="1115" t="s">
        <v>161</v>
      </c>
      <c r="C1263" s="1115" t="n">
        <v>34430</v>
      </c>
      <c r="D1263" s="1115" t="s">
        <v>2350</v>
      </c>
      <c r="E1263" s="1115" t="s">
        <v>1095</v>
      </c>
      <c r="F1263" s="1115" t="n">
        <v>44300</v>
      </c>
      <c r="G1263" s="1115" t="n">
        <v>35820</v>
      </c>
      <c r="H1263" s="1115" t="s">
        <v>1251</v>
      </c>
      <c r="I1263" s="1115" t="n">
        <v>34510</v>
      </c>
      <c r="J1263" s="1115" t="s">
        <v>1454</v>
      </c>
    </row>
    <row r="1264" customFormat="false" ht="14.1" hidden="false" customHeight="true" outlineLevel="0" collapsed="false">
      <c r="A1264" s="1115" t="n">
        <v>34450</v>
      </c>
      <c r="B1264" s="1115" t="s">
        <v>161</v>
      </c>
      <c r="C1264" s="1115" t="n">
        <v>34450</v>
      </c>
      <c r="D1264" s="1115" t="s">
        <v>2102</v>
      </c>
      <c r="E1264" s="1115" t="s">
        <v>2537</v>
      </c>
      <c r="F1264" s="1115" t="n">
        <v>82725</v>
      </c>
      <c r="G1264" s="1115" t="n">
        <v>35830</v>
      </c>
      <c r="H1264" s="1115" t="s">
        <v>1251</v>
      </c>
      <c r="I1264" s="1115" t="n">
        <v>34530</v>
      </c>
      <c r="J1264" s="1115" t="s">
        <v>1454</v>
      </c>
    </row>
    <row r="1265" customFormat="false" ht="14.1" hidden="false" customHeight="true" outlineLevel="0" collapsed="false">
      <c r="A1265" s="1115" t="n">
        <v>34510</v>
      </c>
      <c r="B1265" s="1115" t="s">
        <v>161</v>
      </c>
      <c r="C1265" s="1115" t="n">
        <v>34510</v>
      </c>
      <c r="D1265" s="1115" t="s">
        <v>2482</v>
      </c>
      <c r="E1265" s="1115" t="s">
        <v>2538</v>
      </c>
      <c r="F1265" s="1115" t="n">
        <v>54190</v>
      </c>
      <c r="G1265" s="1115" t="n">
        <v>35850</v>
      </c>
      <c r="H1265" s="1115" t="s">
        <v>2539</v>
      </c>
      <c r="I1265" s="1115" t="n">
        <v>34550</v>
      </c>
      <c r="J1265" s="1115" t="s">
        <v>1454</v>
      </c>
    </row>
    <row r="1266" customFormat="false" ht="14.1" hidden="false" customHeight="true" outlineLevel="0" collapsed="false">
      <c r="A1266" s="1115" t="n">
        <v>34530</v>
      </c>
      <c r="B1266" s="1115" t="s">
        <v>161</v>
      </c>
      <c r="C1266" s="1115" t="n">
        <v>34530</v>
      </c>
      <c r="D1266" s="1115" t="s">
        <v>2484</v>
      </c>
      <c r="E1266" s="1115" t="s">
        <v>2540</v>
      </c>
      <c r="F1266" s="1115" t="n">
        <v>79150</v>
      </c>
      <c r="G1266" s="1115" t="n">
        <v>35860</v>
      </c>
      <c r="H1266" s="1115" t="s">
        <v>2541</v>
      </c>
      <c r="I1266" s="1115" t="n">
        <v>34600</v>
      </c>
      <c r="J1266" s="1115" t="s">
        <v>1454</v>
      </c>
    </row>
    <row r="1267" customFormat="false" ht="14.1" hidden="false" customHeight="true" outlineLevel="0" collapsed="false">
      <c r="A1267" s="1115" t="n">
        <v>34550</v>
      </c>
      <c r="B1267" s="1115" t="s">
        <v>161</v>
      </c>
      <c r="C1267" s="1115" t="n">
        <v>34550</v>
      </c>
      <c r="D1267" s="1115" t="s">
        <v>1968</v>
      </c>
      <c r="E1267" s="1115" t="s">
        <v>2542</v>
      </c>
      <c r="F1267" s="1115" t="n">
        <v>90910</v>
      </c>
      <c r="G1267" s="1115" t="n">
        <v>35910</v>
      </c>
      <c r="H1267" s="1115" t="s">
        <v>1793</v>
      </c>
      <c r="I1267" s="1115" t="n">
        <v>34610</v>
      </c>
      <c r="J1267" s="1115" t="s">
        <v>1454</v>
      </c>
    </row>
    <row r="1268" customFormat="false" ht="14.1" hidden="false" customHeight="true" outlineLevel="0" collapsed="false">
      <c r="A1268" s="1115" t="n">
        <v>34600</v>
      </c>
      <c r="B1268" s="1115" t="s">
        <v>161</v>
      </c>
      <c r="C1268" s="1115" t="n">
        <v>34600</v>
      </c>
      <c r="D1268" s="1115" t="s">
        <v>1454</v>
      </c>
      <c r="E1268" s="1115" t="s">
        <v>1097</v>
      </c>
      <c r="F1268" s="1115" t="n">
        <v>80770</v>
      </c>
      <c r="G1268" s="1115" t="n">
        <v>35930</v>
      </c>
      <c r="H1268" s="1115" t="s">
        <v>2543</v>
      </c>
      <c r="I1268" s="1115" t="n">
        <v>34620</v>
      </c>
      <c r="J1268" s="1115" t="s">
        <v>1454</v>
      </c>
    </row>
    <row r="1269" customFormat="false" ht="14.1" hidden="false" customHeight="true" outlineLevel="0" collapsed="false">
      <c r="A1269" s="1115" t="n">
        <v>34610</v>
      </c>
      <c r="B1269" s="1115" t="s">
        <v>161</v>
      </c>
      <c r="C1269" s="1115" t="n">
        <v>34610</v>
      </c>
      <c r="D1269" s="1115" t="s">
        <v>2487</v>
      </c>
      <c r="E1269" s="1115" t="s">
        <v>1097</v>
      </c>
      <c r="F1269" s="1115" t="n">
        <v>81100</v>
      </c>
      <c r="G1269" s="1115" t="n">
        <v>35990</v>
      </c>
      <c r="H1269" s="1115" t="s">
        <v>2511</v>
      </c>
      <c r="I1269" s="1115" t="n">
        <v>34630</v>
      </c>
      <c r="J1269" s="1115" t="s">
        <v>1454</v>
      </c>
    </row>
    <row r="1270" customFormat="false" ht="14.1" hidden="false" customHeight="true" outlineLevel="0" collapsed="false">
      <c r="A1270" s="1115" t="n">
        <v>34620</v>
      </c>
      <c r="B1270" s="1115" t="s">
        <v>161</v>
      </c>
      <c r="C1270" s="1115" t="n">
        <v>34620</v>
      </c>
      <c r="D1270" s="1115" t="s">
        <v>2489</v>
      </c>
      <c r="E1270" s="1115" t="s">
        <v>2544</v>
      </c>
      <c r="F1270" s="1115" t="n">
        <v>88470</v>
      </c>
      <c r="G1270" s="1115" t="n">
        <v>36100</v>
      </c>
      <c r="H1270" s="1115" t="s">
        <v>970</v>
      </c>
      <c r="I1270" s="1115" t="n">
        <v>34640</v>
      </c>
      <c r="J1270" s="1115" t="s">
        <v>1454</v>
      </c>
    </row>
    <row r="1271" customFormat="false" ht="14.1" hidden="false" customHeight="true" outlineLevel="0" collapsed="false">
      <c r="A1271" s="1115" t="n">
        <v>34630</v>
      </c>
      <c r="B1271" s="1115" t="s">
        <v>161</v>
      </c>
      <c r="C1271" s="1115" t="n">
        <v>34630</v>
      </c>
      <c r="D1271" s="1115" t="s">
        <v>2491</v>
      </c>
      <c r="E1271" s="1115" t="s">
        <v>2545</v>
      </c>
      <c r="F1271" s="1115" t="n">
        <v>80780</v>
      </c>
      <c r="G1271" s="1115" t="n">
        <v>36110</v>
      </c>
      <c r="H1271" s="1115" t="s">
        <v>2546</v>
      </c>
      <c r="I1271" s="1115" t="n">
        <v>34710</v>
      </c>
      <c r="J1271" s="1115" t="s">
        <v>1627</v>
      </c>
    </row>
    <row r="1272" customFormat="false" ht="14.1" hidden="false" customHeight="true" outlineLevel="0" collapsed="false">
      <c r="A1272" s="1115" t="n">
        <v>34640</v>
      </c>
      <c r="B1272" s="1115" t="s">
        <v>161</v>
      </c>
      <c r="C1272" s="1115" t="n">
        <v>34640</v>
      </c>
      <c r="D1272" s="1115" t="s">
        <v>2492</v>
      </c>
      <c r="E1272" s="1115" t="s">
        <v>2547</v>
      </c>
      <c r="F1272" s="1115" t="n">
        <v>80790</v>
      </c>
      <c r="G1272" s="1115" t="n">
        <v>36120</v>
      </c>
      <c r="H1272" s="1115" t="s">
        <v>2548</v>
      </c>
      <c r="I1272" s="1115" t="n">
        <v>34730</v>
      </c>
      <c r="J1272" s="1115" t="s">
        <v>1627</v>
      </c>
    </row>
    <row r="1273" customFormat="false" ht="14.1" hidden="false" customHeight="true" outlineLevel="0" collapsed="false">
      <c r="A1273" s="1115" t="n">
        <v>34710</v>
      </c>
      <c r="B1273" s="1115" t="s">
        <v>161</v>
      </c>
      <c r="C1273" s="1115" t="n">
        <v>34710</v>
      </c>
      <c r="D1273" s="1115" t="s">
        <v>2493</v>
      </c>
      <c r="E1273" s="1115" t="s">
        <v>2549</v>
      </c>
      <c r="F1273" s="1115" t="n">
        <v>82450</v>
      </c>
      <c r="G1273" s="1115" t="n">
        <v>36160</v>
      </c>
      <c r="H1273" s="1115" t="s">
        <v>2550</v>
      </c>
      <c r="I1273" s="1115" t="n">
        <v>34740</v>
      </c>
      <c r="J1273" s="1115" t="s">
        <v>1627</v>
      </c>
    </row>
    <row r="1274" customFormat="false" ht="14.1" hidden="false" customHeight="true" outlineLevel="0" collapsed="false">
      <c r="A1274" s="1115" t="n">
        <v>34730</v>
      </c>
      <c r="B1274" s="1115" t="s">
        <v>161</v>
      </c>
      <c r="C1274" s="1115" t="n">
        <v>34730</v>
      </c>
      <c r="D1274" s="1115" t="s">
        <v>2494</v>
      </c>
      <c r="E1274" s="1115" t="s">
        <v>2551</v>
      </c>
      <c r="F1274" s="1115" t="n">
        <v>95760</v>
      </c>
      <c r="G1274" s="1115" t="n">
        <v>36200</v>
      </c>
      <c r="H1274" s="1115" t="s">
        <v>970</v>
      </c>
      <c r="I1274" s="1115" t="n">
        <v>34740</v>
      </c>
      <c r="J1274" s="1115" t="s">
        <v>1627</v>
      </c>
    </row>
    <row r="1275" customFormat="false" ht="14.1" hidden="false" customHeight="true" outlineLevel="0" collapsed="false">
      <c r="A1275" s="1115" t="n">
        <v>34740</v>
      </c>
      <c r="B1275" s="1115" t="s">
        <v>161</v>
      </c>
      <c r="C1275" s="1115" t="n">
        <v>34740</v>
      </c>
      <c r="D1275" s="1115" t="s">
        <v>2496</v>
      </c>
      <c r="E1275" s="1115" t="s">
        <v>2552</v>
      </c>
      <c r="F1275" s="1115" t="n">
        <v>74840</v>
      </c>
      <c r="G1275" s="1115" t="n">
        <v>36220</v>
      </c>
      <c r="H1275" s="1115" t="s">
        <v>970</v>
      </c>
      <c r="I1275" s="1115" t="n">
        <v>34750</v>
      </c>
      <c r="J1275" s="1115" t="s">
        <v>1627</v>
      </c>
    </row>
    <row r="1276" customFormat="false" ht="14.1" hidden="false" customHeight="true" outlineLevel="0" collapsed="false">
      <c r="A1276" s="1115" t="n">
        <v>34740</v>
      </c>
      <c r="B1276" s="1115" t="s">
        <v>161</v>
      </c>
      <c r="C1276" s="1115" t="n">
        <v>34740</v>
      </c>
      <c r="D1276" s="1115" t="s">
        <v>2497</v>
      </c>
      <c r="E1276" s="1115" t="s">
        <v>2553</v>
      </c>
      <c r="F1276" s="1115" t="n">
        <v>83955</v>
      </c>
      <c r="G1276" s="1115" t="n">
        <v>36240</v>
      </c>
      <c r="H1276" s="1115" t="s">
        <v>970</v>
      </c>
      <c r="I1276" s="1115" t="n">
        <v>34770</v>
      </c>
      <c r="J1276" s="1115" t="s">
        <v>1627</v>
      </c>
    </row>
    <row r="1277" customFormat="false" ht="14.1" hidden="false" customHeight="true" outlineLevel="0" collapsed="false">
      <c r="A1277" s="1115" t="n">
        <v>34750</v>
      </c>
      <c r="B1277" s="1115" t="s">
        <v>161</v>
      </c>
      <c r="C1277" s="1115" t="n">
        <v>34750</v>
      </c>
      <c r="D1277" s="1115" t="s">
        <v>2499</v>
      </c>
      <c r="E1277" s="1115" t="s">
        <v>2554</v>
      </c>
      <c r="F1277" s="1115" t="n">
        <v>92260</v>
      </c>
      <c r="G1277" s="1115" t="n">
        <v>36270</v>
      </c>
      <c r="H1277" s="1115" t="s">
        <v>970</v>
      </c>
      <c r="I1277" s="1115" t="n">
        <v>34800</v>
      </c>
      <c r="J1277" s="1115" t="s">
        <v>1627</v>
      </c>
    </row>
    <row r="1278" customFormat="false" ht="14.1" hidden="false" customHeight="true" outlineLevel="0" collapsed="false">
      <c r="A1278" s="1115" t="n">
        <v>34770</v>
      </c>
      <c r="B1278" s="1115" t="s">
        <v>161</v>
      </c>
      <c r="C1278" s="1115" t="n">
        <v>34770</v>
      </c>
      <c r="D1278" s="1115" t="s">
        <v>2501</v>
      </c>
      <c r="E1278" s="1115" t="s">
        <v>2554</v>
      </c>
      <c r="F1278" s="1115" t="n">
        <v>92260</v>
      </c>
      <c r="G1278" s="1115" t="n">
        <v>36280</v>
      </c>
      <c r="H1278" s="1115" t="s">
        <v>2555</v>
      </c>
      <c r="I1278" s="1115" t="n">
        <v>34850</v>
      </c>
      <c r="J1278" s="1115" t="s">
        <v>1627</v>
      </c>
    </row>
    <row r="1279" customFormat="false" ht="14.1" hidden="false" customHeight="true" outlineLevel="0" collapsed="false">
      <c r="A1279" s="1115" t="n">
        <v>34800</v>
      </c>
      <c r="B1279" s="1115" t="s">
        <v>161</v>
      </c>
      <c r="C1279" s="1115" t="n">
        <v>34800</v>
      </c>
      <c r="D1279" s="1115" t="s">
        <v>1627</v>
      </c>
      <c r="E1279" s="1115" t="s">
        <v>2556</v>
      </c>
      <c r="F1279" s="1115" t="n">
        <v>82695</v>
      </c>
      <c r="G1279" s="1115" t="n">
        <v>36340</v>
      </c>
      <c r="H1279" s="1115" t="s">
        <v>2557</v>
      </c>
      <c r="I1279" s="1115" t="n">
        <v>34870</v>
      </c>
      <c r="J1279" s="1115" t="s">
        <v>1627</v>
      </c>
    </row>
    <row r="1280" customFormat="false" ht="14.1" hidden="false" customHeight="true" outlineLevel="0" collapsed="false">
      <c r="A1280" s="1115" t="n">
        <v>34850</v>
      </c>
      <c r="B1280" s="1115" t="s">
        <v>161</v>
      </c>
      <c r="C1280" s="1115" t="n">
        <v>34850</v>
      </c>
      <c r="D1280" s="1115" t="s">
        <v>2116</v>
      </c>
      <c r="E1280" s="1115" t="s">
        <v>2558</v>
      </c>
      <c r="F1280" s="1115" t="n">
        <v>88110</v>
      </c>
      <c r="G1280" s="1115" t="n">
        <v>36420</v>
      </c>
      <c r="H1280" s="1115" t="s">
        <v>2559</v>
      </c>
      <c r="I1280" s="1115" t="n">
        <v>34910</v>
      </c>
      <c r="J1280" s="1115" t="s">
        <v>1627</v>
      </c>
    </row>
    <row r="1281" customFormat="false" ht="14.1" hidden="false" customHeight="true" outlineLevel="0" collapsed="false">
      <c r="A1281" s="1115" t="n">
        <v>34870</v>
      </c>
      <c r="B1281" s="1115" t="s">
        <v>161</v>
      </c>
      <c r="C1281" s="1115" t="n">
        <v>34870</v>
      </c>
      <c r="D1281" s="1115" t="s">
        <v>2502</v>
      </c>
      <c r="E1281" s="1115" t="s">
        <v>2560</v>
      </c>
      <c r="F1281" s="1115" t="n">
        <v>45610</v>
      </c>
      <c r="G1281" s="1115" t="n">
        <v>36430</v>
      </c>
      <c r="H1281" s="1115" t="s">
        <v>2561</v>
      </c>
      <c r="I1281" s="1115" t="n">
        <v>34930</v>
      </c>
      <c r="J1281" s="1115" t="s">
        <v>1627</v>
      </c>
    </row>
    <row r="1282" customFormat="false" ht="14.1" hidden="false" customHeight="true" outlineLevel="0" collapsed="false">
      <c r="A1282" s="1115" t="n">
        <v>34910</v>
      </c>
      <c r="B1282" s="1115" t="s">
        <v>161</v>
      </c>
      <c r="C1282" s="1115" t="n">
        <v>34910</v>
      </c>
      <c r="D1282" s="1115" t="s">
        <v>2503</v>
      </c>
      <c r="E1282" s="1115" t="s">
        <v>2523</v>
      </c>
      <c r="F1282" s="1115" t="n">
        <v>35500</v>
      </c>
      <c r="G1282" s="1115" t="n">
        <v>36450</v>
      </c>
      <c r="H1282" s="1115" t="s">
        <v>2562</v>
      </c>
      <c r="I1282" s="1115" t="n">
        <v>34950</v>
      </c>
      <c r="J1282" s="1115" t="s">
        <v>1627</v>
      </c>
    </row>
    <row r="1283" customFormat="false" ht="14.1" hidden="false" customHeight="true" outlineLevel="0" collapsed="false">
      <c r="A1283" s="1115" t="n">
        <v>34930</v>
      </c>
      <c r="B1283" s="1115" t="s">
        <v>161</v>
      </c>
      <c r="C1283" s="1115" t="n">
        <v>34930</v>
      </c>
      <c r="D1283" s="1115" t="s">
        <v>2504</v>
      </c>
      <c r="E1283" s="1115" t="s">
        <v>2422</v>
      </c>
      <c r="F1283" s="1115" t="n">
        <v>32860</v>
      </c>
      <c r="G1283" s="1115" t="n">
        <v>36460</v>
      </c>
      <c r="H1283" s="1115" t="s">
        <v>2563</v>
      </c>
      <c r="I1283" s="1115" t="n">
        <v>34950</v>
      </c>
      <c r="J1283" s="1115" t="s">
        <v>1627</v>
      </c>
    </row>
    <row r="1284" customFormat="false" ht="14.1" hidden="false" customHeight="true" outlineLevel="0" collapsed="false">
      <c r="A1284" s="1115" t="n">
        <v>34950</v>
      </c>
      <c r="B1284" s="1115" t="s">
        <v>161</v>
      </c>
      <c r="C1284" s="1115" t="n">
        <v>34950</v>
      </c>
      <c r="D1284" s="1115" t="s">
        <v>2505</v>
      </c>
      <c r="E1284" s="1115" t="s">
        <v>1605</v>
      </c>
      <c r="F1284" s="1115" t="n">
        <v>12520</v>
      </c>
      <c r="G1284" s="1115" t="n">
        <v>36480</v>
      </c>
      <c r="H1284" s="1115" t="s">
        <v>2564</v>
      </c>
      <c r="I1284" s="1115" t="n">
        <v>34970</v>
      </c>
      <c r="J1284" s="1115" t="s">
        <v>1627</v>
      </c>
    </row>
    <row r="1285" customFormat="false" ht="14.1" hidden="false" customHeight="true" outlineLevel="0" collapsed="false">
      <c r="A1285" s="1115" t="n">
        <v>34950</v>
      </c>
      <c r="B1285" s="1115" t="s">
        <v>161</v>
      </c>
      <c r="C1285" s="1115" t="n">
        <v>34950</v>
      </c>
      <c r="D1285" s="1115" t="s">
        <v>2506</v>
      </c>
      <c r="E1285" s="1115" t="s">
        <v>2497</v>
      </c>
      <c r="F1285" s="1115" t="n">
        <v>34740</v>
      </c>
      <c r="G1285" s="1115" t="n">
        <v>36520</v>
      </c>
      <c r="H1285" s="1115" t="s">
        <v>2565</v>
      </c>
      <c r="I1285" s="1115" t="n">
        <v>34980</v>
      </c>
      <c r="J1285" s="1115" t="s">
        <v>1627</v>
      </c>
    </row>
    <row r="1286" customFormat="false" ht="14.1" hidden="false" customHeight="true" outlineLevel="0" collapsed="false">
      <c r="A1286" s="1115" t="n">
        <v>34970</v>
      </c>
      <c r="B1286" s="1115" t="s">
        <v>161</v>
      </c>
      <c r="C1286" s="1115" t="n">
        <v>34970</v>
      </c>
      <c r="D1286" s="1115" t="s">
        <v>2507</v>
      </c>
      <c r="E1286" s="1115" t="s">
        <v>1287</v>
      </c>
      <c r="F1286" s="1115" t="n">
        <v>5120</v>
      </c>
      <c r="G1286" s="1115" t="n">
        <v>36570</v>
      </c>
      <c r="H1286" s="1115" t="s">
        <v>2159</v>
      </c>
      <c r="I1286" s="1115" t="n">
        <v>35100</v>
      </c>
      <c r="J1286" s="1115" t="s">
        <v>1300</v>
      </c>
    </row>
    <row r="1287" customFormat="false" ht="14.1" hidden="false" customHeight="true" outlineLevel="0" collapsed="false">
      <c r="A1287" s="1115" t="n">
        <v>34980</v>
      </c>
      <c r="B1287" s="1115" t="s">
        <v>161</v>
      </c>
      <c r="C1287" s="1115" t="n">
        <v>34980</v>
      </c>
      <c r="D1287" s="1115" t="s">
        <v>2419</v>
      </c>
      <c r="E1287" s="1115" t="s">
        <v>2566</v>
      </c>
      <c r="F1287" s="1115" t="n">
        <v>73250</v>
      </c>
      <c r="G1287" s="1115" t="n">
        <v>36600</v>
      </c>
      <c r="H1287" s="1115" t="s">
        <v>1402</v>
      </c>
      <c r="I1287" s="1115" t="n">
        <v>35130</v>
      </c>
      <c r="J1287" s="1115" t="s">
        <v>1300</v>
      </c>
    </row>
    <row r="1288" customFormat="false" ht="14.1" hidden="false" customHeight="true" outlineLevel="0" collapsed="false">
      <c r="A1288" s="1115" t="n">
        <v>35100</v>
      </c>
      <c r="B1288" s="1115" t="s">
        <v>161</v>
      </c>
      <c r="C1288" s="1115" t="n">
        <v>35100</v>
      </c>
      <c r="D1288" s="1115" t="s">
        <v>1300</v>
      </c>
      <c r="E1288" s="1115" t="s">
        <v>2567</v>
      </c>
      <c r="F1288" s="1115" t="n">
        <v>50770</v>
      </c>
      <c r="G1288" s="1115" t="n">
        <v>36640</v>
      </c>
      <c r="H1288" s="1115" t="s">
        <v>1927</v>
      </c>
      <c r="I1288" s="1115" t="n">
        <v>35150</v>
      </c>
      <c r="J1288" s="1115" t="s">
        <v>1300</v>
      </c>
    </row>
    <row r="1289" customFormat="false" ht="14.1" hidden="false" customHeight="true" outlineLevel="0" collapsed="false">
      <c r="A1289" s="1115" t="n">
        <v>35130</v>
      </c>
      <c r="B1289" s="1115" t="s">
        <v>161</v>
      </c>
      <c r="C1289" s="1115" t="n">
        <v>35130</v>
      </c>
      <c r="D1289" s="1115" t="s">
        <v>2508</v>
      </c>
      <c r="E1289" s="1115" t="s">
        <v>1098</v>
      </c>
      <c r="F1289" s="1115" t="n">
        <v>41800</v>
      </c>
      <c r="G1289" s="1115" t="n">
        <v>36660</v>
      </c>
      <c r="H1289" s="1115" t="s">
        <v>2568</v>
      </c>
      <c r="I1289" s="1115" t="n">
        <v>35220</v>
      </c>
      <c r="J1289" s="1115" t="s">
        <v>1300</v>
      </c>
    </row>
    <row r="1290" customFormat="false" ht="14.1" hidden="false" customHeight="true" outlineLevel="0" collapsed="false">
      <c r="A1290" s="1115" t="n">
        <v>35150</v>
      </c>
      <c r="B1290" s="1115" t="s">
        <v>161</v>
      </c>
      <c r="C1290" s="1115" t="n">
        <v>35150</v>
      </c>
      <c r="D1290" s="1115" t="s">
        <v>2510</v>
      </c>
      <c r="E1290" s="1115" t="s">
        <v>1988</v>
      </c>
      <c r="F1290" s="1115" t="n">
        <v>21720</v>
      </c>
      <c r="G1290" s="1115" t="n">
        <v>36720</v>
      </c>
      <c r="H1290" s="1115" t="s">
        <v>811</v>
      </c>
      <c r="I1290" s="1115" t="n">
        <v>35240</v>
      </c>
      <c r="J1290" s="1115" t="s">
        <v>1300</v>
      </c>
    </row>
    <row r="1291" customFormat="false" ht="14.1" hidden="false" customHeight="true" outlineLevel="0" collapsed="false">
      <c r="A1291" s="1115" t="n">
        <v>35220</v>
      </c>
      <c r="B1291" s="1115" t="s">
        <v>161</v>
      </c>
      <c r="C1291" s="1115" t="n">
        <v>35220</v>
      </c>
      <c r="D1291" s="1115" t="s">
        <v>1113</v>
      </c>
      <c r="E1291" s="1115" t="s">
        <v>2569</v>
      </c>
      <c r="F1291" s="1115" t="n">
        <v>44970</v>
      </c>
      <c r="G1291" s="1115" t="n">
        <v>36760</v>
      </c>
      <c r="H1291" s="1115" t="s">
        <v>1199</v>
      </c>
      <c r="I1291" s="1115" t="n">
        <v>35260</v>
      </c>
      <c r="J1291" s="1115" t="s">
        <v>1300</v>
      </c>
    </row>
    <row r="1292" customFormat="false" ht="14.1" hidden="false" customHeight="true" outlineLevel="0" collapsed="false">
      <c r="A1292" s="1115" t="n">
        <v>35240</v>
      </c>
      <c r="B1292" s="1115" t="s">
        <v>161</v>
      </c>
      <c r="C1292" s="1115" t="n">
        <v>35240</v>
      </c>
      <c r="D1292" s="1115" t="s">
        <v>2512</v>
      </c>
      <c r="E1292" s="1115" t="s">
        <v>1100</v>
      </c>
      <c r="F1292" s="1115" t="n">
        <v>21710</v>
      </c>
      <c r="G1292" s="1115" t="n">
        <v>36810</v>
      </c>
      <c r="H1292" s="1115" t="s">
        <v>1116</v>
      </c>
      <c r="I1292" s="1115" t="n">
        <v>35270</v>
      </c>
      <c r="J1292" s="1115" t="s">
        <v>1300</v>
      </c>
    </row>
    <row r="1293" customFormat="false" ht="14.1" hidden="false" customHeight="true" outlineLevel="0" collapsed="false">
      <c r="A1293" s="1115" t="n">
        <v>35260</v>
      </c>
      <c r="B1293" s="1115" t="s">
        <v>161</v>
      </c>
      <c r="C1293" s="1115" t="n">
        <v>35260</v>
      </c>
      <c r="D1293" s="1115" t="s">
        <v>1747</v>
      </c>
      <c r="E1293" s="1115" t="s">
        <v>2570</v>
      </c>
      <c r="F1293" s="1115" t="n">
        <v>66230</v>
      </c>
      <c r="G1293" s="1115" t="n">
        <v>36820</v>
      </c>
      <c r="H1293" s="1115" t="s">
        <v>2571</v>
      </c>
      <c r="I1293" s="1115" t="n">
        <v>35300</v>
      </c>
      <c r="J1293" s="1115" t="s">
        <v>1300</v>
      </c>
    </row>
    <row r="1294" customFormat="false" ht="14.1" hidden="false" customHeight="true" outlineLevel="0" collapsed="false">
      <c r="A1294" s="1115" t="n">
        <v>35270</v>
      </c>
      <c r="B1294" s="1115" t="s">
        <v>161</v>
      </c>
      <c r="C1294" s="1115" t="n">
        <v>35270</v>
      </c>
      <c r="D1294" s="1115" t="s">
        <v>2515</v>
      </c>
      <c r="E1294" s="1115" t="s">
        <v>1102</v>
      </c>
      <c r="F1294" s="1115" t="n">
        <v>66200</v>
      </c>
      <c r="G1294" s="1115" t="n">
        <v>36840</v>
      </c>
      <c r="H1294" s="1115" t="s">
        <v>1355</v>
      </c>
      <c r="I1294" s="1115" t="n">
        <v>35320</v>
      </c>
      <c r="J1294" s="1115" t="s">
        <v>1300</v>
      </c>
    </row>
    <row r="1295" customFormat="false" ht="14.1" hidden="false" customHeight="true" outlineLevel="0" collapsed="false">
      <c r="A1295" s="1115" t="n">
        <v>35300</v>
      </c>
      <c r="B1295" s="1115" t="s">
        <v>161</v>
      </c>
      <c r="C1295" s="1115" t="n">
        <v>35300</v>
      </c>
      <c r="D1295" s="1115" t="s">
        <v>1300</v>
      </c>
      <c r="E1295" s="1115" t="s">
        <v>2572</v>
      </c>
      <c r="F1295" s="1115" t="n">
        <v>71130</v>
      </c>
      <c r="G1295" s="1115" t="n">
        <v>36880</v>
      </c>
      <c r="H1295" s="1115" t="s">
        <v>2573</v>
      </c>
      <c r="I1295" s="1115" t="n">
        <v>35400</v>
      </c>
      <c r="J1295" s="1115" t="s">
        <v>939</v>
      </c>
    </row>
    <row r="1296" customFormat="false" ht="14.1" hidden="false" customHeight="true" outlineLevel="0" collapsed="false">
      <c r="A1296" s="1115" t="n">
        <v>35320</v>
      </c>
      <c r="B1296" s="1115" t="s">
        <v>161</v>
      </c>
      <c r="C1296" s="1115" t="n">
        <v>35320</v>
      </c>
      <c r="D1296" s="1115" t="s">
        <v>1712</v>
      </c>
      <c r="E1296" s="1115" t="s">
        <v>2164</v>
      </c>
      <c r="F1296" s="1115" t="n">
        <v>26840</v>
      </c>
      <c r="G1296" s="1115" t="n">
        <v>36910</v>
      </c>
      <c r="H1296" s="1115" t="s">
        <v>2574</v>
      </c>
      <c r="I1296" s="1115" t="n">
        <v>35420</v>
      </c>
      <c r="J1296" s="1115" t="s">
        <v>939</v>
      </c>
    </row>
    <row r="1297" customFormat="false" ht="14.1" hidden="false" customHeight="true" outlineLevel="0" collapsed="false">
      <c r="A1297" s="1115" t="n">
        <v>35400</v>
      </c>
      <c r="B1297" s="1115" t="s">
        <v>161</v>
      </c>
      <c r="C1297" s="1115" t="n">
        <v>35400</v>
      </c>
      <c r="D1297" s="1115" t="s">
        <v>2519</v>
      </c>
      <c r="E1297" s="1115" t="s">
        <v>2575</v>
      </c>
      <c r="F1297" s="1115" t="n">
        <v>62930</v>
      </c>
      <c r="G1297" s="1115" t="n">
        <v>36930</v>
      </c>
      <c r="H1297" s="1115" t="s">
        <v>2576</v>
      </c>
      <c r="I1297" s="1115" t="n">
        <v>35480</v>
      </c>
      <c r="J1297" s="1115" t="s">
        <v>939</v>
      </c>
    </row>
    <row r="1298" customFormat="false" ht="14.1" hidden="false" customHeight="true" outlineLevel="0" collapsed="false">
      <c r="A1298" s="1115" t="n">
        <v>35420</v>
      </c>
      <c r="B1298" s="1115" t="s">
        <v>161</v>
      </c>
      <c r="C1298" s="1115" t="n">
        <v>35420</v>
      </c>
      <c r="D1298" s="1115" t="s">
        <v>2521</v>
      </c>
      <c r="E1298" s="1115" t="s">
        <v>2577</v>
      </c>
      <c r="F1298" s="1115" t="n">
        <v>51330</v>
      </c>
      <c r="G1298" s="1115" t="n">
        <v>36950</v>
      </c>
      <c r="H1298" s="1115" t="s">
        <v>2578</v>
      </c>
      <c r="I1298" s="1115" t="n">
        <v>35500</v>
      </c>
      <c r="J1298" s="1115" t="s">
        <v>926</v>
      </c>
    </row>
    <row r="1299" customFormat="false" ht="14.1" hidden="false" customHeight="true" outlineLevel="0" collapsed="false">
      <c r="A1299" s="1115" t="n">
        <v>35480</v>
      </c>
      <c r="B1299" s="1115" t="s">
        <v>161</v>
      </c>
      <c r="C1299" s="1115" t="n">
        <v>35480</v>
      </c>
      <c r="D1299" s="1115" t="s">
        <v>1207</v>
      </c>
      <c r="E1299" s="1115" t="s">
        <v>1104</v>
      </c>
      <c r="F1299" s="1115" t="n">
        <v>62420</v>
      </c>
      <c r="G1299" s="1115" t="n">
        <v>37100</v>
      </c>
      <c r="H1299" s="1115" t="s">
        <v>1271</v>
      </c>
      <c r="I1299" s="1115" t="n">
        <v>35520</v>
      </c>
      <c r="J1299" s="1115" t="s">
        <v>926</v>
      </c>
    </row>
    <row r="1300" customFormat="false" ht="14.1" hidden="false" customHeight="true" outlineLevel="0" collapsed="false">
      <c r="A1300" s="1115" t="n">
        <v>35500</v>
      </c>
      <c r="B1300" s="1115" t="s">
        <v>161</v>
      </c>
      <c r="C1300" s="1115" t="n">
        <v>35500</v>
      </c>
      <c r="D1300" s="1115" t="s">
        <v>2523</v>
      </c>
      <c r="E1300" s="1115" t="s">
        <v>2579</v>
      </c>
      <c r="F1300" s="1115" t="n">
        <v>68730</v>
      </c>
      <c r="G1300" s="1115" t="n">
        <v>37120</v>
      </c>
      <c r="H1300" s="1115" t="s">
        <v>1271</v>
      </c>
      <c r="I1300" s="1115" t="n">
        <v>35530</v>
      </c>
      <c r="J1300" s="1115" t="s">
        <v>926</v>
      </c>
    </row>
    <row r="1301" customFormat="false" ht="14.1" hidden="false" customHeight="true" outlineLevel="0" collapsed="false">
      <c r="A1301" s="1115" t="n">
        <v>35520</v>
      </c>
      <c r="B1301" s="1115" t="s">
        <v>161</v>
      </c>
      <c r="C1301" s="1115" t="n">
        <v>35520</v>
      </c>
      <c r="D1301" s="1115" t="s">
        <v>2525</v>
      </c>
      <c r="E1301" s="1115" t="s">
        <v>2580</v>
      </c>
      <c r="F1301" s="1115" t="n">
        <v>73620</v>
      </c>
      <c r="G1301" s="1115" t="n">
        <v>37130</v>
      </c>
      <c r="H1301" s="1115" t="s">
        <v>1271</v>
      </c>
      <c r="I1301" s="1115" t="n">
        <v>35540</v>
      </c>
      <c r="J1301" s="1115" t="s">
        <v>926</v>
      </c>
    </row>
    <row r="1302" customFormat="false" ht="14.1" hidden="false" customHeight="true" outlineLevel="0" collapsed="false">
      <c r="A1302" s="1115" t="n">
        <v>35530</v>
      </c>
      <c r="B1302" s="1115" t="s">
        <v>161</v>
      </c>
      <c r="C1302" s="1115" t="n">
        <v>35530</v>
      </c>
      <c r="D1302" s="1115" t="s">
        <v>2527</v>
      </c>
      <c r="E1302" s="1115" t="s">
        <v>2581</v>
      </c>
      <c r="F1302" s="1115" t="n">
        <v>73630</v>
      </c>
      <c r="G1302" s="1115" t="n">
        <v>37140</v>
      </c>
      <c r="H1302" s="1115" t="s">
        <v>1271</v>
      </c>
      <c r="I1302" s="1115" t="n">
        <v>35550</v>
      </c>
      <c r="J1302" s="1115" t="s">
        <v>926</v>
      </c>
    </row>
    <row r="1303" customFormat="false" ht="14.1" hidden="false" customHeight="true" outlineLevel="0" collapsed="false">
      <c r="A1303" s="1115" t="n">
        <v>35540</v>
      </c>
      <c r="B1303" s="1115" t="s">
        <v>161</v>
      </c>
      <c r="C1303" s="1115" t="n">
        <v>35540</v>
      </c>
      <c r="D1303" s="1115" t="s">
        <v>926</v>
      </c>
      <c r="E1303" s="1115" t="s">
        <v>1409</v>
      </c>
      <c r="F1303" s="1115" t="n">
        <v>7540</v>
      </c>
      <c r="G1303" s="1115" t="n">
        <v>37150</v>
      </c>
      <c r="H1303" s="1115" t="s">
        <v>1271</v>
      </c>
      <c r="I1303" s="1115" t="n">
        <v>35600</v>
      </c>
      <c r="J1303" s="1115" t="s">
        <v>926</v>
      </c>
    </row>
    <row r="1304" customFormat="false" ht="14.1" hidden="false" customHeight="true" outlineLevel="0" collapsed="false">
      <c r="A1304" s="1115" t="n">
        <v>35550</v>
      </c>
      <c r="B1304" s="1115" t="s">
        <v>161</v>
      </c>
      <c r="C1304" s="1115" t="n">
        <v>35550</v>
      </c>
      <c r="D1304" s="1115" t="s">
        <v>2529</v>
      </c>
      <c r="E1304" s="1115" t="s">
        <v>2582</v>
      </c>
      <c r="F1304" s="1115" t="n">
        <v>89790</v>
      </c>
      <c r="G1304" s="1115" t="n">
        <v>37180</v>
      </c>
      <c r="H1304" s="1115" t="s">
        <v>2583</v>
      </c>
      <c r="I1304" s="1115" t="n">
        <v>35610</v>
      </c>
      <c r="J1304" s="1115" t="s">
        <v>926</v>
      </c>
    </row>
    <row r="1305" customFormat="false" ht="14.1" hidden="false" customHeight="true" outlineLevel="0" collapsed="false">
      <c r="A1305" s="1115" t="n">
        <v>35600</v>
      </c>
      <c r="B1305" s="1115" t="s">
        <v>161</v>
      </c>
      <c r="C1305" s="1115" t="n">
        <v>35600</v>
      </c>
      <c r="D1305" s="1115" t="s">
        <v>1337</v>
      </c>
      <c r="E1305" s="1115" t="s">
        <v>2584</v>
      </c>
      <c r="F1305" s="1115" t="n">
        <v>61330</v>
      </c>
      <c r="G1305" s="1115" t="n">
        <v>37200</v>
      </c>
      <c r="H1305" s="1115" t="s">
        <v>2585</v>
      </c>
      <c r="I1305" s="1115" t="n">
        <v>35630</v>
      </c>
      <c r="J1305" s="1115" t="s">
        <v>926</v>
      </c>
    </row>
    <row r="1306" customFormat="false" ht="14.1" hidden="false" customHeight="true" outlineLevel="0" collapsed="false">
      <c r="A1306" s="1115" t="n">
        <v>35610</v>
      </c>
      <c r="B1306" s="1115" t="s">
        <v>161</v>
      </c>
      <c r="C1306" s="1115" t="n">
        <v>35610</v>
      </c>
      <c r="D1306" s="1115" t="s">
        <v>2532</v>
      </c>
      <c r="E1306" s="1115" t="s">
        <v>1437</v>
      </c>
      <c r="F1306" s="1115" t="n">
        <v>7700</v>
      </c>
      <c r="G1306" s="1115" t="n">
        <v>37210</v>
      </c>
      <c r="H1306" s="1115" t="s">
        <v>2586</v>
      </c>
      <c r="I1306" s="1115" t="n">
        <v>35700</v>
      </c>
      <c r="J1306" s="1115" t="s">
        <v>1624</v>
      </c>
    </row>
    <row r="1307" customFormat="false" ht="14.1" hidden="false" customHeight="true" outlineLevel="0" collapsed="false">
      <c r="A1307" s="1115" t="n">
        <v>35630</v>
      </c>
      <c r="B1307" s="1115" t="s">
        <v>161</v>
      </c>
      <c r="C1307" s="1115" t="n">
        <v>35630</v>
      </c>
      <c r="D1307" s="1115" t="s">
        <v>2534</v>
      </c>
      <c r="E1307" s="1115" t="s">
        <v>2587</v>
      </c>
      <c r="F1307" s="1115" t="n">
        <v>42440</v>
      </c>
      <c r="G1307" s="1115" t="n">
        <v>37240</v>
      </c>
      <c r="H1307" s="1115" t="s">
        <v>2588</v>
      </c>
      <c r="I1307" s="1115" t="n">
        <v>35800</v>
      </c>
      <c r="J1307" s="1115" t="s">
        <v>1251</v>
      </c>
    </row>
    <row r="1308" customFormat="false" ht="14.1" hidden="false" customHeight="true" outlineLevel="0" collapsed="false">
      <c r="A1308" s="1115" t="n">
        <v>35700</v>
      </c>
      <c r="B1308" s="1115" t="s">
        <v>161</v>
      </c>
      <c r="C1308" s="1115" t="n">
        <v>35700</v>
      </c>
      <c r="D1308" s="1115" t="s">
        <v>1624</v>
      </c>
      <c r="E1308" s="1115" t="s">
        <v>2259</v>
      </c>
      <c r="F1308" s="1115" t="n">
        <v>29360</v>
      </c>
      <c r="G1308" s="1115" t="n">
        <v>37310</v>
      </c>
      <c r="H1308" s="1115" t="s">
        <v>2589</v>
      </c>
      <c r="I1308" s="1115" t="n">
        <v>35820</v>
      </c>
      <c r="J1308" s="1115" t="s">
        <v>1251</v>
      </c>
    </row>
    <row r="1309" customFormat="false" ht="14.1" hidden="false" customHeight="true" outlineLevel="0" collapsed="false">
      <c r="A1309" s="1115" t="n">
        <v>35800</v>
      </c>
      <c r="B1309" s="1115" t="s">
        <v>161</v>
      </c>
      <c r="C1309" s="1115" t="n">
        <v>35800</v>
      </c>
      <c r="D1309" s="1115" t="s">
        <v>1251</v>
      </c>
      <c r="E1309" s="1115" t="s">
        <v>2590</v>
      </c>
      <c r="F1309" s="1115" t="n">
        <v>62740</v>
      </c>
      <c r="G1309" s="1115" t="n">
        <v>37340</v>
      </c>
      <c r="H1309" s="1115" t="s">
        <v>2591</v>
      </c>
      <c r="I1309" s="1115" t="n">
        <v>35830</v>
      </c>
      <c r="J1309" s="1115" t="s">
        <v>1251</v>
      </c>
    </row>
    <row r="1310" customFormat="false" ht="14.1" hidden="false" customHeight="true" outlineLevel="0" collapsed="false">
      <c r="A1310" s="1115" t="n">
        <v>35820</v>
      </c>
      <c r="B1310" s="1115" t="s">
        <v>161</v>
      </c>
      <c r="C1310" s="1115" t="n">
        <v>35820</v>
      </c>
      <c r="D1310" s="1115" t="s">
        <v>1251</v>
      </c>
      <c r="E1310" s="1115" t="s">
        <v>1773</v>
      </c>
      <c r="F1310" s="1115" t="n">
        <v>16800</v>
      </c>
      <c r="G1310" s="1115" t="n">
        <v>37350</v>
      </c>
      <c r="H1310" s="1115" t="s">
        <v>2592</v>
      </c>
      <c r="I1310" s="1115" t="n">
        <v>35850</v>
      </c>
      <c r="J1310" s="1115" t="s">
        <v>1251</v>
      </c>
    </row>
    <row r="1311" customFormat="false" ht="14.1" hidden="false" customHeight="true" outlineLevel="0" collapsed="false">
      <c r="A1311" s="1115" t="n">
        <v>35830</v>
      </c>
      <c r="B1311" s="1115" t="s">
        <v>161</v>
      </c>
      <c r="C1311" s="1115" t="n">
        <v>35830</v>
      </c>
      <c r="D1311" s="1115" t="s">
        <v>1251</v>
      </c>
      <c r="E1311" s="1115" t="s">
        <v>1773</v>
      </c>
      <c r="F1311" s="1115" t="n">
        <v>25560</v>
      </c>
      <c r="G1311" s="1115" t="n">
        <v>37360</v>
      </c>
      <c r="H1311" s="1115" t="s">
        <v>2593</v>
      </c>
      <c r="I1311" s="1115" t="n">
        <v>35860</v>
      </c>
      <c r="J1311" s="1115" t="s">
        <v>1251</v>
      </c>
    </row>
    <row r="1312" customFormat="false" ht="14.1" hidden="false" customHeight="true" outlineLevel="0" collapsed="false">
      <c r="A1312" s="1115" t="n">
        <v>35850</v>
      </c>
      <c r="B1312" s="1115" t="s">
        <v>161</v>
      </c>
      <c r="C1312" s="1115" t="n">
        <v>35850</v>
      </c>
      <c r="D1312" s="1115" t="s">
        <v>2539</v>
      </c>
      <c r="E1312" s="1115" t="s">
        <v>1773</v>
      </c>
      <c r="F1312" s="1115" t="n">
        <v>31500</v>
      </c>
      <c r="G1312" s="1115" t="n">
        <v>37370</v>
      </c>
      <c r="H1312" s="1115" t="s">
        <v>2594</v>
      </c>
      <c r="I1312" s="1115" t="n">
        <v>35910</v>
      </c>
      <c r="J1312" s="1115" t="s">
        <v>1251</v>
      </c>
    </row>
    <row r="1313" customFormat="false" ht="14.1" hidden="false" customHeight="true" outlineLevel="0" collapsed="false">
      <c r="A1313" s="1115" t="n">
        <v>35860</v>
      </c>
      <c r="B1313" s="1115" t="s">
        <v>161</v>
      </c>
      <c r="C1313" s="1115" t="n">
        <v>35860</v>
      </c>
      <c r="D1313" s="1115" t="s">
        <v>2541</v>
      </c>
      <c r="E1313" s="1115" t="s">
        <v>2595</v>
      </c>
      <c r="F1313" s="1115" t="n">
        <v>43760</v>
      </c>
      <c r="G1313" s="1115" t="n">
        <v>37380</v>
      </c>
      <c r="H1313" s="1115" t="s">
        <v>2596</v>
      </c>
      <c r="I1313" s="1115" t="n">
        <v>35930</v>
      </c>
      <c r="J1313" s="1115" t="s">
        <v>1251</v>
      </c>
    </row>
    <row r="1314" customFormat="false" ht="14.1" hidden="false" customHeight="true" outlineLevel="0" collapsed="false">
      <c r="A1314" s="1115" t="n">
        <v>35910</v>
      </c>
      <c r="B1314" s="1115" t="s">
        <v>161</v>
      </c>
      <c r="C1314" s="1115" t="n">
        <v>35910</v>
      </c>
      <c r="D1314" s="1115" t="s">
        <v>1793</v>
      </c>
      <c r="E1314" s="1115" t="s">
        <v>2376</v>
      </c>
      <c r="F1314" s="1115" t="n">
        <v>31850</v>
      </c>
      <c r="G1314" s="1115" t="n">
        <v>37420</v>
      </c>
      <c r="H1314" s="1115" t="s">
        <v>2597</v>
      </c>
      <c r="I1314" s="1115" t="n">
        <v>35990</v>
      </c>
      <c r="J1314" s="1115" t="s">
        <v>1251</v>
      </c>
    </row>
    <row r="1315" customFormat="false" ht="14.1" hidden="false" customHeight="true" outlineLevel="0" collapsed="false">
      <c r="A1315" s="1115" t="n">
        <v>35930</v>
      </c>
      <c r="B1315" s="1115" t="s">
        <v>161</v>
      </c>
      <c r="C1315" s="1115" t="n">
        <v>35930</v>
      </c>
      <c r="D1315" s="1115" t="s">
        <v>2543</v>
      </c>
      <c r="E1315" s="1115" t="s">
        <v>2598</v>
      </c>
      <c r="F1315" s="1115" t="n">
        <v>71580</v>
      </c>
      <c r="G1315" s="1115" t="n">
        <v>37450</v>
      </c>
      <c r="H1315" s="1115" t="s">
        <v>2599</v>
      </c>
      <c r="I1315" s="1115" t="n">
        <v>36100</v>
      </c>
      <c r="J1315" s="1115" t="s">
        <v>970</v>
      </c>
    </row>
    <row r="1316" customFormat="false" ht="14.1" hidden="false" customHeight="true" outlineLevel="0" collapsed="false">
      <c r="A1316" s="1115" t="n">
        <v>35990</v>
      </c>
      <c r="B1316" s="1115" t="s">
        <v>161</v>
      </c>
      <c r="C1316" s="1115" t="n">
        <v>35990</v>
      </c>
      <c r="D1316" s="1115" t="s">
        <v>2511</v>
      </c>
      <c r="E1316" s="1115" t="s">
        <v>2600</v>
      </c>
      <c r="F1316" s="1115" t="n">
        <v>61720</v>
      </c>
      <c r="G1316" s="1115" t="n">
        <v>37470</v>
      </c>
      <c r="H1316" s="1115" t="s">
        <v>1612</v>
      </c>
      <c r="I1316" s="1115" t="n">
        <v>36110</v>
      </c>
      <c r="J1316" s="1115" t="s">
        <v>970</v>
      </c>
    </row>
    <row r="1317" customFormat="false" ht="14.1" hidden="false" customHeight="true" outlineLevel="0" collapsed="false">
      <c r="A1317" s="1115" t="n">
        <v>36100</v>
      </c>
      <c r="B1317" s="1115" t="s">
        <v>161</v>
      </c>
      <c r="C1317" s="1115" t="n">
        <v>36100</v>
      </c>
      <c r="D1317" s="1115" t="s">
        <v>970</v>
      </c>
      <c r="E1317" s="1115" t="s">
        <v>1728</v>
      </c>
      <c r="F1317" s="1115" t="n">
        <v>16290</v>
      </c>
      <c r="G1317" s="1115" t="n">
        <v>37500</v>
      </c>
      <c r="H1317" s="1115" t="s">
        <v>1163</v>
      </c>
      <c r="I1317" s="1115" t="n">
        <v>36120</v>
      </c>
      <c r="J1317" s="1115" t="s">
        <v>970</v>
      </c>
    </row>
    <row r="1318" customFormat="false" ht="14.1" hidden="false" customHeight="true" outlineLevel="0" collapsed="false">
      <c r="A1318" s="1115" t="n">
        <v>36110</v>
      </c>
      <c r="B1318" s="1115" t="s">
        <v>161</v>
      </c>
      <c r="C1318" s="1115" t="n">
        <v>36110</v>
      </c>
      <c r="D1318" s="1115" t="s">
        <v>2546</v>
      </c>
      <c r="E1318" s="1115" t="s">
        <v>2601</v>
      </c>
      <c r="F1318" s="1115" t="n">
        <v>65650</v>
      </c>
      <c r="G1318" s="1115" t="n">
        <v>37530</v>
      </c>
      <c r="H1318" s="1115" t="s">
        <v>1163</v>
      </c>
      <c r="I1318" s="1115" t="n">
        <v>36160</v>
      </c>
      <c r="J1318" s="1115" t="s">
        <v>970</v>
      </c>
    </row>
    <row r="1319" customFormat="false" ht="14.1" hidden="false" customHeight="true" outlineLevel="0" collapsed="false">
      <c r="A1319" s="1115" t="n">
        <v>36120</v>
      </c>
      <c r="B1319" s="1115" t="s">
        <v>161</v>
      </c>
      <c r="C1319" s="1115" t="n">
        <v>36120</v>
      </c>
      <c r="D1319" s="1115" t="s">
        <v>2548</v>
      </c>
      <c r="E1319" s="1115" t="s">
        <v>2602</v>
      </c>
      <c r="F1319" s="1115" t="n">
        <v>62380</v>
      </c>
      <c r="G1319" s="1115" t="n">
        <v>37550</v>
      </c>
      <c r="H1319" s="1115" t="s">
        <v>1163</v>
      </c>
      <c r="I1319" s="1115" t="n">
        <v>36200</v>
      </c>
      <c r="J1319" s="1115" t="s">
        <v>970</v>
      </c>
    </row>
    <row r="1320" customFormat="false" ht="14.1" hidden="false" customHeight="true" outlineLevel="0" collapsed="false">
      <c r="A1320" s="1115" t="n">
        <v>36160</v>
      </c>
      <c r="B1320" s="1115" t="s">
        <v>161</v>
      </c>
      <c r="C1320" s="1115" t="n">
        <v>36160</v>
      </c>
      <c r="D1320" s="1115" t="s">
        <v>2550</v>
      </c>
      <c r="E1320" s="1115" t="s">
        <v>2603</v>
      </c>
      <c r="F1320" s="1115" t="n">
        <v>98450</v>
      </c>
      <c r="G1320" s="1115" t="n">
        <v>37560</v>
      </c>
      <c r="H1320" s="1115" t="s">
        <v>1163</v>
      </c>
      <c r="I1320" s="1115" t="n">
        <v>36220</v>
      </c>
      <c r="J1320" s="1115" t="s">
        <v>970</v>
      </c>
    </row>
    <row r="1321" customFormat="false" ht="14.1" hidden="false" customHeight="true" outlineLevel="0" collapsed="false">
      <c r="A1321" s="1115" t="n">
        <v>36200</v>
      </c>
      <c r="B1321" s="1115" t="s">
        <v>161</v>
      </c>
      <c r="C1321" s="1115" t="n">
        <v>36200</v>
      </c>
      <c r="D1321" s="1115" t="s">
        <v>970</v>
      </c>
      <c r="E1321" s="1115" t="s">
        <v>2604</v>
      </c>
      <c r="F1321" s="1115" t="n">
        <v>39220</v>
      </c>
      <c r="G1321" s="1115" t="n">
        <v>37570</v>
      </c>
      <c r="H1321" s="1115" t="s">
        <v>1163</v>
      </c>
      <c r="I1321" s="1115" t="n">
        <v>36240</v>
      </c>
      <c r="J1321" s="1115" t="s">
        <v>970</v>
      </c>
    </row>
    <row r="1322" customFormat="false" ht="14.1" hidden="false" customHeight="true" outlineLevel="0" collapsed="false">
      <c r="A1322" s="1115" t="n">
        <v>36220</v>
      </c>
      <c r="B1322" s="1115" t="s">
        <v>161</v>
      </c>
      <c r="C1322" s="1115" t="n">
        <v>36220</v>
      </c>
      <c r="D1322" s="1115" t="s">
        <v>970</v>
      </c>
      <c r="E1322" s="1115" t="s">
        <v>2605</v>
      </c>
      <c r="F1322" s="1115" t="n">
        <v>71280</v>
      </c>
      <c r="G1322" s="1115" t="n">
        <v>37600</v>
      </c>
      <c r="H1322" s="1115" t="s">
        <v>1591</v>
      </c>
      <c r="I1322" s="1115" t="n">
        <v>36270</v>
      </c>
      <c r="J1322" s="1115" t="s">
        <v>970</v>
      </c>
    </row>
    <row r="1323" customFormat="false" ht="14.1" hidden="false" customHeight="true" outlineLevel="0" collapsed="false">
      <c r="A1323" s="1115" t="n">
        <v>36240</v>
      </c>
      <c r="B1323" s="1115" t="s">
        <v>161</v>
      </c>
      <c r="C1323" s="1115" t="n">
        <v>36240</v>
      </c>
      <c r="D1323" s="1115" t="s">
        <v>970</v>
      </c>
      <c r="E1323" s="1115" t="s">
        <v>2606</v>
      </c>
      <c r="F1323" s="1115" t="n">
        <v>42870</v>
      </c>
      <c r="G1323" s="1115" t="n">
        <v>37620</v>
      </c>
      <c r="H1323" s="1115" t="s">
        <v>1591</v>
      </c>
      <c r="I1323" s="1115" t="n">
        <v>36280</v>
      </c>
      <c r="J1323" s="1115" t="s">
        <v>970</v>
      </c>
    </row>
    <row r="1324" customFormat="false" ht="14.1" hidden="false" customHeight="true" outlineLevel="0" collapsed="false">
      <c r="A1324" s="1115" t="n">
        <v>36270</v>
      </c>
      <c r="B1324" s="1115" t="s">
        <v>161</v>
      </c>
      <c r="C1324" s="1115" t="n">
        <v>36270</v>
      </c>
      <c r="D1324" s="1115" t="s">
        <v>970</v>
      </c>
      <c r="E1324" s="1115" t="s">
        <v>2607</v>
      </c>
      <c r="F1324" s="1115" t="n">
        <v>79140</v>
      </c>
      <c r="G1324" s="1115" t="n">
        <v>37630</v>
      </c>
      <c r="H1324" s="1115" t="s">
        <v>1591</v>
      </c>
      <c r="I1324" s="1115" t="n">
        <v>36340</v>
      </c>
      <c r="J1324" s="1115" t="s">
        <v>970</v>
      </c>
    </row>
    <row r="1325" customFormat="false" ht="14.1" hidden="false" customHeight="true" outlineLevel="0" collapsed="false">
      <c r="A1325" s="1115" t="n">
        <v>36280</v>
      </c>
      <c r="B1325" s="1115" t="s">
        <v>161</v>
      </c>
      <c r="C1325" s="1115" t="n">
        <v>36280</v>
      </c>
      <c r="D1325" s="1115" t="s">
        <v>2555</v>
      </c>
      <c r="E1325" s="1115" t="s">
        <v>2608</v>
      </c>
      <c r="F1325" s="1115" t="n">
        <v>98930</v>
      </c>
      <c r="G1325" s="1115" t="n">
        <v>37650</v>
      </c>
      <c r="H1325" s="1115" t="s">
        <v>1591</v>
      </c>
      <c r="I1325" s="1115" t="n">
        <v>36420</v>
      </c>
      <c r="J1325" s="1115" t="s">
        <v>970</v>
      </c>
    </row>
    <row r="1326" customFormat="false" ht="14.1" hidden="false" customHeight="true" outlineLevel="0" collapsed="false">
      <c r="A1326" s="1115" t="n">
        <v>36340</v>
      </c>
      <c r="B1326" s="1115" t="s">
        <v>161</v>
      </c>
      <c r="C1326" s="1115" t="n">
        <v>36340</v>
      </c>
      <c r="D1326" s="1115" t="s">
        <v>2557</v>
      </c>
      <c r="E1326" s="1115" t="s">
        <v>2093</v>
      </c>
      <c r="F1326" s="1115" t="n">
        <v>25170</v>
      </c>
      <c r="G1326" s="1115" t="n">
        <v>37680</v>
      </c>
      <c r="H1326" s="1115" t="s">
        <v>1591</v>
      </c>
      <c r="I1326" s="1115" t="n">
        <v>36430</v>
      </c>
      <c r="J1326" s="1115" t="s">
        <v>970</v>
      </c>
    </row>
    <row r="1327" customFormat="false" ht="14.1" hidden="false" customHeight="true" outlineLevel="0" collapsed="false">
      <c r="A1327" s="1115" t="n">
        <v>36420</v>
      </c>
      <c r="B1327" s="1115" t="s">
        <v>161</v>
      </c>
      <c r="C1327" s="1115" t="n">
        <v>36420</v>
      </c>
      <c r="D1327" s="1115" t="s">
        <v>2559</v>
      </c>
      <c r="E1327" s="1115" t="s">
        <v>2609</v>
      </c>
      <c r="F1327" s="1115" t="n">
        <v>77540</v>
      </c>
      <c r="G1327" s="1115" t="n">
        <v>37700</v>
      </c>
      <c r="H1327" s="1115" t="s">
        <v>2610</v>
      </c>
      <c r="I1327" s="1115" t="n">
        <v>36450</v>
      </c>
      <c r="J1327" s="1115" t="s">
        <v>970</v>
      </c>
    </row>
    <row r="1328" customFormat="false" ht="14.1" hidden="false" customHeight="true" outlineLevel="0" collapsed="false">
      <c r="A1328" s="1115" t="n">
        <v>36430</v>
      </c>
      <c r="B1328" s="1115" t="s">
        <v>161</v>
      </c>
      <c r="C1328" s="1115" t="n">
        <v>36430</v>
      </c>
      <c r="D1328" s="1115" t="s">
        <v>2561</v>
      </c>
      <c r="E1328" s="1115" t="s">
        <v>2611</v>
      </c>
      <c r="F1328" s="1115" t="n">
        <v>56230</v>
      </c>
      <c r="G1328" s="1115" t="n">
        <v>37720</v>
      </c>
      <c r="H1328" s="1115" t="s">
        <v>2612</v>
      </c>
      <c r="I1328" s="1115" t="n">
        <v>36460</v>
      </c>
      <c r="J1328" s="1115" t="s">
        <v>970</v>
      </c>
    </row>
    <row r="1329" customFormat="false" ht="14.1" hidden="false" customHeight="true" outlineLevel="0" collapsed="false">
      <c r="A1329" s="1115" t="n">
        <v>36450</v>
      </c>
      <c r="B1329" s="1115" t="s">
        <v>161</v>
      </c>
      <c r="C1329" s="1115" t="n">
        <v>36450</v>
      </c>
      <c r="D1329" s="1115" t="s">
        <v>2562</v>
      </c>
      <c r="E1329" s="1115" t="s">
        <v>2613</v>
      </c>
      <c r="F1329" s="1115" t="n">
        <v>74540</v>
      </c>
      <c r="G1329" s="1115" t="n">
        <v>37740</v>
      </c>
      <c r="H1329" s="1115" t="s">
        <v>1468</v>
      </c>
      <c r="I1329" s="1115" t="n">
        <v>36480</v>
      </c>
      <c r="J1329" s="1115" t="s">
        <v>970</v>
      </c>
    </row>
    <row r="1330" customFormat="false" ht="14.1" hidden="false" customHeight="true" outlineLevel="0" collapsed="false">
      <c r="A1330" s="1115" t="n">
        <v>36460</v>
      </c>
      <c r="B1330" s="1115" t="s">
        <v>161</v>
      </c>
      <c r="C1330" s="1115" t="n">
        <v>36460</v>
      </c>
      <c r="D1330" s="1115" t="s">
        <v>2563</v>
      </c>
      <c r="E1330" s="1115" t="s">
        <v>2614</v>
      </c>
      <c r="F1330" s="1115" t="n">
        <v>89140</v>
      </c>
      <c r="G1330" s="1115" t="n">
        <v>37770</v>
      </c>
      <c r="H1330" s="1115" t="s">
        <v>2615</v>
      </c>
      <c r="I1330" s="1115" t="n">
        <v>36520</v>
      </c>
      <c r="J1330" s="1115" t="s">
        <v>970</v>
      </c>
    </row>
    <row r="1331" customFormat="false" ht="14.1" hidden="false" customHeight="true" outlineLevel="0" collapsed="false">
      <c r="A1331" s="1115" t="n">
        <v>36480</v>
      </c>
      <c r="B1331" s="1115" t="s">
        <v>161</v>
      </c>
      <c r="C1331" s="1115" t="n">
        <v>36480</v>
      </c>
      <c r="D1331" s="1115" t="s">
        <v>2564</v>
      </c>
      <c r="E1331" s="1115" t="s">
        <v>2616</v>
      </c>
      <c r="F1331" s="1115" t="n">
        <v>54820</v>
      </c>
      <c r="G1331" s="1115" t="n">
        <v>37800</v>
      </c>
      <c r="H1331" s="1115" t="s">
        <v>697</v>
      </c>
      <c r="I1331" s="1115" t="n">
        <v>36570</v>
      </c>
      <c r="J1331" s="1115" t="s">
        <v>970</v>
      </c>
    </row>
    <row r="1332" customFormat="false" ht="14.1" hidden="false" customHeight="true" outlineLevel="0" collapsed="false">
      <c r="A1332" s="1115" t="n">
        <v>36520</v>
      </c>
      <c r="B1332" s="1115" t="s">
        <v>161</v>
      </c>
      <c r="C1332" s="1115" t="n">
        <v>36520</v>
      </c>
      <c r="D1332" s="1115" t="s">
        <v>2565</v>
      </c>
      <c r="E1332" s="1115" t="s">
        <v>1108</v>
      </c>
      <c r="F1332" s="1115" t="n">
        <v>48100</v>
      </c>
      <c r="G1332" s="1115" t="n">
        <v>37830</v>
      </c>
      <c r="H1332" s="1115" t="s">
        <v>697</v>
      </c>
      <c r="I1332" s="1115" t="n">
        <v>36600</v>
      </c>
      <c r="J1332" s="1115" t="s">
        <v>970</v>
      </c>
    </row>
    <row r="1333" customFormat="false" ht="14.1" hidden="false" customHeight="true" outlineLevel="0" collapsed="false">
      <c r="A1333" s="1115" t="n">
        <v>36570</v>
      </c>
      <c r="B1333" s="1115" t="s">
        <v>161</v>
      </c>
      <c r="C1333" s="1115" t="n">
        <v>36570</v>
      </c>
      <c r="D1333" s="1115" t="s">
        <v>2159</v>
      </c>
      <c r="E1333" s="1115" t="s">
        <v>1108</v>
      </c>
      <c r="F1333" s="1115" t="n">
        <v>48100</v>
      </c>
      <c r="G1333" s="1115" t="n">
        <v>37850</v>
      </c>
      <c r="H1333" s="1115" t="s">
        <v>2617</v>
      </c>
      <c r="I1333" s="1115" t="n">
        <v>36640</v>
      </c>
      <c r="J1333" s="1115" t="s">
        <v>970</v>
      </c>
    </row>
    <row r="1334" customFormat="false" ht="14.1" hidden="false" customHeight="true" outlineLevel="0" collapsed="false">
      <c r="A1334" s="1115" t="n">
        <v>36600</v>
      </c>
      <c r="B1334" s="1115" t="s">
        <v>161</v>
      </c>
      <c r="C1334" s="1115" t="n">
        <v>36600</v>
      </c>
      <c r="D1334" s="1115" t="s">
        <v>1402</v>
      </c>
      <c r="E1334" s="1115" t="s">
        <v>1108</v>
      </c>
      <c r="F1334" s="1115" t="n">
        <v>48130</v>
      </c>
      <c r="G1334" s="1115" t="n">
        <v>37860</v>
      </c>
      <c r="H1334" s="1115" t="s">
        <v>2618</v>
      </c>
      <c r="I1334" s="1115" t="n">
        <v>36660</v>
      </c>
      <c r="J1334" s="1115" t="s">
        <v>970</v>
      </c>
    </row>
    <row r="1335" customFormat="false" ht="14.1" hidden="false" customHeight="true" outlineLevel="0" collapsed="false">
      <c r="A1335" s="1115" t="n">
        <v>36640</v>
      </c>
      <c r="B1335" s="1115" t="s">
        <v>161</v>
      </c>
      <c r="C1335" s="1115" t="n">
        <v>36640</v>
      </c>
      <c r="D1335" s="1115" t="s">
        <v>1927</v>
      </c>
      <c r="E1335" s="1115" t="s">
        <v>1108</v>
      </c>
      <c r="F1335" s="1115" t="n">
        <v>48200</v>
      </c>
      <c r="G1335" s="1115" t="n">
        <v>37900</v>
      </c>
      <c r="H1335" s="1115" t="s">
        <v>697</v>
      </c>
      <c r="I1335" s="1115" t="n">
        <v>36720</v>
      </c>
      <c r="J1335" s="1115" t="s">
        <v>970</v>
      </c>
    </row>
    <row r="1336" customFormat="false" ht="14.1" hidden="false" customHeight="true" outlineLevel="0" collapsed="false">
      <c r="A1336" s="1115" t="n">
        <v>36660</v>
      </c>
      <c r="B1336" s="1115" t="s">
        <v>161</v>
      </c>
      <c r="C1336" s="1115" t="n">
        <v>36660</v>
      </c>
      <c r="D1336" s="1115" t="s">
        <v>2568</v>
      </c>
      <c r="E1336" s="1115" t="s">
        <v>1108</v>
      </c>
      <c r="F1336" s="1115" t="n">
        <v>48210</v>
      </c>
      <c r="G1336" s="1115" t="n">
        <v>37910</v>
      </c>
      <c r="H1336" s="1115" t="s">
        <v>697</v>
      </c>
      <c r="I1336" s="1115" t="n">
        <v>36760</v>
      </c>
      <c r="J1336" s="1115" t="s">
        <v>970</v>
      </c>
    </row>
    <row r="1337" customFormat="false" ht="14.1" hidden="false" customHeight="true" outlineLevel="0" collapsed="false">
      <c r="A1337" s="1115" t="n">
        <v>36720</v>
      </c>
      <c r="B1337" s="1115" t="s">
        <v>161</v>
      </c>
      <c r="C1337" s="1115" t="n">
        <v>36720</v>
      </c>
      <c r="D1337" s="1115" t="s">
        <v>811</v>
      </c>
      <c r="E1337" s="1115" t="s">
        <v>1108</v>
      </c>
      <c r="F1337" s="1115" t="n">
        <v>48220</v>
      </c>
      <c r="G1337" s="1115" t="n">
        <v>37930</v>
      </c>
      <c r="H1337" s="1115" t="s">
        <v>2619</v>
      </c>
      <c r="I1337" s="1115" t="n">
        <v>36810</v>
      </c>
      <c r="J1337" s="1115" t="s">
        <v>1116</v>
      </c>
    </row>
    <row r="1338" customFormat="false" ht="14.1" hidden="false" customHeight="true" outlineLevel="0" collapsed="false">
      <c r="A1338" s="1115" t="n">
        <v>36760</v>
      </c>
      <c r="B1338" s="1115" t="s">
        <v>161</v>
      </c>
      <c r="C1338" s="1115" t="n">
        <v>36760</v>
      </c>
      <c r="D1338" s="1115" t="s">
        <v>1199</v>
      </c>
      <c r="E1338" s="1115" t="s">
        <v>1108</v>
      </c>
      <c r="F1338" s="1115" t="n">
        <v>48230</v>
      </c>
      <c r="G1338" s="1115" t="n">
        <v>37960</v>
      </c>
      <c r="H1338" s="1115" t="s">
        <v>697</v>
      </c>
      <c r="I1338" s="1115" t="n">
        <v>36820</v>
      </c>
      <c r="J1338" s="1115" t="s">
        <v>1116</v>
      </c>
    </row>
    <row r="1339" customFormat="false" ht="14.1" hidden="false" customHeight="true" outlineLevel="0" collapsed="false">
      <c r="A1339" s="1115" t="n">
        <v>36810</v>
      </c>
      <c r="B1339" s="1115" t="s">
        <v>161</v>
      </c>
      <c r="C1339" s="1115" t="n">
        <v>36810</v>
      </c>
      <c r="D1339" s="1115" t="s">
        <v>1116</v>
      </c>
      <c r="E1339" s="1115" t="s">
        <v>1108</v>
      </c>
      <c r="F1339" s="1115" t="n">
        <v>48300</v>
      </c>
      <c r="G1339" s="1115" t="n">
        <v>37980</v>
      </c>
      <c r="H1339" s="1115" t="s">
        <v>2620</v>
      </c>
      <c r="I1339" s="1115" t="n">
        <v>36840</v>
      </c>
      <c r="J1339" s="1115" t="s">
        <v>1116</v>
      </c>
    </row>
    <row r="1340" customFormat="false" ht="14.1" hidden="false" customHeight="true" outlineLevel="0" collapsed="false">
      <c r="A1340" s="1115" t="n">
        <v>36820</v>
      </c>
      <c r="B1340" s="1115" t="s">
        <v>161</v>
      </c>
      <c r="C1340" s="1115" t="n">
        <v>36820</v>
      </c>
      <c r="D1340" s="1115" t="s">
        <v>2571</v>
      </c>
      <c r="E1340" s="1115" t="s">
        <v>1108</v>
      </c>
      <c r="F1340" s="1115" t="n">
        <v>48310</v>
      </c>
      <c r="G1340" s="1115" t="n">
        <v>38100</v>
      </c>
      <c r="H1340" s="1115" t="s">
        <v>2266</v>
      </c>
      <c r="I1340" s="1115" t="n">
        <v>36880</v>
      </c>
      <c r="J1340" s="1115" t="s">
        <v>1116</v>
      </c>
    </row>
    <row r="1341" customFormat="false" ht="14.1" hidden="false" customHeight="true" outlineLevel="0" collapsed="false">
      <c r="A1341" s="1115" t="n">
        <v>36840</v>
      </c>
      <c r="B1341" s="1115" t="s">
        <v>161</v>
      </c>
      <c r="C1341" s="1115" t="n">
        <v>36840</v>
      </c>
      <c r="D1341" s="1115" t="s">
        <v>1355</v>
      </c>
      <c r="E1341" s="1115" t="s">
        <v>1108</v>
      </c>
      <c r="F1341" s="1115" t="n">
        <v>48350</v>
      </c>
      <c r="G1341" s="1115" t="n">
        <v>38110</v>
      </c>
      <c r="H1341" s="1115" t="s">
        <v>2621</v>
      </c>
      <c r="I1341" s="1115" t="n">
        <v>36910</v>
      </c>
      <c r="J1341" s="1115" t="s">
        <v>1116</v>
      </c>
    </row>
    <row r="1342" customFormat="false" ht="14.1" hidden="false" customHeight="true" outlineLevel="0" collapsed="false">
      <c r="A1342" s="1115" t="n">
        <v>36880</v>
      </c>
      <c r="B1342" s="1115" t="s">
        <v>161</v>
      </c>
      <c r="C1342" s="1115" t="n">
        <v>36880</v>
      </c>
      <c r="D1342" s="1115" t="s">
        <v>2573</v>
      </c>
      <c r="E1342" s="1115" t="s">
        <v>1108</v>
      </c>
      <c r="F1342" s="1115" t="n">
        <v>48400</v>
      </c>
      <c r="G1342" s="1115" t="n">
        <v>38120</v>
      </c>
      <c r="H1342" s="1115" t="s">
        <v>2622</v>
      </c>
      <c r="I1342" s="1115" t="n">
        <v>36930</v>
      </c>
      <c r="J1342" s="1115" t="s">
        <v>1116</v>
      </c>
    </row>
    <row r="1343" customFormat="false" ht="14.1" hidden="false" customHeight="true" outlineLevel="0" collapsed="false">
      <c r="A1343" s="1115" t="n">
        <v>36910</v>
      </c>
      <c r="B1343" s="1115" t="s">
        <v>161</v>
      </c>
      <c r="C1343" s="1115" t="n">
        <v>36910</v>
      </c>
      <c r="D1343" s="1115" t="s">
        <v>2574</v>
      </c>
      <c r="E1343" s="1115" t="s">
        <v>1108</v>
      </c>
      <c r="F1343" s="1115" t="n">
        <v>48600</v>
      </c>
      <c r="G1343" s="1115" t="n">
        <v>38130</v>
      </c>
      <c r="H1343" s="1115" t="s">
        <v>1071</v>
      </c>
      <c r="I1343" s="1115" t="n">
        <v>36950</v>
      </c>
      <c r="J1343" s="1115" t="s">
        <v>1116</v>
      </c>
    </row>
    <row r="1344" customFormat="false" ht="14.1" hidden="false" customHeight="true" outlineLevel="0" collapsed="false">
      <c r="A1344" s="1115" t="n">
        <v>36930</v>
      </c>
      <c r="B1344" s="1115" t="s">
        <v>161</v>
      </c>
      <c r="C1344" s="1115" t="n">
        <v>36930</v>
      </c>
      <c r="D1344" s="1115" t="s">
        <v>2576</v>
      </c>
      <c r="E1344" s="1115" t="s">
        <v>1108</v>
      </c>
      <c r="F1344" s="1115" t="n">
        <v>48700</v>
      </c>
      <c r="G1344" s="1115" t="n">
        <v>38140</v>
      </c>
      <c r="H1344" s="1115" t="s">
        <v>2623</v>
      </c>
      <c r="I1344" s="1115" t="n">
        <v>37100</v>
      </c>
      <c r="J1344" s="1115" t="s">
        <v>1116</v>
      </c>
    </row>
    <row r="1345" customFormat="false" ht="14.1" hidden="false" customHeight="true" outlineLevel="0" collapsed="false">
      <c r="A1345" s="1115" t="n">
        <v>36950</v>
      </c>
      <c r="B1345" s="1115" t="s">
        <v>161</v>
      </c>
      <c r="C1345" s="1115" t="n">
        <v>36950</v>
      </c>
      <c r="D1345" s="1115" t="s">
        <v>2578</v>
      </c>
      <c r="E1345" s="1115" t="s">
        <v>1108</v>
      </c>
      <c r="F1345" s="1115" t="n">
        <v>48710</v>
      </c>
      <c r="G1345" s="1115" t="n">
        <v>38150</v>
      </c>
      <c r="H1345" s="1115" t="s">
        <v>1533</v>
      </c>
      <c r="I1345" s="1115" t="n">
        <v>37120</v>
      </c>
      <c r="J1345" s="1115" t="s">
        <v>1116</v>
      </c>
    </row>
    <row r="1346" customFormat="false" ht="14.1" hidden="false" customHeight="true" outlineLevel="0" collapsed="false">
      <c r="A1346" s="1115" t="n">
        <v>37100</v>
      </c>
      <c r="B1346" s="1115" t="s">
        <v>161</v>
      </c>
      <c r="C1346" s="1115" t="n">
        <v>37100</v>
      </c>
      <c r="D1346" s="1115" t="s">
        <v>1271</v>
      </c>
      <c r="E1346" s="1115" t="s">
        <v>1108</v>
      </c>
      <c r="F1346" s="1115" t="n">
        <v>48720</v>
      </c>
      <c r="G1346" s="1115" t="n">
        <v>38200</v>
      </c>
      <c r="H1346" s="1115" t="s">
        <v>1596</v>
      </c>
      <c r="I1346" s="1115" t="n">
        <v>37130</v>
      </c>
      <c r="J1346" s="1115" t="s">
        <v>1116</v>
      </c>
    </row>
    <row r="1347" customFormat="false" ht="14.1" hidden="false" customHeight="true" outlineLevel="0" collapsed="false">
      <c r="A1347" s="1115" t="n">
        <v>37120</v>
      </c>
      <c r="B1347" s="1115" t="s">
        <v>161</v>
      </c>
      <c r="C1347" s="1115" t="n">
        <v>37120</v>
      </c>
      <c r="D1347" s="1115" t="s">
        <v>1271</v>
      </c>
      <c r="E1347" s="1115" t="s">
        <v>1108</v>
      </c>
      <c r="F1347" s="1115" t="n">
        <v>48750</v>
      </c>
      <c r="G1347" s="1115" t="n">
        <v>38210</v>
      </c>
      <c r="H1347" s="1115" t="s">
        <v>1596</v>
      </c>
      <c r="I1347" s="1115" t="n">
        <v>37140</v>
      </c>
      <c r="J1347" s="1115" t="s">
        <v>1116</v>
      </c>
    </row>
    <row r="1348" customFormat="false" ht="14.1" hidden="false" customHeight="true" outlineLevel="0" collapsed="false">
      <c r="A1348" s="1115" t="n">
        <v>37130</v>
      </c>
      <c r="B1348" s="1115" t="s">
        <v>161</v>
      </c>
      <c r="C1348" s="1115" t="n">
        <v>37130</v>
      </c>
      <c r="D1348" s="1115" t="s">
        <v>1271</v>
      </c>
      <c r="E1348" s="1115" t="s">
        <v>1108</v>
      </c>
      <c r="F1348" s="1115" t="n">
        <v>48770</v>
      </c>
      <c r="G1348" s="1115" t="n">
        <v>38220</v>
      </c>
      <c r="H1348" s="1115" t="s">
        <v>2624</v>
      </c>
      <c r="I1348" s="1115" t="n">
        <v>37150</v>
      </c>
      <c r="J1348" s="1115" t="s">
        <v>1116</v>
      </c>
    </row>
    <row r="1349" customFormat="false" ht="14.1" hidden="false" customHeight="true" outlineLevel="0" collapsed="false">
      <c r="A1349" s="1115" t="n">
        <v>37140</v>
      </c>
      <c r="B1349" s="1115" t="s">
        <v>161</v>
      </c>
      <c r="C1349" s="1115" t="n">
        <v>37140</v>
      </c>
      <c r="D1349" s="1115" t="s">
        <v>1271</v>
      </c>
      <c r="E1349" s="1115" t="s">
        <v>1108</v>
      </c>
      <c r="F1349" s="1115" t="n">
        <v>48800</v>
      </c>
      <c r="G1349" s="1115" t="n">
        <v>38230</v>
      </c>
      <c r="H1349" s="1115" t="s">
        <v>2625</v>
      </c>
      <c r="I1349" s="1115" t="n">
        <v>37180</v>
      </c>
      <c r="J1349" s="1115" t="s">
        <v>1116</v>
      </c>
    </row>
    <row r="1350" customFormat="false" ht="14.1" hidden="false" customHeight="true" outlineLevel="0" collapsed="false">
      <c r="A1350" s="1115" t="n">
        <v>37150</v>
      </c>
      <c r="B1350" s="1115" t="s">
        <v>161</v>
      </c>
      <c r="C1350" s="1115" t="n">
        <v>37150</v>
      </c>
      <c r="D1350" s="1115" t="s">
        <v>1271</v>
      </c>
      <c r="E1350" s="1115" t="s">
        <v>1108</v>
      </c>
      <c r="F1350" s="1115" t="n">
        <v>48810</v>
      </c>
      <c r="G1350" s="1115" t="n">
        <v>38250</v>
      </c>
      <c r="H1350" s="1115" t="s">
        <v>2626</v>
      </c>
      <c r="I1350" s="1115" t="n">
        <v>37200</v>
      </c>
      <c r="J1350" s="1115" t="s">
        <v>1116</v>
      </c>
    </row>
    <row r="1351" customFormat="false" ht="14.1" hidden="false" customHeight="true" outlineLevel="0" collapsed="false">
      <c r="A1351" s="1115" t="n">
        <v>37180</v>
      </c>
      <c r="B1351" s="1115" t="s">
        <v>161</v>
      </c>
      <c r="C1351" s="1115" t="n">
        <v>37180</v>
      </c>
      <c r="D1351" s="1115" t="s">
        <v>2583</v>
      </c>
      <c r="E1351" s="1115" t="s">
        <v>1108</v>
      </c>
      <c r="F1351" s="1115" t="n">
        <v>48900</v>
      </c>
      <c r="G1351" s="1115" t="n">
        <v>38260</v>
      </c>
      <c r="H1351" s="1115" t="s">
        <v>2627</v>
      </c>
      <c r="I1351" s="1115" t="n">
        <v>37210</v>
      </c>
      <c r="J1351" s="1115" t="s">
        <v>1116</v>
      </c>
    </row>
    <row r="1352" customFormat="false" ht="14.1" hidden="false" customHeight="true" outlineLevel="0" collapsed="false">
      <c r="A1352" s="1115" t="n">
        <v>37200</v>
      </c>
      <c r="B1352" s="1115" t="s">
        <v>161</v>
      </c>
      <c r="C1352" s="1115" t="n">
        <v>37200</v>
      </c>
      <c r="D1352" s="1115" t="s">
        <v>2585</v>
      </c>
      <c r="E1352" s="1115" t="s">
        <v>1108</v>
      </c>
      <c r="F1352" s="1115" t="n">
        <v>48910</v>
      </c>
      <c r="G1352" s="1115" t="n">
        <v>38270</v>
      </c>
      <c r="H1352" s="1115" t="s">
        <v>2628</v>
      </c>
      <c r="I1352" s="1115" t="n">
        <v>37240</v>
      </c>
      <c r="J1352" s="1115" t="s">
        <v>1116</v>
      </c>
    </row>
    <row r="1353" customFormat="false" ht="14.1" hidden="false" customHeight="true" outlineLevel="0" collapsed="false">
      <c r="A1353" s="1115" t="n">
        <v>37210</v>
      </c>
      <c r="B1353" s="1115" t="s">
        <v>161</v>
      </c>
      <c r="C1353" s="1115" t="n">
        <v>37210</v>
      </c>
      <c r="D1353" s="1115" t="s">
        <v>2586</v>
      </c>
      <c r="E1353" s="1115" t="s">
        <v>1108</v>
      </c>
      <c r="F1353" s="1115" t="n">
        <v>48920</v>
      </c>
      <c r="G1353" s="1115" t="n">
        <v>38280</v>
      </c>
      <c r="H1353" s="1115" t="s">
        <v>1919</v>
      </c>
      <c r="I1353" s="1115" t="n">
        <v>37310</v>
      </c>
      <c r="J1353" s="1115" t="s">
        <v>1116</v>
      </c>
    </row>
    <row r="1354" customFormat="false" ht="14.1" hidden="false" customHeight="true" outlineLevel="0" collapsed="false">
      <c r="A1354" s="1115" t="n">
        <v>37240</v>
      </c>
      <c r="B1354" s="1115" t="s">
        <v>161</v>
      </c>
      <c r="C1354" s="1115" t="n">
        <v>37240</v>
      </c>
      <c r="D1354" s="1115" t="s">
        <v>2588</v>
      </c>
      <c r="E1354" s="1115" t="s">
        <v>1108</v>
      </c>
      <c r="F1354" s="1115" t="n">
        <v>48930</v>
      </c>
      <c r="G1354" s="1115" t="n">
        <v>38280</v>
      </c>
      <c r="H1354" s="1115" t="s">
        <v>1919</v>
      </c>
      <c r="I1354" s="1115" t="n">
        <v>37340</v>
      </c>
      <c r="J1354" s="1115" t="s">
        <v>1612</v>
      </c>
    </row>
    <row r="1355" customFormat="false" ht="14.1" hidden="false" customHeight="true" outlineLevel="0" collapsed="false">
      <c r="A1355" s="1115" t="n">
        <v>37310</v>
      </c>
      <c r="B1355" s="1115" t="s">
        <v>161</v>
      </c>
      <c r="C1355" s="1115" t="n">
        <v>37310</v>
      </c>
      <c r="D1355" s="1115" t="s">
        <v>2589</v>
      </c>
      <c r="E1355" s="1115" t="s">
        <v>2629</v>
      </c>
      <c r="F1355" s="1115" t="n">
        <v>44790</v>
      </c>
      <c r="G1355" s="1115" t="n">
        <v>38290</v>
      </c>
      <c r="H1355" s="1115" t="s">
        <v>2630</v>
      </c>
      <c r="I1355" s="1115" t="n">
        <v>37350</v>
      </c>
      <c r="J1355" s="1115" t="s">
        <v>1612</v>
      </c>
    </row>
    <row r="1356" customFormat="false" ht="14.1" hidden="false" customHeight="true" outlineLevel="0" collapsed="false">
      <c r="A1356" s="1115" t="n">
        <v>37340</v>
      </c>
      <c r="B1356" s="1115" t="s">
        <v>161</v>
      </c>
      <c r="C1356" s="1115" t="n">
        <v>37340</v>
      </c>
      <c r="D1356" s="1115" t="s">
        <v>2591</v>
      </c>
      <c r="E1356" s="1115" t="s">
        <v>1758</v>
      </c>
      <c r="F1356" s="1115" t="n">
        <v>16650</v>
      </c>
      <c r="G1356" s="1115" t="n">
        <v>38300</v>
      </c>
      <c r="H1356" s="1115" t="s">
        <v>2410</v>
      </c>
      <c r="I1356" s="1115" t="n">
        <v>37360</v>
      </c>
      <c r="J1356" s="1115" t="s">
        <v>1612</v>
      </c>
    </row>
    <row r="1357" customFormat="false" ht="14.1" hidden="false" customHeight="true" outlineLevel="0" collapsed="false">
      <c r="A1357" s="1115" t="n">
        <v>37350</v>
      </c>
      <c r="B1357" s="1115" t="s">
        <v>161</v>
      </c>
      <c r="C1357" s="1115" t="n">
        <v>37350</v>
      </c>
      <c r="D1357" s="1115" t="s">
        <v>2592</v>
      </c>
      <c r="E1357" s="1115" t="s">
        <v>2631</v>
      </c>
      <c r="F1357" s="1115" t="n">
        <v>61160</v>
      </c>
      <c r="G1357" s="1115" t="n">
        <v>38320</v>
      </c>
      <c r="H1357" s="1115" t="s">
        <v>2412</v>
      </c>
      <c r="I1357" s="1115" t="n">
        <v>37370</v>
      </c>
      <c r="J1357" s="1115" t="s">
        <v>1612</v>
      </c>
    </row>
    <row r="1358" customFormat="false" ht="14.1" hidden="false" customHeight="true" outlineLevel="0" collapsed="false">
      <c r="A1358" s="1115" t="n">
        <v>37360</v>
      </c>
      <c r="B1358" s="1115" t="s">
        <v>161</v>
      </c>
      <c r="C1358" s="1115" t="n">
        <v>37360</v>
      </c>
      <c r="D1358" s="1115" t="s">
        <v>2593</v>
      </c>
      <c r="E1358" s="1115" t="s">
        <v>1110</v>
      </c>
      <c r="F1358" s="1115" t="n">
        <v>45100</v>
      </c>
      <c r="G1358" s="1115" t="n">
        <v>38340</v>
      </c>
      <c r="H1358" s="1115" t="s">
        <v>2632</v>
      </c>
      <c r="I1358" s="1115" t="n">
        <v>37380</v>
      </c>
      <c r="J1358" s="1115" t="s">
        <v>1612</v>
      </c>
    </row>
    <row r="1359" customFormat="false" ht="14.1" hidden="false" customHeight="true" outlineLevel="0" collapsed="false">
      <c r="A1359" s="1115" t="n">
        <v>37370</v>
      </c>
      <c r="B1359" s="1115" t="s">
        <v>161</v>
      </c>
      <c r="C1359" s="1115" t="n">
        <v>37370</v>
      </c>
      <c r="D1359" s="1115" t="s">
        <v>2594</v>
      </c>
      <c r="E1359" s="1115" t="s">
        <v>1110</v>
      </c>
      <c r="F1359" s="1115" t="n">
        <v>45100</v>
      </c>
      <c r="G1359" s="1115" t="n">
        <v>38350</v>
      </c>
      <c r="H1359" s="1115" t="s">
        <v>1982</v>
      </c>
      <c r="I1359" s="1115" t="n">
        <v>37420</v>
      </c>
      <c r="J1359" s="1115" t="s">
        <v>1612</v>
      </c>
    </row>
    <row r="1360" customFormat="false" ht="14.1" hidden="false" customHeight="true" outlineLevel="0" collapsed="false">
      <c r="A1360" s="1115" t="n">
        <v>37380</v>
      </c>
      <c r="B1360" s="1115" t="s">
        <v>161</v>
      </c>
      <c r="C1360" s="1115" t="n">
        <v>37380</v>
      </c>
      <c r="D1360" s="1115" t="s">
        <v>2596</v>
      </c>
      <c r="E1360" s="1115" t="s">
        <v>1110</v>
      </c>
      <c r="F1360" s="1115" t="n">
        <v>45120</v>
      </c>
      <c r="G1360" s="1115" t="n">
        <v>38360</v>
      </c>
      <c r="H1360" s="1115" t="s">
        <v>1477</v>
      </c>
      <c r="I1360" s="1115" t="n">
        <v>37450</v>
      </c>
      <c r="J1360" s="1115" t="s">
        <v>1612</v>
      </c>
    </row>
    <row r="1361" customFormat="false" ht="14.1" hidden="false" customHeight="true" outlineLevel="0" collapsed="false">
      <c r="A1361" s="1115" t="n">
        <v>37420</v>
      </c>
      <c r="B1361" s="1115" t="s">
        <v>161</v>
      </c>
      <c r="C1361" s="1115" t="n">
        <v>37420</v>
      </c>
      <c r="D1361" s="1115" t="s">
        <v>2597</v>
      </c>
      <c r="E1361" s="1115" t="s">
        <v>1110</v>
      </c>
      <c r="F1361" s="1115" t="n">
        <v>45130</v>
      </c>
      <c r="G1361" s="1115" t="n">
        <v>38370</v>
      </c>
      <c r="H1361" s="1115" t="s">
        <v>2633</v>
      </c>
      <c r="I1361" s="1115" t="n">
        <v>37470</v>
      </c>
      <c r="J1361" s="1115" t="s">
        <v>1612</v>
      </c>
    </row>
    <row r="1362" customFormat="false" ht="14.1" hidden="false" customHeight="true" outlineLevel="0" collapsed="false">
      <c r="A1362" s="1115" t="n">
        <v>37450</v>
      </c>
      <c r="B1362" s="1115" t="s">
        <v>161</v>
      </c>
      <c r="C1362" s="1115" t="n">
        <v>37450</v>
      </c>
      <c r="D1362" s="1115" t="s">
        <v>2599</v>
      </c>
      <c r="E1362" s="1115" t="s">
        <v>1110</v>
      </c>
      <c r="F1362" s="1115" t="n">
        <v>45140</v>
      </c>
      <c r="G1362" s="1115" t="n">
        <v>38390</v>
      </c>
      <c r="H1362" s="1115" t="s">
        <v>2634</v>
      </c>
      <c r="I1362" s="1115" t="n">
        <v>37500</v>
      </c>
      <c r="J1362" s="1115" t="s">
        <v>1163</v>
      </c>
    </row>
    <row r="1363" customFormat="false" ht="14.1" hidden="false" customHeight="true" outlineLevel="0" collapsed="false">
      <c r="A1363" s="1115" t="n">
        <v>37470</v>
      </c>
      <c r="B1363" s="1115" t="s">
        <v>161</v>
      </c>
      <c r="C1363" s="1115" t="n">
        <v>37470</v>
      </c>
      <c r="D1363" s="1115" t="s">
        <v>1612</v>
      </c>
      <c r="E1363" s="1115" t="s">
        <v>1110</v>
      </c>
      <c r="F1363" s="1115" t="n">
        <v>45150</v>
      </c>
      <c r="G1363" s="1115" t="n">
        <v>38420</v>
      </c>
      <c r="H1363" s="1115" t="s">
        <v>1869</v>
      </c>
      <c r="I1363" s="1115" t="n">
        <v>37530</v>
      </c>
      <c r="J1363" s="1115" t="s">
        <v>1163</v>
      </c>
    </row>
    <row r="1364" customFormat="false" ht="14.1" hidden="false" customHeight="true" outlineLevel="0" collapsed="false">
      <c r="A1364" s="1115" t="n">
        <v>37500</v>
      </c>
      <c r="B1364" s="1115" t="s">
        <v>161</v>
      </c>
      <c r="C1364" s="1115" t="n">
        <v>37500</v>
      </c>
      <c r="D1364" s="1115" t="s">
        <v>1163</v>
      </c>
      <c r="E1364" s="1115" t="s">
        <v>1110</v>
      </c>
      <c r="F1364" s="1115" t="n">
        <v>45160</v>
      </c>
      <c r="G1364" s="1115" t="n">
        <v>38430</v>
      </c>
      <c r="H1364" s="1115" t="s">
        <v>2635</v>
      </c>
      <c r="I1364" s="1115" t="n">
        <v>37550</v>
      </c>
      <c r="J1364" s="1115" t="s">
        <v>1163</v>
      </c>
    </row>
    <row r="1365" customFormat="false" ht="14.1" hidden="false" customHeight="true" outlineLevel="0" collapsed="false">
      <c r="A1365" s="1115" t="n">
        <v>37530</v>
      </c>
      <c r="B1365" s="1115" t="s">
        <v>161</v>
      </c>
      <c r="C1365" s="1115" t="n">
        <v>37530</v>
      </c>
      <c r="D1365" s="1115" t="s">
        <v>1163</v>
      </c>
      <c r="E1365" s="1115" t="s">
        <v>1110</v>
      </c>
      <c r="F1365" s="1115" t="n">
        <v>45200</v>
      </c>
      <c r="G1365" s="1115" t="n">
        <v>38460</v>
      </c>
      <c r="H1365" s="1115" t="s">
        <v>1234</v>
      </c>
      <c r="I1365" s="1115" t="n">
        <v>37560</v>
      </c>
      <c r="J1365" s="1115" t="s">
        <v>1163</v>
      </c>
    </row>
    <row r="1366" customFormat="false" ht="14.1" hidden="false" customHeight="true" outlineLevel="0" collapsed="false">
      <c r="A1366" s="1115" t="n">
        <v>37550</v>
      </c>
      <c r="B1366" s="1115" t="s">
        <v>161</v>
      </c>
      <c r="C1366" s="1115" t="n">
        <v>37550</v>
      </c>
      <c r="D1366" s="1115" t="s">
        <v>1163</v>
      </c>
      <c r="E1366" s="1115" t="s">
        <v>2636</v>
      </c>
      <c r="F1366" s="1115" t="n">
        <v>39610</v>
      </c>
      <c r="G1366" s="1115" t="n">
        <v>38470</v>
      </c>
      <c r="H1366" s="1115" t="s">
        <v>1865</v>
      </c>
      <c r="I1366" s="1115" t="n">
        <v>37570</v>
      </c>
      <c r="J1366" s="1115" t="s">
        <v>1163</v>
      </c>
    </row>
    <row r="1367" customFormat="false" ht="14.1" hidden="false" customHeight="true" outlineLevel="0" collapsed="false">
      <c r="A1367" s="1115" t="n">
        <v>37560</v>
      </c>
      <c r="B1367" s="1115" t="s">
        <v>161</v>
      </c>
      <c r="C1367" s="1115" t="n">
        <v>37560</v>
      </c>
      <c r="D1367" s="1115" t="s">
        <v>1163</v>
      </c>
      <c r="E1367" s="1115" t="s">
        <v>2637</v>
      </c>
      <c r="F1367" s="1115" t="n">
        <v>39560</v>
      </c>
      <c r="G1367" s="1115" t="n">
        <v>38490</v>
      </c>
      <c r="H1367" s="1115" t="s">
        <v>1466</v>
      </c>
      <c r="I1367" s="1115" t="n">
        <v>37600</v>
      </c>
      <c r="J1367" s="1115" t="s">
        <v>1591</v>
      </c>
    </row>
    <row r="1368" customFormat="false" ht="14.1" hidden="false" customHeight="true" outlineLevel="0" collapsed="false">
      <c r="A1368" s="1115" t="n">
        <v>37570</v>
      </c>
      <c r="B1368" s="1115" t="s">
        <v>161</v>
      </c>
      <c r="C1368" s="1115" t="n">
        <v>37570</v>
      </c>
      <c r="D1368" s="1115" t="s">
        <v>1163</v>
      </c>
      <c r="E1368" s="1115" t="s">
        <v>2638</v>
      </c>
      <c r="F1368" s="1115" t="n">
        <v>82710</v>
      </c>
      <c r="G1368" s="1115" t="n">
        <v>38510</v>
      </c>
      <c r="H1368" s="1115" t="s">
        <v>1521</v>
      </c>
      <c r="I1368" s="1115" t="n">
        <v>37620</v>
      </c>
      <c r="J1368" s="1115" t="s">
        <v>1591</v>
      </c>
    </row>
    <row r="1369" customFormat="false" ht="14.1" hidden="false" customHeight="true" outlineLevel="0" collapsed="false">
      <c r="A1369" s="1115" t="n">
        <v>37600</v>
      </c>
      <c r="B1369" s="1115" t="s">
        <v>161</v>
      </c>
      <c r="C1369" s="1115" t="n">
        <v>37600</v>
      </c>
      <c r="D1369" s="1115" t="s">
        <v>1591</v>
      </c>
      <c r="E1369" s="1115" t="s">
        <v>2639</v>
      </c>
      <c r="F1369" s="1115" t="n">
        <v>39620</v>
      </c>
      <c r="G1369" s="1115" t="n">
        <v>38520</v>
      </c>
      <c r="H1369" s="1115" t="s">
        <v>2640</v>
      </c>
      <c r="I1369" s="1115" t="n">
        <v>37630</v>
      </c>
      <c r="J1369" s="1115" t="s">
        <v>1591</v>
      </c>
    </row>
    <row r="1370" customFormat="false" ht="14.1" hidden="false" customHeight="true" outlineLevel="0" collapsed="false">
      <c r="A1370" s="1115" t="n">
        <v>37620</v>
      </c>
      <c r="B1370" s="1115" t="s">
        <v>161</v>
      </c>
      <c r="C1370" s="1115" t="n">
        <v>37620</v>
      </c>
      <c r="D1370" s="1115" t="s">
        <v>1591</v>
      </c>
      <c r="E1370" s="1115" t="s">
        <v>2641</v>
      </c>
      <c r="F1370" s="1115" t="n">
        <v>66930</v>
      </c>
      <c r="G1370" s="1115" t="n">
        <v>38540</v>
      </c>
      <c r="H1370" s="1115" t="s">
        <v>2642</v>
      </c>
      <c r="I1370" s="1115" t="n">
        <v>37650</v>
      </c>
      <c r="J1370" s="1115" t="s">
        <v>1591</v>
      </c>
    </row>
    <row r="1371" customFormat="false" ht="14.1" hidden="false" customHeight="true" outlineLevel="0" collapsed="false">
      <c r="A1371" s="1115" t="n">
        <v>37630</v>
      </c>
      <c r="B1371" s="1115" t="s">
        <v>161</v>
      </c>
      <c r="C1371" s="1115" t="n">
        <v>37630</v>
      </c>
      <c r="D1371" s="1115" t="s">
        <v>1591</v>
      </c>
      <c r="E1371" s="1115" t="s">
        <v>2124</v>
      </c>
      <c r="F1371" s="1115" t="n">
        <v>25690</v>
      </c>
      <c r="G1371" s="1115" t="n">
        <v>38580</v>
      </c>
      <c r="H1371" s="1115" t="s">
        <v>2643</v>
      </c>
      <c r="I1371" s="1115" t="n">
        <v>37680</v>
      </c>
      <c r="J1371" s="1115" t="s">
        <v>1591</v>
      </c>
    </row>
    <row r="1372" customFormat="false" ht="14.1" hidden="false" customHeight="true" outlineLevel="0" collapsed="false">
      <c r="A1372" s="1115" t="n">
        <v>37650</v>
      </c>
      <c r="B1372" s="1115" t="s">
        <v>161</v>
      </c>
      <c r="C1372" s="1115" t="n">
        <v>37650</v>
      </c>
      <c r="D1372" s="1115" t="s">
        <v>1591</v>
      </c>
      <c r="E1372" s="1115" t="s">
        <v>1112</v>
      </c>
      <c r="F1372" s="1115" t="n">
        <v>64100</v>
      </c>
      <c r="G1372" s="1115" t="n">
        <v>38600</v>
      </c>
      <c r="H1372" s="1115" t="s">
        <v>1157</v>
      </c>
      <c r="I1372" s="1115" t="n">
        <v>37700</v>
      </c>
      <c r="J1372" s="1115" t="s">
        <v>1591</v>
      </c>
    </row>
    <row r="1373" customFormat="false" ht="14.1" hidden="false" customHeight="true" outlineLevel="0" collapsed="false">
      <c r="A1373" s="1115" t="n">
        <v>37680</v>
      </c>
      <c r="B1373" s="1115" t="s">
        <v>161</v>
      </c>
      <c r="C1373" s="1115" t="n">
        <v>37680</v>
      </c>
      <c r="D1373" s="1115" t="s">
        <v>1591</v>
      </c>
      <c r="E1373" s="1115" t="s">
        <v>1112</v>
      </c>
      <c r="F1373" s="1115" t="n">
        <v>64100</v>
      </c>
      <c r="G1373" s="1115" t="n">
        <v>38610</v>
      </c>
      <c r="H1373" s="1115" t="s">
        <v>2644</v>
      </c>
      <c r="I1373" s="1115" t="n">
        <v>37720</v>
      </c>
      <c r="J1373" s="1115" t="s">
        <v>1591</v>
      </c>
    </row>
    <row r="1374" customFormat="false" ht="14.1" hidden="false" customHeight="true" outlineLevel="0" collapsed="false">
      <c r="A1374" s="1115" t="n">
        <v>37700</v>
      </c>
      <c r="B1374" s="1115" t="s">
        <v>161</v>
      </c>
      <c r="C1374" s="1115" t="n">
        <v>37700</v>
      </c>
      <c r="D1374" s="1115" t="s">
        <v>2610</v>
      </c>
      <c r="E1374" s="1115" t="s">
        <v>2645</v>
      </c>
      <c r="F1374" s="1115" t="n">
        <v>65430</v>
      </c>
      <c r="G1374" s="1115" t="n">
        <v>38620</v>
      </c>
      <c r="H1374" s="1115" t="s">
        <v>2646</v>
      </c>
      <c r="I1374" s="1115" t="n">
        <v>37740</v>
      </c>
      <c r="J1374" s="1115" t="s">
        <v>1591</v>
      </c>
    </row>
    <row r="1375" customFormat="false" ht="14.1" hidden="false" customHeight="true" outlineLevel="0" collapsed="false">
      <c r="A1375" s="1115" t="n">
        <v>37720</v>
      </c>
      <c r="B1375" s="1115" t="s">
        <v>161</v>
      </c>
      <c r="C1375" s="1115" t="n">
        <v>37720</v>
      </c>
      <c r="D1375" s="1115" t="s">
        <v>2612</v>
      </c>
      <c r="E1375" s="1115" t="s">
        <v>1114</v>
      </c>
      <c r="F1375" s="1115" t="n">
        <v>68500</v>
      </c>
      <c r="G1375" s="1115" t="n">
        <v>38640</v>
      </c>
      <c r="H1375" s="1115" t="s">
        <v>2647</v>
      </c>
      <c r="I1375" s="1115" t="n">
        <v>37770</v>
      </c>
      <c r="J1375" s="1115" t="s">
        <v>1591</v>
      </c>
    </row>
    <row r="1376" customFormat="false" ht="14.1" hidden="false" customHeight="true" outlineLevel="0" collapsed="false">
      <c r="A1376" s="1115" t="n">
        <v>37740</v>
      </c>
      <c r="B1376" s="1115" t="s">
        <v>161</v>
      </c>
      <c r="C1376" s="1115" t="n">
        <v>37740</v>
      </c>
      <c r="D1376" s="1115" t="s">
        <v>1468</v>
      </c>
      <c r="E1376" s="1115" t="s">
        <v>2091</v>
      </c>
      <c r="F1376" s="1115" t="n">
        <v>25110</v>
      </c>
      <c r="G1376" s="1115" t="n">
        <v>38650</v>
      </c>
      <c r="H1376" s="1115" t="s">
        <v>2648</v>
      </c>
      <c r="I1376" s="1115" t="n">
        <v>37800</v>
      </c>
      <c r="J1376" s="1115" t="s">
        <v>697</v>
      </c>
    </row>
    <row r="1377" customFormat="false" ht="14.1" hidden="false" customHeight="true" outlineLevel="0" collapsed="false">
      <c r="A1377" s="1115" t="n">
        <v>37770</v>
      </c>
      <c r="B1377" s="1115" t="s">
        <v>161</v>
      </c>
      <c r="C1377" s="1115" t="n">
        <v>37770</v>
      </c>
      <c r="D1377" s="1115" t="s">
        <v>2615</v>
      </c>
      <c r="E1377" s="1115" t="s">
        <v>1395</v>
      </c>
      <c r="F1377" s="1115" t="n">
        <v>7410</v>
      </c>
      <c r="G1377" s="1115" t="n">
        <v>38660</v>
      </c>
      <c r="H1377" s="1115" t="s">
        <v>1487</v>
      </c>
      <c r="I1377" s="1115" t="n">
        <v>37830</v>
      </c>
      <c r="J1377" s="1115" t="s">
        <v>697</v>
      </c>
    </row>
    <row r="1378" customFormat="false" ht="14.1" hidden="false" customHeight="true" outlineLevel="0" collapsed="false">
      <c r="A1378" s="1115" t="n">
        <v>37800</v>
      </c>
      <c r="B1378" s="1115" t="s">
        <v>161</v>
      </c>
      <c r="C1378" s="1115" t="n">
        <v>37800</v>
      </c>
      <c r="D1378" s="1115" t="s">
        <v>697</v>
      </c>
      <c r="E1378" s="1115" t="s">
        <v>2596</v>
      </c>
      <c r="F1378" s="1115" t="n">
        <v>37380</v>
      </c>
      <c r="G1378" s="1115" t="n">
        <v>38670</v>
      </c>
      <c r="H1378" s="1115" t="s">
        <v>2185</v>
      </c>
      <c r="I1378" s="1115" t="n">
        <v>37850</v>
      </c>
      <c r="J1378" s="1115" t="s">
        <v>697</v>
      </c>
    </row>
    <row r="1379" customFormat="false" ht="14.1" hidden="false" customHeight="true" outlineLevel="0" collapsed="false">
      <c r="A1379" s="1115" t="n">
        <v>37830</v>
      </c>
      <c r="B1379" s="1115" t="s">
        <v>161</v>
      </c>
      <c r="C1379" s="1115" t="n">
        <v>37830</v>
      </c>
      <c r="D1379" s="1115" t="s">
        <v>697</v>
      </c>
      <c r="E1379" s="1115" t="s">
        <v>1480</v>
      </c>
      <c r="F1379" s="1115" t="n">
        <v>7945</v>
      </c>
      <c r="G1379" s="1115" t="n">
        <v>38680</v>
      </c>
      <c r="H1379" s="1115" t="s">
        <v>2649</v>
      </c>
      <c r="I1379" s="1115" t="n">
        <v>37860</v>
      </c>
      <c r="J1379" s="1115" t="s">
        <v>697</v>
      </c>
    </row>
    <row r="1380" customFormat="false" ht="14.1" hidden="false" customHeight="true" outlineLevel="0" collapsed="false">
      <c r="A1380" s="1115" t="n">
        <v>37850</v>
      </c>
      <c r="B1380" s="1115" t="s">
        <v>161</v>
      </c>
      <c r="C1380" s="1115" t="n">
        <v>37850</v>
      </c>
      <c r="D1380" s="1115" t="s">
        <v>2617</v>
      </c>
      <c r="E1380" s="1115" t="s">
        <v>2650</v>
      </c>
      <c r="F1380" s="1115" t="n">
        <v>97750</v>
      </c>
      <c r="G1380" s="1115" t="n">
        <v>38690</v>
      </c>
      <c r="H1380" s="1115" t="s">
        <v>2651</v>
      </c>
      <c r="I1380" s="1115" t="n">
        <v>37900</v>
      </c>
      <c r="J1380" s="1115" t="s">
        <v>697</v>
      </c>
    </row>
    <row r="1381" customFormat="false" ht="14.1" hidden="false" customHeight="true" outlineLevel="0" collapsed="false">
      <c r="A1381" s="1115" t="n">
        <v>37860</v>
      </c>
      <c r="B1381" s="1115" t="s">
        <v>161</v>
      </c>
      <c r="C1381" s="1115" t="n">
        <v>37860</v>
      </c>
      <c r="D1381" s="1115" t="s">
        <v>2618</v>
      </c>
      <c r="E1381" s="1115" t="s">
        <v>1116</v>
      </c>
      <c r="F1381" s="1115" t="n">
        <v>36810</v>
      </c>
      <c r="G1381" s="1115" t="n">
        <v>38700</v>
      </c>
      <c r="H1381" s="1115" t="s">
        <v>977</v>
      </c>
      <c r="I1381" s="1115" t="n">
        <v>37910</v>
      </c>
      <c r="J1381" s="1115" t="s">
        <v>697</v>
      </c>
    </row>
    <row r="1382" customFormat="false" ht="14.1" hidden="false" customHeight="true" outlineLevel="0" collapsed="false">
      <c r="A1382" s="1115" t="n">
        <v>37900</v>
      </c>
      <c r="B1382" s="1115" t="s">
        <v>161</v>
      </c>
      <c r="C1382" s="1115" t="n">
        <v>37900</v>
      </c>
      <c r="D1382" s="1115" t="s">
        <v>697</v>
      </c>
      <c r="E1382" s="1115" t="s">
        <v>1117</v>
      </c>
      <c r="F1382" s="1115" t="n">
        <v>88900</v>
      </c>
      <c r="G1382" s="1115" t="n">
        <v>38710</v>
      </c>
      <c r="H1382" s="1115" t="s">
        <v>977</v>
      </c>
      <c r="I1382" s="1115" t="n">
        <v>37930</v>
      </c>
      <c r="J1382" s="1115" t="s">
        <v>697</v>
      </c>
    </row>
    <row r="1383" customFormat="false" ht="14.1" hidden="false" customHeight="true" outlineLevel="0" collapsed="false">
      <c r="A1383" s="1115" t="n">
        <v>37910</v>
      </c>
      <c r="B1383" s="1115" t="s">
        <v>161</v>
      </c>
      <c r="C1383" s="1115" t="n">
        <v>37910</v>
      </c>
      <c r="D1383" s="1115" t="s">
        <v>697</v>
      </c>
      <c r="E1383" s="1115" t="s">
        <v>1118</v>
      </c>
      <c r="F1383" s="1115" t="n">
        <v>17800</v>
      </c>
      <c r="G1383" s="1115" t="n">
        <v>38720</v>
      </c>
      <c r="H1383" s="1115" t="s">
        <v>2652</v>
      </c>
      <c r="I1383" s="1115" t="n">
        <v>37960</v>
      </c>
      <c r="J1383" s="1115" t="s">
        <v>697</v>
      </c>
    </row>
    <row r="1384" customFormat="false" ht="14.1" hidden="false" customHeight="true" outlineLevel="0" collapsed="false">
      <c r="A1384" s="1115" t="n">
        <v>37930</v>
      </c>
      <c r="B1384" s="1115" t="s">
        <v>161</v>
      </c>
      <c r="C1384" s="1115" t="n">
        <v>37930</v>
      </c>
      <c r="D1384" s="1115" t="s">
        <v>2619</v>
      </c>
      <c r="E1384" s="1115" t="s">
        <v>2653</v>
      </c>
      <c r="F1384" s="1115" t="n">
        <v>83980</v>
      </c>
      <c r="G1384" s="1115" t="n">
        <v>38730</v>
      </c>
      <c r="H1384" s="1115" t="s">
        <v>2654</v>
      </c>
      <c r="I1384" s="1115" t="n">
        <v>37980</v>
      </c>
      <c r="J1384" s="1115" t="s">
        <v>697</v>
      </c>
    </row>
    <row r="1385" customFormat="false" ht="14.1" hidden="false" customHeight="true" outlineLevel="0" collapsed="false">
      <c r="A1385" s="1115" t="n">
        <v>37960</v>
      </c>
      <c r="B1385" s="1115" t="s">
        <v>161</v>
      </c>
      <c r="C1385" s="1115" t="n">
        <v>37960</v>
      </c>
      <c r="D1385" s="1115" t="s">
        <v>697</v>
      </c>
      <c r="E1385" s="1115" t="s">
        <v>2655</v>
      </c>
      <c r="F1385" s="1115" t="n">
        <v>41140</v>
      </c>
      <c r="G1385" s="1115" t="n">
        <v>38740</v>
      </c>
      <c r="H1385" s="1115" t="s">
        <v>1399</v>
      </c>
      <c r="I1385" s="1115" t="n">
        <v>38100</v>
      </c>
      <c r="J1385" s="1115" t="s">
        <v>1477</v>
      </c>
    </row>
    <row r="1386" customFormat="false" ht="14.1" hidden="false" customHeight="true" outlineLevel="0" collapsed="false">
      <c r="A1386" s="1115" t="n">
        <v>37980</v>
      </c>
      <c r="B1386" s="1115" t="s">
        <v>161</v>
      </c>
      <c r="C1386" s="1115" t="n">
        <v>37980</v>
      </c>
      <c r="D1386" s="1115" t="s">
        <v>2620</v>
      </c>
      <c r="E1386" s="1115" t="s">
        <v>2656</v>
      </c>
      <c r="F1386" s="1115" t="n">
        <v>82950</v>
      </c>
      <c r="G1386" s="1115" t="n">
        <v>38750</v>
      </c>
      <c r="H1386" s="1115" t="s">
        <v>2657</v>
      </c>
      <c r="I1386" s="1115" t="n">
        <v>38110</v>
      </c>
      <c r="J1386" s="1115" t="s">
        <v>1477</v>
      </c>
    </row>
    <row r="1387" customFormat="false" ht="14.1" hidden="false" customHeight="true" outlineLevel="0" collapsed="false">
      <c r="A1387" s="1115" t="n">
        <v>38100</v>
      </c>
      <c r="B1387" s="1115" t="s">
        <v>161</v>
      </c>
      <c r="C1387" s="1115" t="n">
        <v>38100</v>
      </c>
      <c r="D1387" s="1115" t="s">
        <v>2266</v>
      </c>
      <c r="E1387" s="1115" t="s">
        <v>2658</v>
      </c>
      <c r="F1387" s="1115" t="n">
        <v>81320</v>
      </c>
      <c r="G1387" s="1115" t="n">
        <v>38760</v>
      </c>
      <c r="H1387" s="1115" t="s">
        <v>2659</v>
      </c>
      <c r="I1387" s="1115" t="n">
        <v>38120</v>
      </c>
      <c r="J1387" s="1115" t="s">
        <v>1477</v>
      </c>
    </row>
    <row r="1388" customFormat="false" ht="14.1" hidden="false" customHeight="true" outlineLevel="0" collapsed="false">
      <c r="A1388" s="1115" t="n">
        <v>38110</v>
      </c>
      <c r="B1388" s="1115" t="s">
        <v>161</v>
      </c>
      <c r="C1388" s="1115" t="n">
        <v>38110</v>
      </c>
      <c r="D1388" s="1115" t="s">
        <v>2621</v>
      </c>
      <c r="E1388" s="1115" t="s">
        <v>2660</v>
      </c>
      <c r="F1388" s="1115" t="n">
        <v>52620</v>
      </c>
      <c r="G1388" s="1115" t="n">
        <v>38770</v>
      </c>
      <c r="H1388" s="1115" t="s">
        <v>2661</v>
      </c>
      <c r="I1388" s="1115" t="n">
        <v>38130</v>
      </c>
      <c r="J1388" s="1115" t="s">
        <v>1477</v>
      </c>
    </row>
    <row r="1389" customFormat="false" ht="14.1" hidden="false" customHeight="true" outlineLevel="0" collapsed="false">
      <c r="A1389" s="1115" t="n">
        <v>38120</v>
      </c>
      <c r="B1389" s="1115" t="s">
        <v>161</v>
      </c>
      <c r="C1389" s="1115" t="n">
        <v>38120</v>
      </c>
      <c r="D1389" s="1115" t="s">
        <v>2622</v>
      </c>
      <c r="E1389" s="1115" t="s">
        <v>1872</v>
      </c>
      <c r="F1389" s="1115" t="n">
        <v>19530</v>
      </c>
      <c r="G1389" s="1115" t="n">
        <v>38800</v>
      </c>
      <c r="H1389" s="1115" t="s">
        <v>936</v>
      </c>
      <c r="I1389" s="1115" t="n">
        <v>38140</v>
      </c>
      <c r="J1389" s="1115" t="s">
        <v>1477</v>
      </c>
    </row>
    <row r="1390" customFormat="false" ht="14.1" hidden="false" customHeight="true" outlineLevel="0" collapsed="false">
      <c r="A1390" s="1115" t="n">
        <v>38130</v>
      </c>
      <c r="B1390" s="1115" t="s">
        <v>161</v>
      </c>
      <c r="C1390" s="1115" t="n">
        <v>38130</v>
      </c>
      <c r="D1390" s="1115" t="s">
        <v>1071</v>
      </c>
      <c r="E1390" s="1115" t="s">
        <v>2662</v>
      </c>
      <c r="F1390" s="1115" t="n">
        <v>45430</v>
      </c>
      <c r="G1390" s="1115" t="n">
        <v>38810</v>
      </c>
      <c r="H1390" s="1115" t="s">
        <v>2663</v>
      </c>
      <c r="I1390" s="1115" t="n">
        <v>38150</v>
      </c>
      <c r="J1390" s="1115" t="s">
        <v>1477</v>
      </c>
    </row>
    <row r="1391" customFormat="false" ht="14.1" hidden="false" customHeight="true" outlineLevel="0" collapsed="false">
      <c r="A1391" s="1115" t="n">
        <v>38140</v>
      </c>
      <c r="B1391" s="1115" t="s">
        <v>161</v>
      </c>
      <c r="C1391" s="1115" t="n">
        <v>38140</v>
      </c>
      <c r="D1391" s="1115" t="s">
        <v>2623</v>
      </c>
      <c r="E1391" s="1115" t="s">
        <v>2176</v>
      </c>
      <c r="F1391" s="1115" t="n">
        <v>27170</v>
      </c>
      <c r="G1391" s="1115" t="n">
        <v>38820</v>
      </c>
      <c r="H1391" s="1115" t="s">
        <v>2664</v>
      </c>
      <c r="I1391" s="1115" t="n">
        <v>38200</v>
      </c>
      <c r="J1391" s="1115" t="s">
        <v>1477</v>
      </c>
    </row>
    <row r="1392" customFormat="false" ht="14.1" hidden="false" customHeight="true" outlineLevel="0" collapsed="false">
      <c r="A1392" s="1115" t="n">
        <v>38150</v>
      </c>
      <c r="B1392" s="1115" t="s">
        <v>161</v>
      </c>
      <c r="C1392" s="1115" t="n">
        <v>38150</v>
      </c>
      <c r="D1392" s="1115" t="s">
        <v>1533</v>
      </c>
      <c r="E1392" s="1115" t="s">
        <v>1119</v>
      </c>
      <c r="F1392" s="1115" t="n">
        <v>95100</v>
      </c>
      <c r="G1392" s="1115" t="n">
        <v>38840</v>
      </c>
      <c r="H1392" s="1115" t="s">
        <v>2665</v>
      </c>
      <c r="I1392" s="1115" t="n">
        <v>38210</v>
      </c>
      <c r="J1392" s="1115" t="s">
        <v>1477</v>
      </c>
    </row>
    <row r="1393" customFormat="false" ht="14.1" hidden="false" customHeight="true" outlineLevel="0" collapsed="false">
      <c r="A1393" s="1115" t="n">
        <v>38200</v>
      </c>
      <c r="B1393" s="1115" t="s">
        <v>161</v>
      </c>
      <c r="C1393" s="1115" t="n">
        <v>38200</v>
      </c>
      <c r="D1393" s="1115" t="s">
        <v>1596</v>
      </c>
      <c r="E1393" s="1115" t="s">
        <v>1119</v>
      </c>
      <c r="F1393" s="1115" t="n">
        <v>95110</v>
      </c>
      <c r="G1393" s="1115" t="n">
        <v>38860</v>
      </c>
      <c r="H1393" s="1115" t="s">
        <v>2666</v>
      </c>
      <c r="I1393" s="1115" t="n">
        <v>38220</v>
      </c>
      <c r="J1393" s="1115" t="s">
        <v>1477</v>
      </c>
    </row>
    <row r="1394" customFormat="false" ht="14.1" hidden="false" customHeight="true" outlineLevel="0" collapsed="false">
      <c r="A1394" s="1115" t="n">
        <v>38210</v>
      </c>
      <c r="B1394" s="1115" t="s">
        <v>161</v>
      </c>
      <c r="C1394" s="1115" t="n">
        <v>38210</v>
      </c>
      <c r="D1394" s="1115" t="s">
        <v>1596</v>
      </c>
      <c r="E1394" s="1115" t="s">
        <v>1726</v>
      </c>
      <c r="F1394" s="1115" t="n">
        <v>16280</v>
      </c>
      <c r="G1394" s="1115" t="n">
        <v>38910</v>
      </c>
      <c r="H1394" s="1115" t="s">
        <v>832</v>
      </c>
      <c r="I1394" s="1115" t="n">
        <v>38230</v>
      </c>
      <c r="J1394" s="1115" t="s">
        <v>1477</v>
      </c>
    </row>
    <row r="1395" customFormat="false" ht="14.1" hidden="false" customHeight="true" outlineLevel="0" collapsed="false">
      <c r="A1395" s="1115" t="n">
        <v>38220</v>
      </c>
      <c r="B1395" s="1115" t="s">
        <v>161</v>
      </c>
      <c r="C1395" s="1115" t="n">
        <v>38220</v>
      </c>
      <c r="D1395" s="1115" t="s">
        <v>2624</v>
      </c>
      <c r="E1395" s="1115" t="s">
        <v>2667</v>
      </c>
      <c r="F1395" s="1115" t="n">
        <v>99240</v>
      </c>
      <c r="G1395" s="1115" t="n">
        <v>38920</v>
      </c>
      <c r="H1395" s="1115" t="s">
        <v>2668</v>
      </c>
      <c r="I1395" s="1115" t="n">
        <v>38250</v>
      </c>
      <c r="J1395" s="1115" t="s">
        <v>1477</v>
      </c>
    </row>
    <row r="1396" customFormat="false" ht="14.1" hidden="false" customHeight="true" outlineLevel="0" collapsed="false">
      <c r="A1396" s="1115" t="n">
        <v>38230</v>
      </c>
      <c r="B1396" s="1115" t="s">
        <v>161</v>
      </c>
      <c r="C1396" s="1115" t="n">
        <v>38230</v>
      </c>
      <c r="D1396" s="1115" t="s">
        <v>2625</v>
      </c>
      <c r="E1396" s="1115" t="s">
        <v>2669</v>
      </c>
      <c r="F1396" s="1115" t="n">
        <v>39750</v>
      </c>
      <c r="G1396" s="1115" t="n">
        <v>38950</v>
      </c>
      <c r="H1396" s="1115" t="s">
        <v>855</v>
      </c>
      <c r="I1396" s="1115" t="n">
        <v>38260</v>
      </c>
      <c r="J1396" s="1115" t="s">
        <v>1477</v>
      </c>
    </row>
    <row r="1397" customFormat="false" ht="14.1" hidden="false" customHeight="true" outlineLevel="0" collapsed="false">
      <c r="A1397" s="1115" t="n">
        <v>38250</v>
      </c>
      <c r="B1397" s="1115" t="s">
        <v>161</v>
      </c>
      <c r="C1397" s="1115" t="n">
        <v>38250</v>
      </c>
      <c r="D1397" s="1115" t="s">
        <v>2626</v>
      </c>
      <c r="E1397" s="1115" t="s">
        <v>2670</v>
      </c>
      <c r="F1397" s="1115" t="n">
        <v>63360</v>
      </c>
      <c r="G1397" s="1115" t="n">
        <v>38970</v>
      </c>
      <c r="H1397" s="1115" t="s">
        <v>2671</v>
      </c>
      <c r="I1397" s="1115" t="n">
        <v>38270</v>
      </c>
      <c r="J1397" s="1115" t="s">
        <v>1477</v>
      </c>
    </row>
    <row r="1398" customFormat="false" ht="14.1" hidden="false" customHeight="true" outlineLevel="0" collapsed="false">
      <c r="A1398" s="1115" t="n">
        <v>38260</v>
      </c>
      <c r="B1398" s="1115" t="s">
        <v>161</v>
      </c>
      <c r="C1398" s="1115" t="n">
        <v>38260</v>
      </c>
      <c r="D1398" s="1115" t="s">
        <v>2627</v>
      </c>
      <c r="E1398" s="1115" t="s">
        <v>2672</v>
      </c>
      <c r="F1398" s="1115" t="n">
        <v>41980</v>
      </c>
      <c r="G1398" s="1115" t="n">
        <v>38980</v>
      </c>
      <c r="H1398" s="1115" t="s">
        <v>2673</v>
      </c>
      <c r="I1398" s="1115" t="n">
        <v>38280</v>
      </c>
      <c r="J1398" s="1115" t="s">
        <v>1477</v>
      </c>
    </row>
    <row r="1399" customFormat="false" ht="14.1" hidden="false" customHeight="true" outlineLevel="0" collapsed="false">
      <c r="A1399" s="1115" t="n">
        <v>38270</v>
      </c>
      <c r="B1399" s="1115" t="s">
        <v>161</v>
      </c>
      <c r="C1399" s="1115" t="n">
        <v>38270</v>
      </c>
      <c r="D1399" s="1115" t="s">
        <v>2628</v>
      </c>
      <c r="E1399" s="1115" t="s">
        <v>2674</v>
      </c>
      <c r="F1399" s="1115" t="n">
        <v>66860</v>
      </c>
      <c r="G1399" s="1115" t="n">
        <v>39100</v>
      </c>
      <c r="H1399" s="1115" t="s">
        <v>868</v>
      </c>
      <c r="I1399" s="1115" t="n">
        <v>38280</v>
      </c>
      <c r="J1399" s="1115" t="s">
        <v>1477</v>
      </c>
    </row>
    <row r="1400" customFormat="false" ht="14.1" hidden="false" customHeight="true" outlineLevel="0" collapsed="false">
      <c r="A1400" s="1115" t="n">
        <v>38280</v>
      </c>
      <c r="B1400" s="1115" t="s">
        <v>161</v>
      </c>
      <c r="C1400" s="1115" t="n">
        <v>38280</v>
      </c>
      <c r="D1400" s="1115" t="s">
        <v>1919</v>
      </c>
      <c r="E1400" s="1115" t="s">
        <v>1686</v>
      </c>
      <c r="F1400" s="1115" t="n">
        <v>15270</v>
      </c>
      <c r="G1400" s="1115" t="n">
        <v>39110</v>
      </c>
      <c r="H1400" s="1115" t="s">
        <v>2675</v>
      </c>
      <c r="I1400" s="1115" t="n">
        <v>38290</v>
      </c>
      <c r="J1400" s="1115" t="s">
        <v>1477</v>
      </c>
    </row>
    <row r="1401" customFormat="false" ht="14.1" hidden="false" customHeight="true" outlineLevel="0" collapsed="false">
      <c r="A1401" s="1115" t="n">
        <v>38280</v>
      </c>
      <c r="B1401" s="1115" t="s">
        <v>161</v>
      </c>
      <c r="C1401" s="1115" t="n">
        <v>38280</v>
      </c>
      <c r="D1401" s="1115" t="s">
        <v>1919</v>
      </c>
      <c r="E1401" s="1115" t="s">
        <v>2676</v>
      </c>
      <c r="F1401" s="1115" t="n">
        <v>43420</v>
      </c>
      <c r="G1401" s="1115" t="n">
        <v>39120</v>
      </c>
      <c r="H1401" s="1115" t="s">
        <v>2677</v>
      </c>
      <c r="I1401" s="1115" t="n">
        <v>38300</v>
      </c>
      <c r="J1401" s="1115" t="s">
        <v>1477</v>
      </c>
    </row>
    <row r="1402" customFormat="false" ht="14.1" hidden="false" customHeight="true" outlineLevel="0" collapsed="false">
      <c r="A1402" s="1115" t="n">
        <v>38290</v>
      </c>
      <c r="B1402" s="1115" t="s">
        <v>161</v>
      </c>
      <c r="C1402" s="1115" t="n">
        <v>38290</v>
      </c>
      <c r="D1402" s="1115" t="s">
        <v>2630</v>
      </c>
      <c r="E1402" s="1115" t="s">
        <v>2409</v>
      </c>
      <c r="F1402" s="1115" t="n">
        <v>32650</v>
      </c>
      <c r="G1402" s="1115" t="n">
        <v>39130</v>
      </c>
      <c r="H1402" s="1115" t="s">
        <v>2678</v>
      </c>
      <c r="I1402" s="1115" t="n">
        <v>38320</v>
      </c>
      <c r="J1402" s="1115" t="s">
        <v>1477</v>
      </c>
    </row>
    <row r="1403" customFormat="false" ht="14.1" hidden="false" customHeight="true" outlineLevel="0" collapsed="false">
      <c r="A1403" s="1115" t="n">
        <v>38300</v>
      </c>
      <c r="B1403" s="1115" t="s">
        <v>161</v>
      </c>
      <c r="C1403" s="1115" t="n">
        <v>38300</v>
      </c>
      <c r="D1403" s="1115" t="s">
        <v>2410</v>
      </c>
      <c r="E1403" s="1115" t="s">
        <v>2679</v>
      </c>
      <c r="F1403" s="1115" t="n">
        <v>63880</v>
      </c>
      <c r="G1403" s="1115" t="n">
        <v>39150</v>
      </c>
      <c r="H1403" s="1115" t="s">
        <v>2680</v>
      </c>
      <c r="I1403" s="1115" t="n">
        <v>38340</v>
      </c>
      <c r="J1403" s="1115" t="s">
        <v>1477</v>
      </c>
    </row>
    <row r="1404" customFormat="false" ht="14.1" hidden="false" customHeight="true" outlineLevel="0" collapsed="false">
      <c r="A1404" s="1115" t="n">
        <v>38320</v>
      </c>
      <c r="B1404" s="1115" t="s">
        <v>161</v>
      </c>
      <c r="C1404" s="1115" t="n">
        <v>38320</v>
      </c>
      <c r="D1404" s="1115" t="s">
        <v>2412</v>
      </c>
      <c r="E1404" s="1115" t="s">
        <v>2679</v>
      </c>
      <c r="F1404" s="1115" t="n">
        <v>63880</v>
      </c>
      <c r="G1404" s="1115" t="n">
        <v>39160</v>
      </c>
      <c r="H1404" s="1115" t="s">
        <v>2037</v>
      </c>
      <c r="I1404" s="1115" t="n">
        <v>38350</v>
      </c>
      <c r="J1404" s="1115" t="s">
        <v>1477</v>
      </c>
    </row>
    <row r="1405" customFormat="false" ht="14.1" hidden="false" customHeight="true" outlineLevel="0" collapsed="false">
      <c r="A1405" s="1115" t="n">
        <v>38340</v>
      </c>
      <c r="B1405" s="1115" t="s">
        <v>161</v>
      </c>
      <c r="C1405" s="1115" t="n">
        <v>38340</v>
      </c>
      <c r="D1405" s="1115" t="s">
        <v>2632</v>
      </c>
      <c r="E1405" s="1115" t="s">
        <v>2681</v>
      </c>
      <c r="F1405" s="1115" t="n">
        <v>58430</v>
      </c>
      <c r="G1405" s="1115" t="n">
        <v>39170</v>
      </c>
      <c r="H1405" s="1115" t="s">
        <v>2039</v>
      </c>
      <c r="I1405" s="1115" t="n">
        <v>38360</v>
      </c>
      <c r="J1405" s="1115" t="s">
        <v>1477</v>
      </c>
    </row>
    <row r="1406" customFormat="false" ht="14.1" hidden="false" customHeight="true" outlineLevel="0" collapsed="false">
      <c r="A1406" s="1115" t="n">
        <v>38350</v>
      </c>
      <c r="B1406" s="1115" t="s">
        <v>161</v>
      </c>
      <c r="C1406" s="1115" t="n">
        <v>38350</v>
      </c>
      <c r="D1406" s="1115" t="s">
        <v>1982</v>
      </c>
      <c r="E1406" s="1115" t="s">
        <v>2682</v>
      </c>
      <c r="F1406" s="1115" t="n">
        <v>80910</v>
      </c>
      <c r="G1406" s="1115" t="n">
        <v>39180</v>
      </c>
      <c r="H1406" s="1115" t="s">
        <v>1677</v>
      </c>
      <c r="I1406" s="1115" t="n">
        <v>38370</v>
      </c>
      <c r="J1406" s="1115" t="s">
        <v>1477</v>
      </c>
    </row>
    <row r="1407" customFormat="false" ht="14.1" hidden="false" customHeight="true" outlineLevel="0" collapsed="false">
      <c r="A1407" s="1115" t="n">
        <v>38360</v>
      </c>
      <c r="B1407" s="1115" t="s">
        <v>161</v>
      </c>
      <c r="C1407" s="1115" t="n">
        <v>38360</v>
      </c>
      <c r="D1407" s="1115" t="s">
        <v>1477</v>
      </c>
      <c r="E1407" s="1115" t="s">
        <v>2262</v>
      </c>
      <c r="F1407" s="1115" t="n">
        <v>29430</v>
      </c>
      <c r="G1407" s="1115" t="n">
        <v>39190</v>
      </c>
      <c r="H1407" s="1115" t="s">
        <v>2683</v>
      </c>
      <c r="I1407" s="1115" t="n">
        <v>38390</v>
      </c>
      <c r="J1407" s="1115" t="s">
        <v>1477</v>
      </c>
    </row>
    <row r="1408" customFormat="false" ht="14.1" hidden="false" customHeight="true" outlineLevel="0" collapsed="false">
      <c r="A1408" s="1115" t="n">
        <v>38370</v>
      </c>
      <c r="B1408" s="1115" t="s">
        <v>161</v>
      </c>
      <c r="C1408" s="1115" t="n">
        <v>38370</v>
      </c>
      <c r="D1408" s="1115" t="s">
        <v>2633</v>
      </c>
      <c r="E1408" s="1115" t="s">
        <v>2177</v>
      </c>
      <c r="F1408" s="1115" t="n">
        <v>27210</v>
      </c>
      <c r="G1408" s="1115" t="n">
        <v>39195</v>
      </c>
      <c r="H1408" s="1115" t="s">
        <v>2146</v>
      </c>
      <c r="I1408" s="1115" t="n">
        <v>38420</v>
      </c>
      <c r="J1408" s="1115" t="s">
        <v>1477</v>
      </c>
    </row>
    <row r="1409" customFormat="false" ht="14.1" hidden="false" customHeight="true" outlineLevel="0" collapsed="false">
      <c r="A1409" s="1115" t="n">
        <v>38390</v>
      </c>
      <c r="B1409" s="1115" t="s">
        <v>161</v>
      </c>
      <c r="C1409" s="1115" t="n">
        <v>38390</v>
      </c>
      <c r="D1409" s="1115" t="s">
        <v>2634</v>
      </c>
      <c r="E1409" s="1115" t="s">
        <v>1354</v>
      </c>
      <c r="F1409" s="1115" t="n">
        <v>6850</v>
      </c>
      <c r="G1409" s="1115" t="n">
        <v>39200</v>
      </c>
      <c r="H1409" s="1115" t="s">
        <v>2684</v>
      </c>
      <c r="I1409" s="1115" t="n">
        <v>38430</v>
      </c>
      <c r="J1409" s="1115" t="s">
        <v>1477</v>
      </c>
    </row>
    <row r="1410" customFormat="false" ht="14.1" hidden="false" customHeight="true" outlineLevel="0" collapsed="false">
      <c r="A1410" s="1115" t="n">
        <v>38420</v>
      </c>
      <c r="B1410" s="1115" t="s">
        <v>161</v>
      </c>
      <c r="C1410" s="1115" t="n">
        <v>38420</v>
      </c>
      <c r="D1410" s="1115" t="s">
        <v>1869</v>
      </c>
      <c r="E1410" s="1115" t="s">
        <v>1352</v>
      </c>
      <c r="F1410" s="1115" t="n">
        <v>6830</v>
      </c>
      <c r="G1410" s="1115" t="n">
        <v>39220</v>
      </c>
      <c r="H1410" s="1115" t="s">
        <v>2604</v>
      </c>
      <c r="I1410" s="1115" t="n">
        <v>38460</v>
      </c>
      <c r="J1410" s="1115" t="s">
        <v>1477</v>
      </c>
    </row>
    <row r="1411" customFormat="false" ht="14.1" hidden="false" customHeight="true" outlineLevel="0" collapsed="false">
      <c r="A1411" s="1115" t="n">
        <v>38430</v>
      </c>
      <c r="B1411" s="1115" t="s">
        <v>161</v>
      </c>
      <c r="C1411" s="1115" t="n">
        <v>38430</v>
      </c>
      <c r="D1411" s="1115" t="s">
        <v>2635</v>
      </c>
      <c r="E1411" s="1115" t="s">
        <v>2646</v>
      </c>
      <c r="F1411" s="1115" t="n">
        <v>38620</v>
      </c>
      <c r="G1411" s="1115" t="n">
        <v>39230</v>
      </c>
      <c r="H1411" s="1115" t="s">
        <v>2685</v>
      </c>
      <c r="I1411" s="1115" t="n">
        <v>38470</v>
      </c>
      <c r="J1411" s="1115" t="s">
        <v>1477</v>
      </c>
    </row>
    <row r="1412" customFormat="false" ht="14.1" hidden="false" customHeight="true" outlineLevel="0" collapsed="false">
      <c r="A1412" s="1115" t="n">
        <v>38460</v>
      </c>
      <c r="B1412" s="1115" t="s">
        <v>161</v>
      </c>
      <c r="C1412" s="1115" t="n">
        <v>38460</v>
      </c>
      <c r="D1412" s="1115" t="s">
        <v>1234</v>
      </c>
      <c r="E1412" s="1115" t="s">
        <v>2686</v>
      </c>
      <c r="F1412" s="1115" t="n">
        <v>97960</v>
      </c>
      <c r="G1412" s="1115" t="n">
        <v>39290</v>
      </c>
      <c r="H1412" s="1115" t="s">
        <v>2687</v>
      </c>
      <c r="I1412" s="1115" t="n">
        <v>38490</v>
      </c>
      <c r="J1412" s="1115" t="s">
        <v>868</v>
      </c>
    </row>
    <row r="1413" customFormat="false" ht="14.1" hidden="false" customHeight="true" outlineLevel="0" collapsed="false">
      <c r="A1413" s="1115" t="n">
        <v>38470</v>
      </c>
      <c r="B1413" s="1115" t="s">
        <v>161</v>
      </c>
      <c r="C1413" s="1115" t="n">
        <v>38470</v>
      </c>
      <c r="D1413" s="1115" t="s">
        <v>1865</v>
      </c>
      <c r="E1413" s="1115" t="s">
        <v>2586</v>
      </c>
      <c r="F1413" s="1115" t="n">
        <v>37210</v>
      </c>
      <c r="G1413" s="1115" t="n">
        <v>39310</v>
      </c>
      <c r="H1413" s="1115" t="s">
        <v>1622</v>
      </c>
      <c r="I1413" s="1115" t="n">
        <v>38510</v>
      </c>
      <c r="J1413" s="1115" t="s">
        <v>1521</v>
      </c>
    </row>
    <row r="1414" customFormat="false" ht="14.1" hidden="false" customHeight="true" outlineLevel="0" collapsed="false">
      <c r="A1414" s="1115" t="n">
        <v>38490</v>
      </c>
      <c r="B1414" s="1115" t="s">
        <v>161</v>
      </c>
      <c r="C1414" s="1115" t="n">
        <v>38490</v>
      </c>
      <c r="D1414" s="1115" t="s">
        <v>1466</v>
      </c>
      <c r="E1414" s="1115" t="s">
        <v>2344</v>
      </c>
      <c r="F1414" s="1115" t="n">
        <v>31430</v>
      </c>
      <c r="G1414" s="1115" t="n">
        <v>39340</v>
      </c>
      <c r="H1414" s="1115" t="s">
        <v>2241</v>
      </c>
      <c r="I1414" s="1115" t="n">
        <v>38520</v>
      </c>
      <c r="J1414" s="1115" t="s">
        <v>868</v>
      </c>
    </row>
    <row r="1415" customFormat="false" ht="14.1" hidden="false" customHeight="true" outlineLevel="0" collapsed="false">
      <c r="A1415" s="1115" t="n">
        <v>38510</v>
      </c>
      <c r="B1415" s="1115" t="s">
        <v>161</v>
      </c>
      <c r="C1415" s="1115" t="n">
        <v>38510</v>
      </c>
      <c r="D1415" s="1115" t="s">
        <v>1521</v>
      </c>
      <c r="E1415" s="1115" t="s">
        <v>1999</v>
      </c>
      <c r="F1415" s="1115" t="n">
        <v>21820</v>
      </c>
      <c r="G1415" s="1115" t="n">
        <v>39350</v>
      </c>
      <c r="H1415" s="1115" t="s">
        <v>2688</v>
      </c>
      <c r="I1415" s="1115" t="n">
        <v>38540</v>
      </c>
      <c r="J1415" s="1115" t="s">
        <v>868</v>
      </c>
    </row>
    <row r="1416" customFormat="false" ht="14.1" hidden="false" customHeight="true" outlineLevel="0" collapsed="false">
      <c r="A1416" s="1115" t="n">
        <v>38520</v>
      </c>
      <c r="B1416" s="1115" t="s">
        <v>161</v>
      </c>
      <c r="C1416" s="1115" t="n">
        <v>38520</v>
      </c>
      <c r="D1416" s="1115" t="s">
        <v>2640</v>
      </c>
      <c r="E1416" s="1115" t="s">
        <v>2098</v>
      </c>
      <c r="F1416" s="1115" t="n">
        <v>25270</v>
      </c>
      <c r="G1416" s="1115" t="n">
        <v>39360</v>
      </c>
      <c r="H1416" s="1115" t="s">
        <v>2530</v>
      </c>
      <c r="I1416" s="1115" t="n">
        <v>38580</v>
      </c>
      <c r="J1416" s="1115" t="s">
        <v>868</v>
      </c>
    </row>
    <row r="1417" customFormat="false" ht="14.1" hidden="false" customHeight="true" outlineLevel="0" collapsed="false">
      <c r="A1417" s="1115" t="n">
        <v>38540</v>
      </c>
      <c r="B1417" s="1115" t="s">
        <v>161</v>
      </c>
      <c r="C1417" s="1115" t="n">
        <v>38540</v>
      </c>
      <c r="D1417" s="1115" t="s">
        <v>2642</v>
      </c>
      <c r="E1417" s="1115" t="s">
        <v>2689</v>
      </c>
      <c r="F1417" s="1115" t="n">
        <v>85860</v>
      </c>
      <c r="G1417" s="1115" t="n">
        <v>39380</v>
      </c>
      <c r="H1417" s="1115" t="s">
        <v>2690</v>
      </c>
      <c r="I1417" s="1115" t="n">
        <v>38600</v>
      </c>
      <c r="J1417" s="1115" t="s">
        <v>1157</v>
      </c>
    </row>
    <row r="1418" customFormat="false" ht="14.1" hidden="false" customHeight="true" outlineLevel="0" collapsed="false">
      <c r="A1418" s="1115" t="n">
        <v>38580</v>
      </c>
      <c r="B1418" s="1115" t="s">
        <v>161</v>
      </c>
      <c r="C1418" s="1115" t="n">
        <v>38580</v>
      </c>
      <c r="D1418" s="1115" t="s">
        <v>2643</v>
      </c>
      <c r="E1418" s="1115" t="s">
        <v>1120</v>
      </c>
      <c r="F1418" s="1115" t="n">
        <v>22820</v>
      </c>
      <c r="G1418" s="1115" t="n">
        <v>39410</v>
      </c>
      <c r="H1418" s="1115" t="s">
        <v>2691</v>
      </c>
      <c r="I1418" s="1115" t="n">
        <v>38610</v>
      </c>
      <c r="J1418" s="1115" t="s">
        <v>1157</v>
      </c>
    </row>
    <row r="1419" customFormat="false" ht="14.1" hidden="false" customHeight="true" outlineLevel="0" collapsed="false">
      <c r="A1419" s="1115" t="n">
        <v>38600</v>
      </c>
      <c r="B1419" s="1115" t="s">
        <v>161</v>
      </c>
      <c r="C1419" s="1115" t="n">
        <v>38600</v>
      </c>
      <c r="D1419" s="1115" t="s">
        <v>1157</v>
      </c>
      <c r="E1419" s="1115" t="s">
        <v>1120</v>
      </c>
      <c r="F1419" s="1115" t="n">
        <v>22820</v>
      </c>
      <c r="G1419" s="1115" t="n">
        <v>39420</v>
      </c>
      <c r="H1419" s="1115" t="s">
        <v>1955</v>
      </c>
      <c r="I1419" s="1115" t="n">
        <v>38620</v>
      </c>
      <c r="J1419" s="1115" t="s">
        <v>1157</v>
      </c>
    </row>
    <row r="1420" customFormat="false" ht="14.1" hidden="false" customHeight="true" outlineLevel="0" collapsed="false">
      <c r="A1420" s="1115" t="n">
        <v>38610</v>
      </c>
      <c r="B1420" s="1115" t="s">
        <v>161</v>
      </c>
      <c r="C1420" s="1115" t="n">
        <v>38610</v>
      </c>
      <c r="D1420" s="1115" t="s">
        <v>2644</v>
      </c>
      <c r="E1420" s="1115" t="s">
        <v>2692</v>
      </c>
      <c r="F1420" s="1115" t="n">
        <v>59710</v>
      </c>
      <c r="G1420" s="1115" t="n">
        <v>39430</v>
      </c>
      <c r="H1420" s="1115" t="s">
        <v>2693</v>
      </c>
      <c r="I1420" s="1115" t="n">
        <v>38640</v>
      </c>
      <c r="J1420" s="1115" t="s">
        <v>1157</v>
      </c>
    </row>
    <row r="1421" customFormat="false" ht="14.1" hidden="false" customHeight="true" outlineLevel="0" collapsed="false">
      <c r="A1421" s="1115" t="n">
        <v>38620</v>
      </c>
      <c r="B1421" s="1115" t="s">
        <v>161</v>
      </c>
      <c r="C1421" s="1115" t="n">
        <v>38620</v>
      </c>
      <c r="D1421" s="1115" t="s">
        <v>2646</v>
      </c>
      <c r="E1421" s="1115" t="s">
        <v>2694</v>
      </c>
      <c r="F1421" s="1115" t="n">
        <v>72430</v>
      </c>
      <c r="G1421" s="1115" t="n">
        <v>39450</v>
      </c>
      <c r="H1421" s="1115" t="s">
        <v>2695</v>
      </c>
      <c r="I1421" s="1115" t="n">
        <v>38650</v>
      </c>
      <c r="J1421" s="1115" t="s">
        <v>1157</v>
      </c>
    </row>
    <row r="1422" customFormat="false" ht="14.1" hidden="false" customHeight="true" outlineLevel="0" collapsed="false">
      <c r="A1422" s="1115" t="n">
        <v>38640</v>
      </c>
      <c r="B1422" s="1115" t="s">
        <v>161</v>
      </c>
      <c r="C1422" s="1115" t="n">
        <v>38640</v>
      </c>
      <c r="D1422" s="1115" t="s">
        <v>2647</v>
      </c>
      <c r="E1422" s="1115" t="s">
        <v>2696</v>
      </c>
      <c r="F1422" s="1115" t="n">
        <v>43720</v>
      </c>
      <c r="G1422" s="1115" t="n">
        <v>39460</v>
      </c>
      <c r="H1422" s="1115" t="s">
        <v>2032</v>
      </c>
      <c r="I1422" s="1115" t="n">
        <v>38660</v>
      </c>
      <c r="J1422" s="1115" t="s">
        <v>1157</v>
      </c>
    </row>
    <row r="1423" customFormat="false" ht="14.1" hidden="false" customHeight="true" outlineLevel="0" collapsed="false">
      <c r="A1423" s="1115" t="n">
        <v>38650</v>
      </c>
      <c r="B1423" s="1115" t="s">
        <v>161</v>
      </c>
      <c r="C1423" s="1115" t="n">
        <v>38650</v>
      </c>
      <c r="D1423" s="1115" t="s">
        <v>2648</v>
      </c>
      <c r="E1423" s="1115" t="s">
        <v>2697</v>
      </c>
      <c r="F1423" s="1115" t="n">
        <v>44630</v>
      </c>
      <c r="G1423" s="1115" t="n">
        <v>39500</v>
      </c>
      <c r="H1423" s="1115" t="s">
        <v>878</v>
      </c>
      <c r="I1423" s="1115" t="n">
        <v>38670</v>
      </c>
      <c r="J1423" s="1115" t="s">
        <v>1157</v>
      </c>
    </row>
    <row r="1424" customFormat="false" ht="14.1" hidden="false" customHeight="true" outlineLevel="0" collapsed="false">
      <c r="A1424" s="1115" t="n">
        <v>38660</v>
      </c>
      <c r="B1424" s="1115" t="s">
        <v>161</v>
      </c>
      <c r="C1424" s="1115" t="n">
        <v>38660</v>
      </c>
      <c r="D1424" s="1115" t="s">
        <v>1487</v>
      </c>
      <c r="E1424" s="1115" t="s">
        <v>2698</v>
      </c>
      <c r="F1424" s="1115" t="n">
        <v>58260</v>
      </c>
      <c r="G1424" s="1115" t="n">
        <v>39510</v>
      </c>
      <c r="H1424" s="1115" t="s">
        <v>878</v>
      </c>
      <c r="I1424" s="1115" t="n">
        <v>38680</v>
      </c>
      <c r="J1424" s="1115" t="s">
        <v>1157</v>
      </c>
    </row>
    <row r="1425" customFormat="false" ht="14.1" hidden="false" customHeight="true" outlineLevel="0" collapsed="false">
      <c r="A1425" s="1115" t="n">
        <v>38670</v>
      </c>
      <c r="B1425" s="1115" t="s">
        <v>161</v>
      </c>
      <c r="C1425" s="1115" t="n">
        <v>38670</v>
      </c>
      <c r="D1425" s="1115" t="s">
        <v>2185</v>
      </c>
      <c r="E1425" s="1115" t="s">
        <v>2699</v>
      </c>
      <c r="F1425" s="1115" t="n">
        <v>66580</v>
      </c>
      <c r="G1425" s="1115" t="n">
        <v>39520</v>
      </c>
      <c r="H1425" s="1115" t="s">
        <v>2700</v>
      </c>
      <c r="I1425" s="1115" t="n">
        <v>38690</v>
      </c>
      <c r="J1425" s="1115" t="s">
        <v>1157</v>
      </c>
    </row>
    <row r="1426" customFormat="false" ht="14.1" hidden="false" customHeight="true" outlineLevel="0" collapsed="false">
      <c r="A1426" s="1115" t="n">
        <v>38680</v>
      </c>
      <c r="B1426" s="1115" t="s">
        <v>161</v>
      </c>
      <c r="C1426" s="1115" t="n">
        <v>38680</v>
      </c>
      <c r="D1426" s="1115" t="s">
        <v>2649</v>
      </c>
      <c r="E1426" s="1115" t="s">
        <v>1489</v>
      </c>
      <c r="F1426" s="1115" t="n">
        <v>7980</v>
      </c>
      <c r="G1426" s="1115" t="n">
        <v>39530</v>
      </c>
      <c r="H1426" s="1115" t="s">
        <v>2424</v>
      </c>
      <c r="I1426" s="1115" t="n">
        <v>38700</v>
      </c>
      <c r="J1426" s="1115" t="s">
        <v>977</v>
      </c>
    </row>
    <row r="1427" customFormat="false" ht="14.1" hidden="false" customHeight="true" outlineLevel="0" collapsed="false">
      <c r="A1427" s="1115" t="n">
        <v>38690</v>
      </c>
      <c r="B1427" s="1115" t="s">
        <v>161</v>
      </c>
      <c r="C1427" s="1115" t="n">
        <v>38690</v>
      </c>
      <c r="D1427" s="1115" t="s">
        <v>2651</v>
      </c>
      <c r="E1427" s="1115" t="s">
        <v>2654</v>
      </c>
      <c r="F1427" s="1115" t="n">
        <v>38730</v>
      </c>
      <c r="G1427" s="1115" t="n">
        <v>39540</v>
      </c>
      <c r="H1427" s="1115" t="s">
        <v>2080</v>
      </c>
      <c r="I1427" s="1115" t="n">
        <v>38710</v>
      </c>
      <c r="J1427" s="1115" t="s">
        <v>977</v>
      </c>
    </row>
    <row r="1428" customFormat="false" ht="14.1" hidden="false" customHeight="true" outlineLevel="0" collapsed="false">
      <c r="A1428" s="1115" t="n">
        <v>38700</v>
      </c>
      <c r="B1428" s="1115" t="s">
        <v>161</v>
      </c>
      <c r="C1428" s="1115" t="n">
        <v>38700</v>
      </c>
      <c r="D1428" s="1115" t="s">
        <v>977</v>
      </c>
      <c r="E1428" s="1115" t="s">
        <v>2701</v>
      </c>
      <c r="F1428" s="1115" t="n">
        <v>80580</v>
      </c>
      <c r="G1428" s="1115" t="n">
        <v>39550</v>
      </c>
      <c r="H1428" s="1115" t="s">
        <v>2702</v>
      </c>
      <c r="I1428" s="1115" t="n">
        <v>38720</v>
      </c>
      <c r="J1428" s="1115" t="s">
        <v>977</v>
      </c>
    </row>
    <row r="1429" customFormat="false" ht="14.1" hidden="false" customHeight="true" outlineLevel="0" collapsed="false">
      <c r="A1429" s="1115" t="n">
        <v>38710</v>
      </c>
      <c r="B1429" s="1115" t="s">
        <v>161</v>
      </c>
      <c r="C1429" s="1115" t="n">
        <v>38710</v>
      </c>
      <c r="D1429" s="1115" t="s">
        <v>977</v>
      </c>
      <c r="E1429" s="1115" t="s">
        <v>1674</v>
      </c>
      <c r="F1429" s="1115" t="n">
        <v>14980</v>
      </c>
      <c r="G1429" s="1115" t="n">
        <v>39560</v>
      </c>
      <c r="H1429" s="1115" t="s">
        <v>2637</v>
      </c>
      <c r="I1429" s="1115" t="n">
        <v>38730</v>
      </c>
      <c r="J1429" s="1115" t="s">
        <v>977</v>
      </c>
    </row>
    <row r="1430" customFormat="false" ht="14.1" hidden="false" customHeight="true" outlineLevel="0" collapsed="false">
      <c r="A1430" s="1115" t="n">
        <v>38720</v>
      </c>
      <c r="B1430" s="1115" t="s">
        <v>161</v>
      </c>
      <c r="C1430" s="1115" t="n">
        <v>38720</v>
      </c>
      <c r="D1430" s="1115" t="s">
        <v>2652</v>
      </c>
      <c r="E1430" s="1115" t="s">
        <v>2703</v>
      </c>
      <c r="F1430" s="1115" t="n">
        <v>41930</v>
      </c>
      <c r="G1430" s="1115" t="n">
        <v>39580</v>
      </c>
      <c r="H1430" s="1115" t="s">
        <v>2704</v>
      </c>
      <c r="I1430" s="1115" t="n">
        <v>38740</v>
      </c>
      <c r="J1430" s="1115" t="s">
        <v>977</v>
      </c>
    </row>
    <row r="1431" customFormat="false" ht="14.1" hidden="false" customHeight="true" outlineLevel="0" collapsed="false">
      <c r="A1431" s="1115" t="n">
        <v>38730</v>
      </c>
      <c r="B1431" s="1115" t="s">
        <v>161</v>
      </c>
      <c r="C1431" s="1115" t="n">
        <v>38730</v>
      </c>
      <c r="D1431" s="1115" t="s">
        <v>2654</v>
      </c>
      <c r="E1431" s="1115" t="s">
        <v>2705</v>
      </c>
      <c r="F1431" s="1115" t="n">
        <v>75960</v>
      </c>
      <c r="G1431" s="1115" t="n">
        <v>39590</v>
      </c>
      <c r="H1431" s="1115" t="s">
        <v>2706</v>
      </c>
      <c r="I1431" s="1115" t="n">
        <v>38750</v>
      </c>
      <c r="J1431" s="1115" t="s">
        <v>977</v>
      </c>
    </row>
    <row r="1432" customFormat="false" ht="14.1" hidden="false" customHeight="true" outlineLevel="0" collapsed="false">
      <c r="A1432" s="1115" t="n">
        <v>38740</v>
      </c>
      <c r="B1432" s="1115" t="s">
        <v>161</v>
      </c>
      <c r="C1432" s="1115" t="n">
        <v>38740</v>
      </c>
      <c r="D1432" s="1115" t="s">
        <v>1399</v>
      </c>
      <c r="E1432" s="1115" t="s">
        <v>2183</v>
      </c>
      <c r="F1432" s="1115" t="n">
        <v>27260</v>
      </c>
      <c r="G1432" s="1115" t="n">
        <v>39610</v>
      </c>
      <c r="H1432" s="1115" t="s">
        <v>2636</v>
      </c>
      <c r="I1432" s="1115" t="n">
        <v>38760</v>
      </c>
      <c r="J1432" s="1115" t="s">
        <v>977</v>
      </c>
    </row>
    <row r="1433" customFormat="false" ht="14.1" hidden="false" customHeight="true" outlineLevel="0" collapsed="false">
      <c r="A1433" s="1115" t="n">
        <v>38750</v>
      </c>
      <c r="B1433" s="1115" t="s">
        <v>161</v>
      </c>
      <c r="C1433" s="1115" t="n">
        <v>38750</v>
      </c>
      <c r="D1433" s="1115" t="s">
        <v>2657</v>
      </c>
      <c r="E1433" s="1115" t="s">
        <v>2707</v>
      </c>
      <c r="F1433" s="1115" t="n">
        <v>93630</v>
      </c>
      <c r="G1433" s="1115" t="n">
        <v>39620</v>
      </c>
      <c r="H1433" s="1115" t="s">
        <v>2639</v>
      </c>
      <c r="I1433" s="1115" t="n">
        <v>38770</v>
      </c>
      <c r="J1433" s="1115" t="s">
        <v>977</v>
      </c>
    </row>
    <row r="1434" customFormat="false" ht="14.1" hidden="false" customHeight="true" outlineLevel="0" collapsed="false">
      <c r="A1434" s="1115" t="n">
        <v>38760</v>
      </c>
      <c r="B1434" s="1115" t="s">
        <v>161</v>
      </c>
      <c r="C1434" s="1115" t="n">
        <v>38760</v>
      </c>
      <c r="D1434" s="1115" t="s">
        <v>2659</v>
      </c>
      <c r="E1434" s="1115" t="s">
        <v>2708</v>
      </c>
      <c r="F1434" s="1115" t="n">
        <v>52780</v>
      </c>
      <c r="G1434" s="1115" t="n">
        <v>39660</v>
      </c>
      <c r="H1434" s="1115" t="s">
        <v>2709</v>
      </c>
      <c r="I1434" s="1115" t="n">
        <v>38800</v>
      </c>
      <c r="J1434" s="1115" t="s">
        <v>936</v>
      </c>
    </row>
    <row r="1435" customFormat="false" ht="14.1" hidden="false" customHeight="true" outlineLevel="0" collapsed="false">
      <c r="A1435" s="1115" t="n">
        <v>38770</v>
      </c>
      <c r="B1435" s="1115" t="s">
        <v>161</v>
      </c>
      <c r="C1435" s="1115" t="n">
        <v>38770</v>
      </c>
      <c r="D1435" s="1115" t="s">
        <v>2661</v>
      </c>
      <c r="E1435" s="1115" t="s">
        <v>2710</v>
      </c>
      <c r="F1435" s="1115" t="n">
        <v>85840</v>
      </c>
      <c r="G1435" s="1115" t="n">
        <v>39700</v>
      </c>
      <c r="H1435" s="1115" t="s">
        <v>1322</v>
      </c>
      <c r="I1435" s="1115" t="n">
        <v>38810</v>
      </c>
      <c r="J1435" s="1115" t="s">
        <v>936</v>
      </c>
    </row>
    <row r="1436" customFormat="false" ht="14.1" hidden="false" customHeight="true" outlineLevel="0" collapsed="false">
      <c r="A1436" s="1115" t="n">
        <v>38800</v>
      </c>
      <c r="B1436" s="1115" t="s">
        <v>161</v>
      </c>
      <c r="C1436" s="1115" t="n">
        <v>38800</v>
      </c>
      <c r="D1436" s="1115" t="s">
        <v>936</v>
      </c>
      <c r="E1436" s="1115" t="s">
        <v>2711</v>
      </c>
      <c r="F1436" s="1115" t="n">
        <v>93815</v>
      </c>
      <c r="G1436" s="1115" t="n">
        <v>39730</v>
      </c>
      <c r="H1436" s="1115" t="s">
        <v>2712</v>
      </c>
      <c r="I1436" s="1115" t="n">
        <v>38820</v>
      </c>
      <c r="J1436" s="1115" t="s">
        <v>936</v>
      </c>
    </row>
    <row r="1437" customFormat="false" ht="14.1" hidden="false" customHeight="true" outlineLevel="0" collapsed="false">
      <c r="A1437" s="1115" t="n">
        <v>38810</v>
      </c>
      <c r="B1437" s="1115" t="s">
        <v>161</v>
      </c>
      <c r="C1437" s="1115" t="n">
        <v>38810</v>
      </c>
      <c r="D1437" s="1115" t="s">
        <v>2663</v>
      </c>
      <c r="E1437" s="1115" t="s">
        <v>166</v>
      </c>
      <c r="F1437" s="1115" t="n">
        <v>70100</v>
      </c>
      <c r="G1437" s="1115" t="n">
        <v>39740</v>
      </c>
      <c r="H1437" s="1115" t="s">
        <v>2713</v>
      </c>
      <c r="I1437" s="1115" t="n">
        <v>38840</v>
      </c>
      <c r="J1437" s="1115" t="s">
        <v>936</v>
      </c>
    </row>
    <row r="1438" customFormat="false" ht="14.1" hidden="false" customHeight="true" outlineLevel="0" collapsed="false">
      <c r="A1438" s="1115" t="n">
        <v>38820</v>
      </c>
      <c r="B1438" s="1115" t="s">
        <v>161</v>
      </c>
      <c r="C1438" s="1115" t="n">
        <v>38820</v>
      </c>
      <c r="D1438" s="1115" t="s">
        <v>2664</v>
      </c>
      <c r="E1438" s="1115" t="s">
        <v>166</v>
      </c>
      <c r="F1438" s="1115" t="n">
        <v>70200</v>
      </c>
      <c r="G1438" s="1115" t="n">
        <v>39750</v>
      </c>
      <c r="H1438" s="1115" t="s">
        <v>2669</v>
      </c>
      <c r="I1438" s="1115" t="n">
        <v>38860</v>
      </c>
      <c r="J1438" s="1115" t="s">
        <v>936</v>
      </c>
    </row>
    <row r="1439" customFormat="false" ht="14.1" hidden="false" customHeight="true" outlineLevel="0" collapsed="false">
      <c r="A1439" s="1115" t="n">
        <v>38840</v>
      </c>
      <c r="B1439" s="1115" t="s">
        <v>161</v>
      </c>
      <c r="C1439" s="1115" t="n">
        <v>38840</v>
      </c>
      <c r="D1439" s="1115" t="s">
        <v>2665</v>
      </c>
      <c r="E1439" s="1115" t="s">
        <v>166</v>
      </c>
      <c r="F1439" s="1115" t="n">
        <v>70210</v>
      </c>
      <c r="G1439" s="1115" t="n">
        <v>39770</v>
      </c>
      <c r="H1439" s="1115" t="s">
        <v>950</v>
      </c>
      <c r="I1439" s="1115" t="n">
        <v>38910</v>
      </c>
      <c r="J1439" s="1115" t="s">
        <v>936</v>
      </c>
    </row>
    <row r="1440" customFormat="false" ht="14.1" hidden="false" customHeight="true" outlineLevel="0" collapsed="false">
      <c r="A1440" s="1115" t="n">
        <v>38860</v>
      </c>
      <c r="B1440" s="1115" t="s">
        <v>161</v>
      </c>
      <c r="C1440" s="1115" t="n">
        <v>38860</v>
      </c>
      <c r="D1440" s="1115" t="s">
        <v>2666</v>
      </c>
      <c r="E1440" s="1115" t="s">
        <v>166</v>
      </c>
      <c r="F1440" s="1115" t="n">
        <v>70240</v>
      </c>
      <c r="G1440" s="1115" t="n">
        <v>39780</v>
      </c>
      <c r="H1440" s="1115" t="s">
        <v>871</v>
      </c>
      <c r="I1440" s="1115" t="n">
        <v>38920</v>
      </c>
      <c r="J1440" s="1115" t="s">
        <v>855</v>
      </c>
    </row>
    <row r="1441" customFormat="false" ht="14.1" hidden="false" customHeight="true" outlineLevel="0" collapsed="false">
      <c r="A1441" s="1115" t="n">
        <v>38910</v>
      </c>
      <c r="B1441" s="1115" t="s">
        <v>161</v>
      </c>
      <c r="C1441" s="1115" t="n">
        <v>38910</v>
      </c>
      <c r="D1441" s="1115" t="s">
        <v>832</v>
      </c>
      <c r="E1441" s="1115" t="s">
        <v>166</v>
      </c>
      <c r="F1441" s="1115" t="n">
        <v>70260</v>
      </c>
      <c r="G1441" s="1115" t="n">
        <v>39810</v>
      </c>
      <c r="H1441" s="1115" t="s">
        <v>2714</v>
      </c>
      <c r="I1441" s="1115" t="n">
        <v>38950</v>
      </c>
      <c r="J1441" s="1115" t="s">
        <v>855</v>
      </c>
    </row>
    <row r="1442" customFormat="false" ht="14.1" hidden="false" customHeight="true" outlineLevel="0" collapsed="false">
      <c r="A1442" s="1115" t="n">
        <v>38920</v>
      </c>
      <c r="B1442" s="1115" t="s">
        <v>161</v>
      </c>
      <c r="C1442" s="1115" t="n">
        <v>38920</v>
      </c>
      <c r="D1442" s="1115" t="s">
        <v>2668</v>
      </c>
      <c r="E1442" s="1115" t="s">
        <v>166</v>
      </c>
      <c r="F1442" s="1115" t="n">
        <v>70280</v>
      </c>
      <c r="G1442" s="1115" t="n">
        <v>39820</v>
      </c>
      <c r="H1442" s="1115" t="s">
        <v>1058</v>
      </c>
      <c r="I1442" s="1115" t="n">
        <v>38970</v>
      </c>
      <c r="J1442" s="1115" t="s">
        <v>855</v>
      </c>
    </row>
    <row r="1443" customFormat="false" ht="14.1" hidden="false" customHeight="true" outlineLevel="0" collapsed="false">
      <c r="A1443" s="1115" t="n">
        <v>38950</v>
      </c>
      <c r="B1443" s="1115" t="s">
        <v>161</v>
      </c>
      <c r="C1443" s="1115" t="n">
        <v>38950</v>
      </c>
      <c r="D1443" s="1115" t="s">
        <v>855</v>
      </c>
      <c r="E1443" s="1115" t="s">
        <v>166</v>
      </c>
      <c r="F1443" s="1115" t="n">
        <v>70300</v>
      </c>
      <c r="G1443" s="1115" t="n">
        <v>39870</v>
      </c>
      <c r="H1443" s="1115" t="s">
        <v>2715</v>
      </c>
      <c r="I1443" s="1115" t="n">
        <v>38980</v>
      </c>
      <c r="J1443" s="1115" t="s">
        <v>855</v>
      </c>
    </row>
    <row r="1444" customFormat="false" ht="14.1" hidden="false" customHeight="true" outlineLevel="0" collapsed="false">
      <c r="A1444" s="1115" t="n">
        <v>38970</v>
      </c>
      <c r="B1444" s="1115" t="s">
        <v>161</v>
      </c>
      <c r="C1444" s="1115" t="n">
        <v>38970</v>
      </c>
      <c r="D1444" s="1115" t="s">
        <v>2671</v>
      </c>
      <c r="E1444" s="1115" t="s">
        <v>166</v>
      </c>
      <c r="F1444" s="1115" t="n">
        <v>70340</v>
      </c>
      <c r="G1444" s="1115" t="n">
        <v>39880</v>
      </c>
      <c r="H1444" s="1115" t="s">
        <v>1058</v>
      </c>
      <c r="I1444" s="1115" t="n">
        <v>39100</v>
      </c>
      <c r="J1444" s="1115" t="s">
        <v>868</v>
      </c>
    </row>
    <row r="1445" customFormat="false" ht="14.1" hidden="false" customHeight="true" outlineLevel="0" collapsed="false">
      <c r="A1445" s="1115" t="n">
        <v>38980</v>
      </c>
      <c r="B1445" s="1115" t="s">
        <v>161</v>
      </c>
      <c r="C1445" s="1115" t="n">
        <v>38980</v>
      </c>
      <c r="D1445" s="1115" t="s">
        <v>2673</v>
      </c>
      <c r="E1445" s="1115" t="s">
        <v>166</v>
      </c>
      <c r="F1445" s="1115" t="n">
        <v>70400</v>
      </c>
      <c r="G1445" s="1115" t="n">
        <v>39910</v>
      </c>
      <c r="H1445" s="1115" t="s">
        <v>2716</v>
      </c>
      <c r="I1445" s="1115" t="n">
        <v>39110</v>
      </c>
      <c r="J1445" s="1115" t="s">
        <v>868</v>
      </c>
    </row>
    <row r="1446" customFormat="false" ht="14.1" hidden="false" customHeight="true" outlineLevel="0" collapsed="false">
      <c r="A1446" s="1115" t="n">
        <v>39100</v>
      </c>
      <c r="B1446" s="1115" t="s">
        <v>161</v>
      </c>
      <c r="C1446" s="1115" t="n">
        <v>39100</v>
      </c>
      <c r="D1446" s="1115" t="s">
        <v>868</v>
      </c>
      <c r="E1446" s="1115" t="s">
        <v>166</v>
      </c>
      <c r="F1446" s="1115" t="n">
        <v>70420</v>
      </c>
      <c r="G1446" s="1115" t="n">
        <v>39920</v>
      </c>
      <c r="H1446" s="1115" t="s">
        <v>2717</v>
      </c>
      <c r="I1446" s="1115" t="n">
        <v>39120</v>
      </c>
      <c r="J1446" s="1115" t="s">
        <v>868</v>
      </c>
    </row>
    <row r="1447" customFormat="false" ht="14.1" hidden="false" customHeight="true" outlineLevel="0" collapsed="false">
      <c r="A1447" s="1115" t="n">
        <v>39110</v>
      </c>
      <c r="B1447" s="1115" t="s">
        <v>161</v>
      </c>
      <c r="C1447" s="1115" t="n">
        <v>39110</v>
      </c>
      <c r="D1447" s="1115" t="s">
        <v>2675</v>
      </c>
      <c r="E1447" s="1115" t="s">
        <v>166</v>
      </c>
      <c r="F1447" s="1115" t="n">
        <v>70460</v>
      </c>
      <c r="G1447" s="1115" t="n">
        <v>39930</v>
      </c>
      <c r="H1447" s="1115" t="s">
        <v>1009</v>
      </c>
      <c r="I1447" s="1115" t="n">
        <v>39130</v>
      </c>
      <c r="J1447" s="1115" t="s">
        <v>868</v>
      </c>
    </row>
    <row r="1448" customFormat="false" ht="14.1" hidden="false" customHeight="true" outlineLevel="0" collapsed="false">
      <c r="A1448" s="1115" t="n">
        <v>39120</v>
      </c>
      <c r="B1448" s="1115" t="s">
        <v>161</v>
      </c>
      <c r="C1448" s="1115" t="n">
        <v>39120</v>
      </c>
      <c r="D1448" s="1115" t="s">
        <v>2677</v>
      </c>
      <c r="E1448" s="1115" t="s">
        <v>166</v>
      </c>
      <c r="F1448" s="1115" t="n">
        <v>70500</v>
      </c>
      <c r="G1448" s="1115" t="n">
        <v>39940</v>
      </c>
      <c r="H1448" s="1115" t="s">
        <v>2236</v>
      </c>
      <c r="I1448" s="1115" t="n">
        <v>39150</v>
      </c>
      <c r="J1448" s="1115" t="s">
        <v>868</v>
      </c>
    </row>
    <row r="1449" customFormat="false" ht="14.1" hidden="false" customHeight="true" outlineLevel="0" collapsed="false">
      <c r="A1449" s="1115" t="n">
        <v>39130</v>
      </c>
      <c r="B1449" s="1115" t="s">
        <v>161</v>
      </c>
      <c r="C1449" s="1115" t="n">
        <v>39130</v>
      </c>
      <c r="D1449" s="1115" t="s">
        <v>2678</v>
      </c>
      <c r="E1449" s="1115" t="s">
        <v>166</v>
      </c>
      <c r="F1449" s="1115" t="n">
        <v>70600</v>
      </c>
      <c r="G1449" s="1115" t="n">
        <v>39950</v>
      </c>
      <c r="H1449" s="1115" t="s">
        <v>2718</v>
      </c>
      <c r="I1449" s="1115" t="n">
        <v>39160</v>
      </c>
      <c r="J1449" s="1115" t="s">
        <v>868</v>
      </c>
    </row>
    <row r="1450" customFormat="false" ht="14.1" hidden="false" customHeight="true" outlineLevel="0" collapsed="false">
      <c r="A1450" s="1115" t="n">
        <v>39150</v>
      </c>
      <c r="B1450" s="1115" t="s">
        <v>161</v>
      </c>
      <c r="C1450" s="1115" t="n">
        <v>39150</v>
      </c>
      <c r="D1450" s="1115" t="s">
        <v>2680</v>
      </c>
      <c r="E1450" s="1115" t="s">
        <v>166</v>
      </c>
      <c r="F1450" s="1115" t="n">
        <v>70620</v>
      </c>
      <c r="G1450" s="1115" t="n">
        <v>39960</v>
      </c>
      <c r="H1450" s="1115" t="s">
        <v>2719</v>
      </c>
      <c r="I1450" s="1115" t="n">
        <v>39170</v>
      </c>
      <c r="J1450" s="1115" t="s">
        <v>868</v>
      </c>
    </row>
    <row r="1451" customFormat="false" ht="14.1" hidden="false" customHeight="true" outlineLevel="0" collapsed="false">
      <c r="A1451" s="1115" t="n">
        <v>39160</v>
      </c>
      <c r="B1451" s="1115" t="s">
        <v>161</v>
      </c>
      <c r="C1451" s="1115" t="n">
        <v>39160</v>
      </c>
      <c r="D1451" s="1115" t="s">
        <v>2037</v>
      </c>
      <c r="E1451" s="1115" t="s">
        <v>166</v>
      </c>
      <c r="F1451" s="1115" t="n">
        <v>70700</v>
      </c>
      <c r="G1451" s="1115" t="n">
        <v>39965</v>
      </c>
      <c r="H1451" s="1115" t="s">
        <v>2285</v>
      </c>
      <c r="I1451" s="1115" t="n">
        <v>39180</v>
      </c>
      <c r="J1451" s="1115" t="s">
        <v>868</v>
      </c>
    </row>
    <row r="1452" customFormat="false" ht="14.1" hidden="false" customHeight="true" outlineLevel="0" collapsed="false">
      <c r="A1452" s="1115" t="n">
        <v>39170</v>
      </c>
      <c r="B1452" s="1115" t="s">
        <v>161</v>
      </c>
      <c r="C1452" s="1115" t="n">
        <v>39170</v>
      </c>
      <c r="D1452" s="1115" t="s">
        <v>2039</v>
      </c>
      <c r="E1452" s="1115" t="s">
        <v>166</v>
      </c>
      <c r="F1452" s="1115" t="n">
        <v>70780</v>
      </c>
      <c r="G1452" s="1115" t="n">
        <v>39980</v>
      </c>
      <c r="H1452" s="1115" t="s">
        <v>2720</v>
      </c>
      <c r="I1452" s="1115" t="n">
        <v>39190</v>
      </c>
      <c r="J1452" s="1115" t="s">
        <v>868</v>
      </c>
    </row>
    <row r="1453" customFormat="false" ht="14.1" hidden="false" customHeight="true" outlineLevel="0" collapsed="false">
      <c r="A1453" s="1115" t="n">
        <v>39180</v>
      </c>
      <c r="B1453" s="1115" t="s">
        <v>161</v>
      </c>
      <c r="C1453" s="1115" t="n">
        <v>39180</v>
      </c>
      <c r="D1453" s="1115" t="s">
        <v>1677</v>
      </c>
      <c r="E1453" s="1115" t="s">
        <v>166</v>
      </c>
      <c r="F1453" s="1115" t="n">
        <v>70800</v>
      </c>
      <c r="G1453" s="1115" t="n">
        <v>39990</v>
      </c>
      <c r="H1453" s="1115" t="s">
        <v>884</v>
      </c>
      <c r="I1453" s="1115" t="n">
        <v>39195</v>
      </c>
      <c r="J1453" s="1115" t="s">
        <v>868</v>
      </c>
    </row>
    <row r="1454" customFormat="false" ht="14.1" hidden="false" customHeight="true" outlineLevel="0" collapsed="false">
      <c r="A1454" s="1115" t="n">
        <v>39190</v>
      </c>
      <c r="B1454" s="1115" t="s">
        <v>161</v>
      </c>
      <c r="C1454" s="1115" t="n">
        <v>39190</v>
      </c>
      <c r="D1454" s="1115" t="s">
        <v>2683</v>
      </c>
      <c r="E1454" s="1115" t="s">
        <v>166</v>
      </c>
      <c r="F1454" s="1115" t="n">
        <v>70820</v>
      </c>
      <c r="G1454" s="1115" t="n">
        <v>40007</v>
      </c>
      <c r="H1454" s="1115" t="s">
        <v>164</v>
      </c>
      <c r="I1454" s="1115" t="n">
        <v>39200</v>
      </c>
      <c r="J1454" s="1115" t="s">
        <v>868</v>
      </c>
    </row>
    <row r="1455" customFormat="false" ht="14.1" hidden="false" customHeight="true" outlineLevel="0" collapsed="false">
      <c r="A1455" s="1115" t="n">
        <v>39195</v>
      </c>
      <c r="B1455" s="1115" t="s">
        <v>161</v>
      </c>
      <c r="C1455" s="1115" t="n">
        <v>39195</v>
      </c>
      <c r="D1455" s="1115" t="s">
        <v>2146</v>
      </c>
      <c r="E1455" s="1115" t="s">
        <v>166</v>
      </c>
      <c r="F1455" s="1115" t="n">
        <v>70840</v>
      </c>
      <c r="G1455" s="1115" t="n">
        <v>40100</v>
      </c>
      <c r="H1455" s="1115" t="s">
        <v>164</v>
      </c>
      <c r="I1455" s="1115" t="n">
        <v>39220</v>
      </c>
      <c r="J1455" s="1115" t="s">
        <v>868</v>
      </c>
    </row>
    <row r="1456" customFormat="false" ht="14.1" hidden="false" customHeight="true" outlineLevel="0" collapsed="false">
      <c r="A1456" s="1115" t="n">
        <v>39200</v>
      </c>
      <c r="B1456" s="1115" t="s">
        <v>161</v>
      </c>
      <c r="C1456" s="1115" t="n">
        <v>39200</v>
      </c>
      <c r="D1456" s="1115" t="s">
        <v>2684</v>
      </c>
      <c r="E1456" s="1115" t="s">
        <v>2721</v>
      </c>
      <c r="F1456" s="1115" t="n">
        <v>62340</v>
      </c>
      <c r="G1456" s="1115" t="n">
        <v>40200</v>
      </c>
      <c r="H1456" s="1115" t="s">
        <v>164</v>
      </c>
      <c r="I1456" s="1115" t="n">
        <v>39230</v>
      </c>
      <c r="J1456" s="1115" t="s">
        <v>868</v>
      </c>
    </row>
    <row r="1457" customFormat="false" ht="14.1" hidden="false" customHeight="true" outlineLevel="0" collapsed="false">
      <c r="A1457" s="1115" t="n">
        <v>39220</v>
      </c>
      <c r="B1457" s="1115" t="s">
        <v>161</v>
      </c>
      <c r="C1457" s="1115" t="n">
        <v>39220</v>
      </c>
      <c r="D1457" s="1115" t="s">
        <v>2604</v>
      </c>
      <c r="E1457" s="1115" t="s">
        <v>2722</v>
      </c>
      <c r="F1457" s="1115" t="n">
        <v>62510</v>
      </c>
      <c r="G1457" s="1115" t="n">
        <v>40220</v>
      </c>
      <c r="H1457" s="1115" t="s">
        <v>2387</v>
      </c>
      <c r="I1457" s="1115" t="n">
        <v>39290</v>
      </c>
      <c r="J1457" s="1115" t="s">
        <v>868</v>
      </c>
    </row>
    <row r="1458" customFormat="false" ht="14.1" hidden="false" customHeight="true" outlineLevel="0" collapsed="false">
      <c r="A1458" s="1115" t="n">
        <v>39230</v>
      </c>
      <c r="B1458" s="1115" t="s">
        <v>161</v>
      </c>
      <c r="C1458" s="1115" t="n">
        <v>39230</v>
      </c>
      <c r="D1458" s="1115" t="s">
        <v>2685</v>
      </c>
      <c r="E1458" s="1115" t="s">
        <v>2723</v>
      </c>
      <c r="F1458" s="1115" t="n">
        <v>81550</v>
      </c>
      <c r="G1458" s="1115" t="n">
        <v>40250</v>
      </c>
      <c r="H1458" s="1115" t="s">
        <v>164</v>
      </c>
      <c r="I1458" s="1115" t="n">
        <v>39310</v>
      </c>
      <c r="J1458" s="1115" t="s">
        <v>868</v>
      </c>
    </row>
    <row r="1459" customFormat="false" ht="14.1" hidden="false" customHeight="true" outlineLevel="0" collapsed="false">
      <c r="A1459" s="1115" t="n">
        <v>39290</v>
      </c>
      <c r="B1459" s="1115" t="s">
        <v>161</v>
      </c>
      <c r="C1459" s="1115" t="n">
        <v>39290</v>
      </c>
      <c r="D1459" s="1115" t="s">
        <v>2687</v>
      </c>
      <c r="E1459" s="1115" t="s">
        <v>2724</v>
      </c>
      <c r="F1459" s="1115" t="n">
        <v>83720</v>
      </c>
      <c r="G1459" s="1115" t="n">
        <v>40270</v>
      </c>
      <c r="H1459" s="1115" t="s">
        <v>2725</v>
      </c>
      <c r="I1459" s="1115" t="n">
        <v>39340</v>
      </c>
      <c r="J1459" s="1115" t="s">
        <v>868</v>
      </c>
    </row>
    <row r="1460" customFormat="false" ht="14.1" hidden="false" customHeight="true" outlineLevel="0" collapsed="false">
      <c r="A1460" s="1115" t="n">
        <v>39310</v>
      </c>
      <c r="B1460" s="1115" t="s">
        <v>161</v>
      </c>
      <c r="C1460" s="1115" t="n">
        <v>39310</v>
      </c>
      <c r="D1460" s="1115" t="s">
        <v>1622</v>
      </c>
      <c r="E1460" s="1115" t="s">
        <v>2534</v>
      </c>
      <c r="F1460" s="1115" t="n">
        <v>35630</v>
      </c>
      <c r="G1460" s="1115" t="n">
        <v>40300</v>
      </c>
      <c r="H1460" s="1115" t="s">
        <v>164</v>
      </c>
      <c r="I1460" s="1115" t="n">
        <v>39350</v>
      </c>
      <c r="J1460" s="1115" t="s">
        <v>868</v>
      </c>
    </row>
    <row r="1461" customFormat="false" ht="14.1" hidden="false" customHeight="true" outlineLevel="0" collapsed="false">
      <c r="A1461" s="1115" t="n">
        <v>39340</v>
      </c>
      <c r="B1461" s="1115" t="s">
        <v>161</v>
      </c>
      <c r="C1461" s="1115" t="n">
        <v>39340</v>
      </c>
      <c r="D1461" s="1115" t="s">
        <v>2241</v>
      </c>
      <c r="E1461" s="1115" t="s">
        <v>2634</v>
      </c>
      <c r="F1461" s="1115" t="n">
        <v>38390</v>
      </c>
      <c r="G1461" s="1115" t="n">
        <v>40320</v>
      </c>
      <c r="H1461" s="1115" t="s">
        <v>164</v>
      </c>
      <c r="I1461" s="1115" t="n">
        <v>39360</v>
      </c>
      <c r="J1461" s="1115" t="s">
        <v>868</v>
      </c>
    </row>
    <row r="1462" customFormat="false" ht="14.1" hidden="false" customHeight="true" outlineLevel="0" collapsed="false">
      <c r="A1462" s="1115" t="n">
        <v>39350</v>
      </c>
      <c r="B1462" s="1115" t="s">
        <v>161</v>
      </c>
      <c r="C1462" s="1115" t="n">
        <v>39350</v>
      </c>
      <c r="D1462" s="1115" t="s">
        <v>2688</v>
      </c>
      <c r="E1462" s="1115" t="s">
        <v>1122</v>
      </c>
      <c r="F1462" s="1115" t="n">
        <v>63100</v>
      </c>
      <c r="G1462" s="1115" t="n">
        <v>40340</v>
      </c>
      <c r="H1462" s="1115" t="s">
        <v>164</v>
      </c>
      <c r="I1462" s="1115" t="n">
        <v>39380</v>
      </c>
      <c r="J1462" s="1115" t="s">
        <v>868</v>
      </c>
    </row>
    <row r="1463" customFormat="false" ht="14.1" hidden="false" customHeight="true" outlineLevel="0" collapsed="false">
      <c r="A1463" s="1115" t="n">
        <v>39360</v>
      </c>
      <c r="B1463" s="1115" t="s">
        <v>161</v>
      </c>
      <c r="C1463" s="1115" t="n">
        <v>39360</v>
      </c>
      <c r="D1463" s="1115" t="s">
        <v>2530</v>
      </c>
      <c r="E1463" s="1115" t="s">
        <v>1861</v>
      </c>
      <c r="F1463" s="1115" t="n">
        <v>19410</v>
      </c>
      <c r="G1463" s="1115" t="n">
        <v>40400</v>
      </c>
      <c r="H1463" s="1115" t="s">
        <v>164</v>
      </c>
      <c r="I1463" s="1115" t="n">
        <v>39410</v>
      </c>
      <c r="J1463" s="1115" t="s">
        <v>878</v>
      </c>
    </row>
    <row r="1464" customFormat="false" ht="14.1" hidden="false" customHeight="true" outlineLevel="0" collapsed="false">
      <c r="A1464" s="1115" t="n">
        <v>39380</v>
      </c>
      <c r="B1464" s="1115" t="s">
        <v>161</v>
      </c>
      <c r="C1464" s="1115" t="n">
        <v>39380</v>
      </c>
      <c r="D1464" s="1115" t="s">
        <v>2690</v>
      </c>
      <c r="E1464" s="1115" t="s">
        <v>2726</v>
      </c>
      <c r="F1464" s="1115" t="n">
        <v>98850</v>
      </c>
      <c r="G1464" s="1115" t="n">
        <v>40420</v>
      </c>
      <c r="H1464" s="1115" t="s">
        <v>2089</v>
      </c>
      <c r="I1464" s="1115" t="n">
        <v>39420</v>
      </c>
      <c r="J1464" s="1115" t="s">
        <v>878</v>
      </c>
    </row>
    <row r="1465" customFormat="false" ht="14.1" hidden="false" customHeight="true" outlineLevel="0" collapsed="false">
      <c r="A1465" s="1115" t="n">
        <v>39410</v>
      </c>
      <c r="B1465" s="1115" t="s">
        <v>161</v>
      </c>
      <c r="C1465" s="1115" t="n">
        <v>39410</v>
      </c>
      <c r="D1465" s="1115" t="s">
        <v>2691</v>
      </c>
      <c r="E1465" s="1115" t="s">
        <v>2727</v>
      </c>
      <c r="F1465" s="1115" t="n">
        <v>51780</v>
      </c>
      <c r="G1465" s="1115" t="n">
        <v>40450</v>
      </c>
      <c r="H1465" s="1115" t="s">
        <v>164</v>
      </c>
      <c r="I1465" s="1115" t="n">
        <v>39430</v>
      </c>
      <c r="J1465" s="1115" t="s">
        <v>878</v>
      </c>
    </row>
    <row r="1466" customFormat="false" ht="14.1" hidden="false" customHeight="true" outlineLevel="0" collapsed="false">
      <c r="A1466" s="1115" t="n">
        <v>39420</v>
      </c>
      <c r="B1466" s="1115" t="s">
        <v>161</v>
      </c>
      <c r="C1466" s="1115" t="n">
        <v>39420</v>
      </c>
      <c r="D1466" s="1115" t="s">
        <v>1955</v>
      </c>
      <c r="E1466" s="1115" t="s">
        <v>2728</v>
      </c>
      <c r="F1466" s="1115" t="n">
        <v>62710</v>
      </c>
      <c r="G1466" s="1115" t="n">
        <v>40500</v>
      </c>
      <c r="H1466" s="1115" t="s">
        <v>164</v>
      </c>
      <c r="I1466" s="1115" t="n">
        <v>39450</v>
      </c>
      <c r="J1466" s="1115" t="s">
        <v>878</v>
      </c>
    </row>
    <row r="1467" customFormat="false" ht="14.1" hidden="false" customHeight="true" outlineLevel="0" collapsed="false">
      <c r="A1467" s="1115" t="n">
        <v>39430</v>
      </c>
      <c r="B1467" s="1115" t="s">
        <v>161</v>
      </c>
      <c r="C1467" s="1115" t="n">
        <v>39430</v>
      </c>
      <c r="D1467" s="1115" t="s">
        <v>2693</v>
      </c>
      <c r="E1467" s="1115" t="s">
        <v>2729</v>
      </c>
      <c r="F1467" s="1115" t="n">
        <v>79510</v>
      </c>
      <c r="G1467" s="1115" t="n">
        <v>40520</v>
      </c>
      <c r="H1467" s="1115" t="s">
        <v>164</v>
      </c>
      <c r="I1467" s="1115" t="n">
        <v>39460</v>
      </c>
      <c r="J1467" s="1115" t="s">
        <v>878</v>
      </c>
    </row>
    <row r="1468" customFormat="false" ht="14.1" hidden="false" customHeight="true" outlineLevel="0" collapsed="false">
      <c r="A1468" s="1115" t="n">
        <v>39450</v>
      </c>
      <c r="B1468" s="1115" t="s">
        <v>161</v>
      </c>
      <c r="C1468" s="1115" t="n">
        <v>39450</v>
      </c>
      <c r="D1468" s="1115" t="s">
        <v>2695</v>
      </c>
      <c r="E1468" s="1115" t="s">
        <v>2730</v>
      </c>
      <c r="F1468" s="1115" t="n">
        <v>74590</v>
      </c>
      <c r="G1468" s="1115" t="n">
        <v>40530</v>
      </c>
      <c r="H1468" s="1115" t="s">
        <v>164</v>
      </c>
      <c r="I1468" s="1115" t="n">
        <v>39500</v>
      </c>
      <c r="J1468" s="1115" t="s">
        <v>878</v>
      </c>
    </row>
    <row r="1469" customFormat="false" ht="14.1" hidden="false" customHeight="true" outlineLevel="0" collapsed="false">
      <c r="A1469" s="1115" t="n">
        <v>39460</v>
      </c>
      <c r="B1469" s="1115" t="s">
        <v>161</v>
      </c>
      <c r="C1469" s="1115" t="n">
        <v>39460</v>
      </c>
      <c r="D1469" s="1115" t="s">
        <v>2032</v>
      </c>
      <c r="E1469" s="1115" t="s">
        <v>1804</v>
      </c>
      <c r="F1469" s="1115" t="n">
        <v>17430</v>
      </c>
      <c r="G1469" s="1115" t="n">
        <v>40600</v>
      </c>
      <c r="H1469" s="1115" t="s">
        <v>164</v>
      </c>
      <c r="I1469" s="1115" t="n">
        <v>39510</v>
      </c>
      <c r="J1469" s="1115" t="s">
        <v>878</v>
      </c>
    </row>
    <row r="1470" customFormat="false" ht="14.1" hidden="false" customHeight="true" outlineLevel="0" collapsed="false">
      <c r="A1470" s="1115" t="n">
        <v>39500</v>
      </c>
      <c r="B1470" s="1115" t="s">
        <v>161</v>
      </c>
      <c r="C1470" s="1115" t="n">
        <v>39500</v>
      </c>
      <c r="D1470" s="1115" t="s">
        <v>878</v>
      </c>
      <c r="E1470" s="1115" t="s">
        <v>1124</v>
      </c>
      <c r="F1470" s="1115" t="n">
        <v>61300</v>
      </c>
      <c r="G1470" s="1115" t="n">
        <v>40620</v>
      </c>
      <c r="H1470" s="1115" t="s">
        <v>164</v>
      </c>
      <c r="I1470" s="1115" t="n">
        <v>39520</v>
      </c>
      <c r="J1470" s="1115" t="s">
        <v>878</v>
      </c>
    </row>
    <row r="1471" customFormat="false" ht="14.1" hidden="false" customHeight="true" outlineLevel="0" collapsed="false">
      <c r="A1471" s="1115" t="n">
        <v>39510</v>
      </c>
      <c r="B1471" s="1115" t="s">
        <v>161</v>
      </c>
      <c r="C1471" s="1115" t="n">
        <v>39510</v>
      </c>
      <c r="D1471" s="1115" t="s">
        <v>878</v>
      </c>
      <c r="E1471" s="1115" t="s">
        <v>2731</v>
      </c>
      <c r="F1471" s="1115" t="n">
        <v>79255</v>
      </c>
      <c r="G1471" s="1115" t="n">
        <v>40630</v>
      </c>
      <c r="H1471" s="1115" t="s">
        <v>164</v>
      </c>
      <c r="I1471" s="1115" t="n">
        <v>39530</v>
      </c>
      <c r="J1471" s="1115" t="s">
        <v>878</v>
      </c>
    </row>
    <row r="1472" customFormat="false" ht="14.1" hidden="false" customHeight="true" outlineLevel="0" collapsed="false">
      <c r="A1472" s="1115" t="n">
        <v>39520</v>
      </c>
      <c r="B1472" s="1115" t="s">
        <v>161</v>
      </c>
      <c r="C1472" s="1115" t="n">
        <v>39520</v>
      </c>
      <c r="D1472" s="1115" t="s">
        <v>2700</v>
      </c>
      <c r="E1472" s="1115" t="s">
        <v>2501</v>
      </c>
      <c r="F1472" s="1115" t="n">
        <v>34770</v>
      </c>
      <c r="G1472" s="1115" t="n">
        <v>40640</v>
      </c>
      <c r="H1472" s="1115" t="s">
        <v>164</v>
      </c>
      <c r="I1472" s="1115" t="n">
        <v>39540</v>
      </c>
      <c r="J1472" s="1115" t="s">
        <v>878</v>
      </c>
    </row>
    <row r="1473" customFormat="false" ht="14.1" hidden="false" customHeight="true" outlineLevel="0" collapsed="false">
      <c r="A1473" s="1115" t="n">
        <v>39530</v>
      </c>
      <c r="B1473" s="1115" t="s">
        <v>161</v>
      </c>
      <c r="C1473" s="1115" t="n">
        <v>39530</v>
      </c>
      <c r="D1473" s="1115" t="s">
        <v>2424</v>
      </c>
      <c r="E1473" s="1115" t="s">
        <v>2110</v>
      </c>
      <c r="F1473" s="1115" t="n">
        <v>25450</v>
      </c>
      <c r="G1473" s="1115" t="n">
        <v>40660</v>
      </c>
      <c r="H1473" s="1115" t="s">
        <v>164</v>
      </c>
      <c r="I1473" s="1115" t="n">
        <v>39550</v>
      </c>
      <c r="J1473" s="1115" t="s">
        <v>878</v>
      </c>
    </row>
    <row r="1474" customFormat="false" ht="14.1" hidden="false" customHeight="true" outlineLevel="0" collapsed="false">
      <c r="A1474" s="1115" t="n">
        <v>39540</v>
      </c>
      <c r="B1474" s="1115" t="s">
        <v>161</v>
      </c>
      <c r="C1474" s="1115" t="n">
        <v>39540</v>
      </c>
      <c r="D1474" s="1115" t="s">
        <v>2080</v>
      </c>
      <c r="E1474" s="1115" t="s">
        <v>2732</v>
      </c>
      <c r="F1474" s="1115" t="n">
        <v>71480</v>
      </c>
      <c r="G1474" s="1115" t="n">
        <v>40700</v>
      </c>
      <c r="H1474" s="1115" t="s">
        <v>164</v>
      </c>
      <c r="I1474" s="1115" t="n">
        <v>39560</v>
      </c>
      <c r="J1474" s="1115" t="s">
        <v>878</v>
      </c>
    </row>
    <row r="1475" customFormat="false" ht="14.1" hidden="false" customHeight="true" outlineLevel="0" collapsed="false">
      <c r="A1475" s="1115" t="n">
        <v>39550</v>
      </c>
      <c r="B1475" s="1115" t="s">
        <v>161</v>
      </c>
      <c r="C1475" s="1115" t="n">
        <v>39550</v>
      </c>
      <c r="D1475" s="1115" t="s">
        <v>2702</v>
      </c>
      <c r="E1475" s="1115" t="s">
        <v>2733</v>
      </c>
      <c r="F1475" s="1115" t="n">
        <v>71670</v>
      </c>
      <c r="G1475" s="1115" t="n">
        <v>40720</v>
      </c>
      <c r="H1475" s="1115" t="s">
        <v>164</v>
      </c>
      <c r="I1475" s="1115" t="n">
        <v>39580</v>
      </c>
      <c r="J1475" s="1115" t="s">
        <v>878</v>
      </c>
    </row>
    <row r="1476" customFormat="false" ht="14.1" hidden="false" customHeight="true" outlineLevel="0" collapsed="false">
      <c r="A1476" s="1115" t="n">
        <v>39560</v>
      </c>
      <c r="B1476" s="1115" t="s">
        <v>161</v>
      </c>
      <c r="C1476" s="1115" t="n">
        <v>39560</v>
      </c>
      <c r="D1476" s="1115" t="s">
        <v>2637</v>
      </c>
      <c r="E1476" s="1115" t="s">
        <v>2734</v>
      </c>
      <c r="F1476" s="1115" t="n">
        <v>98600</v>
      </c>
      <c r="G1476" s="1115" t="n">
        <v>40740</v>
      </c>
      <c r="H1476" s="1115" t="s">
        <v>164</v>
      </c>
      <c r="I1476" s="1115" t="n">
        <v>39590</v>
      </c>
      <c r="J1476" s="1115" t="s">
        <v>878</v>
      </c>
    </row>
    <row r="1477" customFormat="false" ht="14.1" hidden="false" customHeight="true" outlineLevel="0" collapsed="false">
      <c r="A1477" s="1115" t="n">
        <v>39580</v>
      </c>
      <c r="B1477" s="1115" t="s">
        <v>161</v>
      </c>
      <c r="C1477" s="1115" t="n">
        <v>39580</v>
      </c>
      <c r="D1477" s="1115" t="s">
        <v>2704</v>
      </c>
      <c r="E1477" s="1115" t="s">
        <v>2735</v>
      </c>
      <c r="F1477" s="1115" t="n">
        <v>95990</v>
      </c>
      <c r="G1477" s="1115" t="n">
        <v>40760</v>
      </c>
      <c r="H1477" s="1115" t="s">
        <v>2736</v>
      </c>
      <c r="I1477" s="1115" t="n">
        <v>39610</v>
      </c>
      <c r="J1477" s="1115" t="s">
        <v>878</v>
      </c>
    </row>
    <row r="1478" customFormat="false" ht="14.1" hidden="false" customHeight="true" outlineLevel="0" collapsed="false">
      <c r="A1478" s="1115" t="n">
        <v>39590</v>
      </c>
      <c r="B1478" s="1115" t="s">
        <v>161</v>
      </c>
      <c r="C1478" s="1115" t="n">
        <v>39590</v>
      </c>
      <c r="D1478" s="1115" t="s">
        <v>2706</v>
      </c>
      <c r="E1478" s="1115" t="s">
        <v>1126</v>
      </c>
      <c r="F1478" s="1115" t="n">
        <v>34300</v>
      </c>
      <c r="G1478" s="1115" t="n">
        <v>40800</v>
      </c>
      <c r="H1478" s="1115" t="s">
        <v>2737</v>
      </c>
      <c r="I1478" s="1115" t="n">
        <v>39620</v>
      </c>
      <c r="J1478" s="1115" t="s">
        <v>1322</v>
      </c>
    </row>
    <row r="1479" customFormat="false" ht="14.1" hidden="false" customHeight="true" outlineLevel="0" collapsed="false">
      <c r="A1479" s="1115" t="n">
        <v>39610</v>
      </c>
      <c r="B1479" s="1115" t="s">
        <v>161</v>
      </c>
      <c r="C1479" s="1115" t="n">
        <v>39610</v>
      </c>
      <c r="D1479" s="1115" t="s">
        <v>2636</v>
      </c>
      <c r="E1479" s="1115" t="s">
        <v>2738</v>
      </c>
      <c r="F1479" s="1115" t="n">
        <v>93770</v>
      </c>
      <c r="G1479" s="1115" t="n">
        <v>40820</v>
      </c>
      <c r="H1479" s="1115" t="s">
        <v>1281</v>
      </c>
      <c r="I1479" s="1115" t="n">
        <v>39660</v>
      </c>
      <c r="J1479" s="1115" t="s">
        <v>1322</v>
      </c>
    </row>
    <row r="1480" customFormat="false" ht="14.1" hidden="false" customHeight="true" outlineLevel="0" collapsed="false">
      <c r="A1480" s="1115" t="n">
        <v>39620</v>
      </c>
      <c r="B1480" s="1115" t="s">
        <v>161</v>
      </c>
      <c r="C1480" s="1115" t="n">
        <v>39620</v>
      </c>
      <c r="D1480" s="1115" t="s">
        <v>2639</v>
      </c>
      <c r="E1480" s="1115" t="s">
        <v>1128</v>
      </c>
      <c r="F1480" s="1115" t="n">
        <v>23360</v>
      </c>
      <c r="G1480" s="1115" t="n">
        <v>40900</v>
      </c>
      <c r="H1480" s="1115" t="s">
        <v>2739</v>
      </c>
      <c r="I1480" s="1115" t="n">
        <v>39700</v>
      </c>
      <c r="J1480" s="1115" t="s">
        <v>1322</v>
      </c>
    </row>
    <row r="1481" customFormat="false" ht="14.1" hidden="false" customHeight="true" outlineLevel="0" collapsed="false">
      <c r="A1481" s="1115" t="n">
        <v>39660</v>
      </c>
      <c r="B1481" s="1115" t="s">
        <v>161</v>
      </c>
      <c r="C1481" s="1115" t="n">
        <v>39660</v>
      </c>
      <c r="D1481" s="1115" t="s">
        <v>2709</v>
      </c>
      <c r="E1481" s="1115" t="s">
        <v>1763</v>
      </c>
      <c r="F1481" s="1115" t="n">
        <v>16730</v>
      </c>
      <c r="G1481" s="1115" t="n">
        <v>40930</v>
      </c>
      <c r="H1481" s="1115" t="s">
        <v>2431</v>
      </c>
      <c r="I1481" s="1115" t="n">
        <v>39730</v>
      </c>
      <c r="J1481" s="1115" t="s">
        <v>1322</v>
      </c>
    </row>
    <row r="1482" customFormat="false" ht="14.1" hidden="false" customHeight="true" outlineLevel="0" collapsed="false">
      <c r="A1482" s="1115" t="n">
        <v>39700</v>
      </c>
      <c r="B1482" s="1115" t="s">
        <v>161</v>
      </c>
      <c r="C1482" s="1115" t="n">
        <v>39700</v>
      </c>
      <c r="D1482" s="1115" t="s">
        <v>1322</v>
      </c>
      <c r="E1482" s="1115" t="s">
        <v>2622</v>
      </c>
      <c r="F1482" s="1115" t="n">
        <v>38120</v>
      </c>
      <c r="G1482" s="1115" t="n">
        <v>40950</v>
      </c>
      <c r="H1482" s="1115" t="s">
        <v>40</v>
      </c>
      <c r="I1482" s="1115" t="n">
        <v>39740</v>
      </c>
      <c r="J1482" s="1115" t="s">
        <v>1322</v>
      </c>
    </row>
    <row r="1483" customFormat="false" ht="14.1" hidden="false" customHeight="true" outlineLevel="0" collapsed="false">
      <c r="A1483" s="1115" t="n">
        <v>39730</v>
      </c>
      <c r="B1483" s="1115" t="s">
        <v>161</v>
      </c>
      <c r="C1483" s="1115" t="n">
        <v>39730</v>
      </c>
      <c r="D1483" s="1115" t="s">
        <v>2712</v>
      </c>
      <c r="E1483" s="1115" t="s">
        <v>2740</v>
      </c>
      <c r="F1483" s="1115" t="n">
        <v>51270</v>
      </c>
      <c r="G1483" s="1115" t="n">
        <v>41120</v>
      </c>
      <c r="H1483" s="1115" t="s">
        <v>2741</v>
      </c>
      <c r="I1483" s="1115" t="n">
        <v>39750</v>
      </c>
      <c r="J1483" s="1115" t="s">
        <v>1322</v>
      </c>
    </row>
    <row r="1484" customFormat="false" ht="14.1" hidden="false" customHeight="true" outlineLevel="0" collapsed="false">
      <c r="A1484" s="1115" t="n">
        <v>39740</v>
      </c>
      <c r="B1484" s="1115" t="s">
        <v>161</v>
      </c>
      <c r="C1484" s="1115" t="n">
        <v>39740</v>
      </c>
      <c r="D1484" s="1115" t="s">
        <v>2713</v>
      </c>
      <c r="E1484" s="1115" t="s">
        <v>2742</v>
      </c>
      <c r="F1484" s="1115" t="n">
        <v>99460</v>
      </c>
      <c r="G1484" s="1115" t="n">
        <v>41140</v>
      </c>
      <c r="H1484" s="1115" t="s">
        <v>2655</v>
      </c>
      <c r="I1484" s="1115" t="n">
        <v>39770</v>
      </c>
      <c r="J1484" s="1115" t="s">
        <v>1322</v>
      </c>
    </row>
    <row r="1485" customFormat="false" ht="14.1" hidden="false" customHeight="true" outlineLevel="0" collapsed="false">
      <c r="A1485" s="1115" t="n">
        <v>39750</v>
      </c>
      <c r="B1485" s="1115" t="s">
        <v>161</v>
      </c>
      <c r="C1485" s="1115" t="n">
        <v>39750</v>
      </c>
      <c r="D1485" s="1115" t="s">
        <v>2669</v>
      </c>
      <c r="E1485" s="1115" t="s">
        <v>2743</v>
      </c>
      <c r="F1485" s="1115" t="n">
        <v>54850</v>
      </c>
      <c r="G1485" s="1115" t="n">
        <v>41160</v>
      </c>
      <c r="H1485" s="1115" t="s">
        <v>2744</v>
      </c>
      <c r="I1485" s="1115" t="n">
        <v>39780</v>
      </c>
      <c r="J1485" s="1115" t="s">
        <v>1322</v>
      </c>
    </row>
    <row r="1486" customFormat="false" ht="14.1" hidden="false" customHeight="true" outlineLevel="0" collapsed="false">
      <c r="A1486" s="1115" t="n">
        <v>39770</v>
      </c>
      <c r="B1486" s="1115" t="s">
        <v>161</v>
      </c>
      <c r="C1486" s="1115" t="n">
        <v>39770</v>
      </c>
      <c r="D1486" s="1115" t="s">
        <v>950</v>
      </c>
      <c r="E1486" s="1115" t="s">
        <v>2745</v>
      </c>
      <c r="F1486" s="1115" t="n">
        <v>97780</v>
      </c>
      <c r="G1486" s="1115" t="n">
        <v>41180</v>
      </c>
      <c r="H1486" s="1115" t="s">
        <v>2746</v>
      </c>
      <c r="I1486" s="1115" t="n">
        <v>39810</v>
      </c>
      <c r="J1486" s="1115" t="s">
        <v>1058</v>
      </c>
    </row>
    <row r="1487" customFormat="false" ht="14.1" hidden="false" customHeight="true" outlineLevel="0" collapsed="false">
      <c r="A1487" s="1115" t="n">
        <v>39780</v>
      </c>
      <c r="B1487" s="1115" t="s">
        <v>161</v>
      </c>
      <c r="C1487" s="1115" t="n">
        <v>39780</v>
      </c>
      <c r="D1487" s="1115" t="s">
        <v>871</v>
      </c>
      <c r="E1487" s="1115" t="s">
        <v>2747</v>
      </c>
      <c r="F1487" s="1115" t="n">
        <v>88840</v>
      </c>
      <c r="G1487" s="1115" t="n">
        <v>41210</v>
      </c>
      <c r="H1487" s="1115" t="s">
        <v>2014</v>
      </c>
      <c r="I1487" s="1115" t="n">
        <v>39820</v>
      </c>
      <c r="J1487" s="1115" t="s">
        <v>1058</v>
      </c>
    </row>
    <row r="1488" customFormat="false" ht="14.1" hidden="false" customHeight="true" outlineLevel="0" collapsed="false">
      <c r="A1488" s="1115" t="n">
        <v>39810</v>
      </c>
      <c r="B1488" s="1115" t="s">
        <v>161</v>
      </c>
      <c r="C1488" s="1115" t="n">
        <v>39810</v>
      </c>
      <c r="D1488" s="1115" t="s">
        <v>2714</v>
      </c>
      <c r="E1488" s="1115" t="s">
        <v>1660</v>
      </c>
      <c r="F1488" s="1115" t="n">
        <v>14580</v>
      </c>
      <c r="G1488" s="1115" t="n">
        <v>41230</v>
      </c>
      <c r="H1488" s="1115" t="s">
        <v>1584</v>
      </c>
      <c r="I1488" s="1115" t="n">
        <v>39870</v>
      </c>
      <c r="J1488" s="1115" t="s">
        <v>1058</v>
      </c>
    </row>
    <row r="1489" customFormat="false" ht="14.1" hidden="false" customHeight="true" outlineLevel="0" collapsed="false">
      <c r="A1489" s="1115" t="n">
        <v>39820</v>
      </c>
      <c r="B1489" s="1115" t="s">
        <v>161</v>
      </c>
      <c r="C1489" s="1115" t="n">
        <v>39820</v>
      </c>
      <c r="D1489" s="1115" t="s">
        <v>1058</v>
      </c>
      <c r="E1489" s="1115" t="s">
        <v>2748</v>
      </c>
      <c r="F1489" s="1115" t="n">
        <v>41370</v>
      </c>
      <c r="G1489" s="1115" t="n">
        <v>41240</v>
      </c>
      <c r="H1489" s="1115" t="s">
        <v>2749</v>
      </c>
      <c r="I1489" s="1115" t="n">
        <v>39880</v>
      </c>
      <c r="J1489" s="1115" t="s">
        <v>1058</v>
      </c>
    </row>
    <row r="1490" customFormat="false" ht="14.1" hidden="false" customHeight="true" outlineLevel="0" collapsed="false">
      <c r="A1490" s="1115" t="n">
        <v>39870</v>
      </c>
      <c r="B1490" s="1115" t="s">
        <v>161</v>
      </c>
      <c r="C1490" s="1115" t="n">
        <v>39870</v>
      </c>
      <c r="D1490" s="1115" t="s">
        <v>2715</v>
      </c>
      <c r="E1490" s="1115" t="s">
        <v>1130</v>
      </c>
      <c r="F1490" s="1115" t="n">
        <v>93600</v>
      </c>
      <c r="G1490" s="1115" t="n">
        <v>41250</v>
      </c>
      <c r="H1490" s="1115" t="s">
        <v>1471</v>
      </c>
      <c r="I1490" s="1115" t="n">
        <v>39910</v>
      </c>
      <c r="J1490" s="1115" t="s">
        <v>1009</v>
      </c>
    </row>
    <row r="1491" customFormat="false" ht="14.1" hidden="false" customHeight="true" outlineLevel="0" collapsed="false">
      <c r="A1491" s="1115" t="n">
        <v>39880</v>
      </c>
      <c r="B1491" s="1115" t="s">
        <v>161</v>
      </c>
      <c r="C1491" s="1115" t="n">
        <v>39880</v>
      </c>
      <c r="D1491" s="1115" t="s">
        <v>1058</v>
      </c>
      <c r="E1491" s="1115" t="s">
        <v>1131</v>
      </c>
      <c r="F1491" s="1115" t="n">
        <v>45700</v>
      </c>
      <c r="G1491" s="1115" t="n">
        <v>41260</v>
      </c>
      <c r="H1491" s="1115" t="s">
        <v>1741</v>
      </c>
      <c r="I1491" s="1115" t="n">
        <v>39920</v>
      </c>
      <c r="J1491" s="1115" t="s">
        <v>1009</v>
      </c>
    </row>
    <row r="1492" customFormat="false" ht="14.1" hidden="false" customHeight="true" outlineLevel="0" collapsed="false">
      <c r="A1492" s="1115" t="n">
        <v>39910</v>
      </c>
      <c r="B1492" s="1115" t="s">
        <v>161</v>
      </c>
      <c r="C1492" s="1115" t="n">
        <v>39910</v>
      </c>
      <c r="D1492" s="1115" t="s">
        <v>2716</v>
      </c>
      <c r="E1492" s="1115" t="s">
        <v>1131</v>
      </c>
      <c r="F1492" s="1115" t="n">
        <v>45720</v>
      </c>
      <c r="G1492" s="1115" t="n">
        <v>41270</v>
      </c>
      <c r="H1492" s="1115" t="s">
        <v>2750</v>
      </c>
      <c r="I1492" s="1115" t="n">
        <v>39930</v>
      </c>
      <c r="J1492" s="1115" t="s">
        <v>1009</v>
      </c>
    </row>
    <row r="1493" customFormat="false" ht="14.1" hidden="false" customHeight="true" outlineLevel="0" collapsed="false">
      <c r="A1493" s="1115" t="n">
        <v>39920</v>
      </c>
      <c r="B1493" s="1115" t="s">
        <v>161</v>
      </c>
      <c r="C1493" s="1115" t="n">
        <v>39920</v>
      </c>
      <c r="D1493" s="1115" t="s">
        <v>2717</v>
      </c>
      <c r="E1493" s="1115" t="s">
        <v>1131</v>
      </c>
      <c r="F1493" s="1115" t="n">
        <v>45730</v>
      </c>
      <c r="G1493" s="1115" t="n">
        <v>41290</v>
      </c>
      <c r="H1493" s="1115" t="s">
        <v>2213</v>
      </c>
      <c r="I1493" s="1115" t="n">
        <v>39940</v>
      </c>
      <c r="J1493" s="1115" t="s">
        <v>1009</v>
      </c>
    </row>
    <row r="1494" customFormat="false" ht="14.1" hidden="false" customHeight="true" outlineLevel="0" collapsed="false">
      <c r="A1494" s="1115" t="n">
        <v>39930</v>
      </c>
      <c r="B1494" s="1115" t="s">
        <v>161</v>
      </c>
      <c r="C1494" s="1115" t="n">
        <v>39930</v>
      </c>
      <c r="D1494" s="1115" t="s">
        <v>1009</v>
      </c>
      <c r="E1494" s="1115" t="s">
        <v>1131</v>
      </c>
      <c r="F1494" s="1115" t="n">
        <v>45740</v>
      </c>
      <c r="G1494" s="1115" t="n">
        <v>41310</v>
      </c>
      <c r="H1494" s="1115" t="s">
        <v>2751</v>
      </c>
      <c r="I1494" s="1115" t="n">
        <v>39950</v>
      </c>
      <c r="J1494" s="1115" t="s">
        <v>1009</v>
      </c>
    </row>
    <row r="1495" customFormat="false" ht="14.1" hidden="false" customHeight="true" outlineLevel="0" collapsed="false">
      <c r="A1495" s="1115" t="n">
        <v>39940</v>
      </c>
      <c r="B1495" s="1115" t="s">
        <v>161</v>
      </c>
      <c r="C1495" s="1115" t="n">
        <v>39940</v>
      </c>
      <c r="D1495" s="1115" t="s">
        <v>2236</v>
      </c>
      <c r="E1495" s="1115" t="s">
        <v>2752</v>
      </c>
      <c r="F1495" s="1115" t="n">
        <v>72630</v>
      </c>
      <c r="G1495" s="1115" t="n">
        <v>41315</v>
      </c>
      <c r="H1495" s="1115" t="s">
        <v>2753</v>
      </c>
      <c r="I1495" s="1115" t="n">
        <v>39960</v>
      </c>
      <c r="J1495" s="1115" t="s">
        <v>1009</v>
      </c>
    </row>
    <row r="1496" customFormat="false" ht="14.1" hidden="false" customHeight="true" outlineLevel="0" collapsed="false">
      <c r="A1496" s="1115" t="n">
        <v>39950</v>
      </c>
      <c r="B1496" s="1115" t="s">
        <v>161</v>
      </c>
      <c r="C1496" s="1115" t="n">
        <v>39950</v>
      </c>
      <c r="D1496" s="1115" t="s">
        <v>2718</v>
      </c>
      <c r="E1496" s="1115" t="s">
        <v>2754</v>
      </c>
      <c r="F1496" s="1115" t="n">
        <v>95215</v>
      </c>
      <c r="G1496" s="1115" t="n">
        <v>41320</v>
      </c>
      <c r="H1496" s="1115" t="s">
        <v>2044</v>
      </c>
      <c r="I1496" s="1115" t="n">
        <v>39965</v>
      </c>
      <c r="J1496" s="1115" t="s">
        <v>1009</v>
      </c>
    </row>
    <row r="1497" customFormat="false" ht="14.1" hidden="false" customHeight="true" outlineLevel="0" collapsed="false">
      <c r="A1497" s="1115" t="n">
        <v>39960</v>
      </c>
      <c r="B1497" s="1115" t="s">
        <v>161</v>
      </c>
      <c r="C1497" s="1115" t="n">
        <v>39960</v>
      </c>
      <c r="D1497" s="1115" t="s">
        <v>2719</v>
      </c>
      <c r="E1497" s="1115" t="s">
        <v>2755</v>
      </c>
      <c r="F1497" s="1115" t="n">
        <v>86920</v>
      </c>
      <c r="G1497" s="1115" t="n">
        <v>41325</v>
      </c>
      <c r="H1497" s="1115" t="s">
        <v>2756</v>
      </c>
      <c r="I1497" s="1115" t="n">
        <v>39980</v>
      </c>
      <c r="J1497" s="1115" t="s">
        <v>1009</v>
      </c>
    </row>
    <row r="1498" customFormat="false" ht="14.1" hidden="false" customHeight="true" outlineLevel="0" collapsed="false">
      <c r="A1498" s="1115" t="n">
        <v>39965</v>
      </c>
      <c r="B1498" s="1115" t="s">
        <v>161</v>
      </c>
      <c r="C1498" s="1115" t="n">
        <v>39965</v>
      </c>
      <c r="D1498" s="1115" t="s">
        <v>2285</v>
      </c>
      <c r="E1498" s="1115" t="s">
        <v>1978</v>
      </c>
      <c r="F1498" s="1115" t="n">
        <v>21620</v>
      </c>
      <c r="G1498" s="1115" t="n">
        <v>41330</v>
      </c>
      <c r="H1498" s="1115" t="s">
        <v>2757</v>
      </c>
      <c r="I1498" s="1115" t="n">
        <v>39990</v>
      </c>
      <c r="J1498" s="1115" t="s">
        <v>1009</v>
      </c>
    </row>
    <row r="1499" customFormat="false" ht="14.1" hidden="false" customHeight="true" outlineLevel="0" collapsed="false">
      <c r="A1499" s="1115" t="n">
        <v>39980</v>
      </c>
      <c r="B1499" s="1115" t="s">
        <v>161</v>
      </c>
      <c r="C1499" s="1115" t="n">
        <v>39980</v>
      </c>
      <c r="D1499" s="1115" t="s">
        <v>2720</v>
      </c>
      <c r="E1499" s="1115" t="s">
        <v>2758</v>
      </c>
      <c r="F1499" s="1115" t="n">
        <v>98260</v>
      </c>
      <c r="G1499" s="1115" t="n">
        <v>41340</v>
      </c>
      <c r="H1499" s="1115" t="s">
        <v>1156</v>
      </c>
      <c r="I1499" s="1115" t="n">
        <v>40007</v>
      </c>
      <c r="J1499" s="1115" t="s">
        <v>164</v>
      </c>
    </row>
    <row r="1500" customFormat="false" ht="14.1" hidden="false" customHeight="true" outlineLevel="0" collapsed="false">
      <c r="A1500" s="1115" t="n">
        <v>39990</v>
      </c>
      <c r="B1500" s="1115" t="s">
        <v>161</v>
      </c>
      <c r="C1500" s="1115" t="n">
        <v>39990</v>
      </c>
      <c r="D1500" s="1115" t="s">
        <v>884</v>
      </c>
      <c r="E1500" s="1115" t="s">
        <v>1133</v>
      </c>
      <c r="F1500" s="1115" t="n">
        <v>25330</v>
      </c>
      <c r="G1500" s="1115" t="n">
        <v>41350</v>
      </c>
      <c r="H1500" s="1115" t="s">
        <v>1156</v>
      </c>
      <c r="I1500" s="1115" t="n">
        <v>40100</v>
      </c>
      <c r="J1500" s="1115" t="s">
        <v>164</v>
      </c>
    </row>
    <row r="1501" customFormat="false" ht="14.1" hidden="false" customHeight="true" outlineLevel="0" collapsed="false">
      <c r="A1501" s="1115" t="n">
        <v>40007</v>
      </c>
      <c r="B1501" s="1115" t="s">
        <v>164</v>
      </c>
      <c r="C1501" s="1115" t="n">
        <v>40007</v>
      </c>
      <c r="D1501" s="1115" t="s">
        <v>164</v>
      </c>
      <c r="E1501" s="1115" t="s">
        <v>2759</v>
      </c>
      <c r="F1501" s="1115" t="n">
        <v>83630</v>
      </c>
      <c r="G1501" s="1115" t="n">
        <v>41360</v>
      </c>
      <c r="H1501" s="1115" t="s">
        <v>2760</v>
      </c>
      <c r="I1501" s="1115" t="n">
        <v>40200</v>
      </c>
      <c r="J1501" s="1115" t="s">
        <v>164</v>
      </c>
    </row>
    <row r="1502" customFormat="false" ht="14.1" hidden="false" customHeight="true" outlineLevel="0" collapsed="false">
      <c r="A1502" s="1115" t="n">
        <v>40100</v>
      </c>
      <c r="B1502" s="1115" t="s">
        <v>164</v>
      </c>
      <c r="C1502" s="1115" t="n">
        <v>40100</v>
      </c>
      <c r="D1502" s="1115" t="s">
        <v>164</v>
      </c>
      <c r="E1502" s="1115" t="s">
        <v>2761</v>
      </c>
      <c r="F1502" s="1115" t="n">
        <v>71840</v>
      </c>
      <c r="G1502" s="1115" t="n">
        <v>41365</v>
      </c>
      <c r="H1502" s="1115" t="s">
        <v>1925</v>
      </c>
      <c r="I1502" s="1115" t="n">
        <v>40220</v>
      </c>
      <c r="J1502" s="1115" t="s">
        <v>164</v>
      </c>
    </row>
    <row r="1503" customFormat="false" ht="14.1" hidden="false" customHeight="true" outlineLevel="0" collapsed="false">
      <c r="A1503" s="1115" t="n">
        <v>40200</v>
      </c>
      <c r="B1503" s="1115" t="s">
        <v>164</v>
      </c>
      <c r="C1503" s="1115" t="n">
        <v>40200</v>
      </c>
      <c r="D1503" s="1115" t="s">
        <v>164</v>
      </c>
      <c r="E1503" s="1115" t="s">
        <v>2683</v>
      </c>
      <c r="F1503" s="1115" t="n">
        <v>39190</v>
      </c>
      <c r="G1503" s="1115" t="n">
        <v>41370</v>
      </c>
      <c r="H1503" s="1115" t="s">
        <v>2748</v>
      </c>
      <c r="I1503" s="1115" t="n">
        <v>40250</v>
      </c>
      <c r="J1503" s="1115" t="s">
        <v>164</v>
      </c>
    </row>
    <row r="1504" customFormat="false" ht="14.1" hidden="false" customHeight="true" outlineLevel="0" collapsed="false">
      <c r="A1504" s="1115" t="n">
        <v>40220</v>
      </c>
      <c r="B1504" s="1115" t="s">
        <v>164</v>
      </c>
      <c r="C1504" s="1115" t="n">
        <v>40220</v>
      </c>
      <c r="D1504" s="1115" t="s">
        <v>2387</v>
      </c>
      <c r="E1504" s="1115" t="s">
        <v>2762</v>
      </c>
      <c r="F1504" s="1115" t="n">
        <v>82255</v>
      </c>
      <c r="G1504" s="1115" t="n">
        <v>41375</v>
      </c>
      <c r="H1504" s="1115" t="s">
        <v>2763</v>
      </c>
      <c r="I1504" s="1115" t="n">
        <v>40270</v>
      </c>
      <c r="J1504" s="1115" t="s">
        <v>164</v>
      </c>
    </row>
    <row r="1505" customFormat="false" ht="14.1" hidden="false" customHeight="true" outlineLevel="0" collapsed="false">
      <c r="A1505" s="1115" t="n">
        <v>40250</v>
      </c>
      <c r="B1505" s="1115" t="s">
        <v>164</v>
      </c>
      <c r="C1505" s="1115" t="n">
        <v>40250</v>
      </c>
      <c r="D1505" s="1115" t="s">
        <v>164</v>
      </c>
      <c r="E1505" s="1115" t="s">
        <v>2764</v>
      </c>
      <c r="F1505" s="1115" t="n">
        <v>48180</v>
      </c>
      <c r="G1505" s="1115" t="n">
        <v>41390</v>
      </c>
      <c r="H1505" s="1115" t="s">
        <v>2765</v>
      </c>
      <c r="I1505" s="1115" t="n">
        <v>40300</v>
      </c>
      <c r="J1505" s="1115" t="s">
        <v>164</v>
      </c>
    </row>
    <row r="1506" customFormat="false" ht="14.1" hidden="false" customHeight="true" outlineLevel="0" collapsed="false">
      <c r="A1506" s="1115" t="n">
        <v>40270</v>
      </c>
      <c r="B1506" s="1115" t="s">
        <v>164</v>
      </c>
      <c r="C1506" s="1115" t="n">
        <v>40270</v>
      </c>
      <c r="D1506" s="1115" t="s">
        <v>2725</v>
      </c>
      <c r="E1506" s="1115" t="s">
        <v>2766</v>
      </c>
      <c r="F1506" s="1115" t="n">
        <v>78880</v>
      </c>
      <c r="G1506" s="1115" t="n">
        <v>41395</v>
      </c>
      <c r="H1506" s="1115" t="s">
        <v>2767</v>
      </c>
      <c r="I1506" s="1115" t="n">
        <v>40320</v>
      </c>
      <c r="J1506" s="1115" t="s">
        <v>164</v>
      </c>
    </row>
    <row r="1507" customFormat="false" ht="14.1" hidden="false" customHeight="true" outlineLevel="0" collapsed="false">
      <c r="A1507" s="1115" t="n">
        <v>40300</v>
      </c>
      <c r="B1507" s="1115" t="s">
        <v>164</v>
      </c>
      <c r="C1507" s="1115" t="n">
        <v>40300</v>
      </c>
      <c r="D1507" s="1115" t="s">
        <v>164</v>
      </c>
      <c r="E1507" s="1115" t="s">
        <v>2300</v>
      </c>
      <c r="F1507" s="1115" t="n">
        <v>29940</v>
      </c>
      <c r="G1507" s="1115" t="n">
        <v>41400</v>
      </c>
      <c r="H1507" s="1115" t="s">
        <v>2768</v>
      </c>
      <c r="I1507" s="1115" t="n">
        <v>40340</v>
      </c>
      <c r="J1507" s="1115" t="s">
        <v>164</v>
      </c>
    </row>
    <row r="1508" customFormat="false" ht="14.1" hidden="false" customHeight="true" outlineLevel="0" collapsed="false">
      <c r="A1508" s="1115" t="n">
        <v>40320</v>
      </c>
      <c r="B1508" s="1115" t="s">
        <v>164</v>
      </c>
      <c r="C1508" s="1115" t="n">
        <v>40320</v>
      </c>
      <c r="D1508" s="1115" t="s">
        <v>164</v>
      </c>
      <c r="E1508" s="1115" t="s">
        <v>2769</v>
      </c>
      <c r="F1508" s="1115" t="n">
        <v>54760</v>
      </c>
      <c r="G1508" s="1115" t="n">
        <v>41410</v>
      </c>
      <c r="H1508" s="1115" t="s">
        <v>2224</v>
      </c>
      <c r="I1508" s="1115" t="n">
        <v>40400</v>
      </c>
      <c r="J1508" s="1115" t="s">
        <v>164</v>
      </c>
    </row>
    <row r="1509" customFormat="false" ht="14.1" hidden="false" customHeight="true" outlineLevel="0" collapsed="false">
      <c r="A1509" s="1115" t="n">
        <v>40340</v>
      </c>
      <c r="B1509" s="1115" t="s">
        <v>164</v>
      </c>
      <c r="C1509" s="1115" t="n">
        <v>40340</v>
      </c>
      <c r="D1509" s="1115" t="s">
        <v>164</v>
      </c>
      <c r="E1509" s="1115" t="s">
        <v>1138</v>
      </c>
      <c r="F1509" s="1115" t="n">
        <v>2540</v>
      </c>
      <c r="G1509" s="1115" t="n">
        <v>41420</v>
      </c>
      <c r="H1509" s="1115" t="s">
        <v>2770</v>
      </c>
      <c r="I1509" s="1115" t="n">
        <v>40420</v>
      </c>
      <c r="J1509" s="1115" t="s">
        <v>164</v>
      </c>
    </row>
    <row r="1510" customFormat="false" ht="14.1" hidden="false" customHeight="true" outlineLevel="0" collapsed="false">
      <c r="A1510" s="1115" t="n">
        <v>40400</v>
      </c>
      <c r="B1510" s="1115" t="s">
        <v>164</v>
      </c>
      <c r="C1510" s="1115" t="n">
        <v>40400</v>
      </c>
      <c r="D1510" s="1115" t="s">
        <v>164</v>
      </c>
      <c r="E1510" s="1115" t="s">
        <v>2771</v>
      </c>
      <c r="F1510" s="1115" t="n">
        <v>91560</v>
      </c>
      <c r="G1510" s="1115" t="n">
        <v>41430</v>
      </c>
      <c r="H1510" s="1115" t="s">
        <v>2772</v>
      </c>
      <c r="I1510" s="1115" t="n">
        <v>40450</v>
      </c>
      <c r="J1510" s="1115" t="s">
        <v>164</v>
      </c>
    </row>
    <row r="1511" customFormat="false" ht="14.1" hidden="false" customHeight="true" outlineLevel="0" collapsed="false">
      <c r="A1511" s="1115" t="n">
        <v>40420</v>
      </c>
      <c r="B1511" s="1115" t="s">
        <v>164</v>
      </c>
      <c r="C1511" s="1115" t="n">
        <v>40420</v>
      </c>
      <c r="D1511" s="1115" t="s">
        <v>2089</v>
      </c>
      <c r="E1511" s="1115" t="s">
        <v>1837</v>
      </c>
      <c r="F1511" s="1115" t="n">
        <v>17950</v>
      </c>
      <c r="G1511" s="1115" t="n">
        <v>41440</v>
      </c>
      <c r="H1511" s="1115" t="s">
        <v>2773</v>
      </c>
      <c r="I1511" s="1115" t="n">
        <v>40500</v>
      </c>
      <c r="J1511" s="1115" t="s">
        <v>164</v>
      </c>
    </row>
    <row r="1512" customFormat="false" ht="14.1" hidden="false" customHeight="true" outlineLevel="0" collapsed="false">
      <c r="A1512" s="1115" t="n">
        <v>40450</v>
      </c>
      <c r="B1512" s="1115" t="s">
        <v>164</v>
      </c>
      <c r="C1512" s="1115" t="n">
        <v>40450</v>
      </c>
      <c r="D1512" s="1115" t="s">
        <v>164</v>
      </c>
      <c r="E1512" s="1115" t="s">
        <v>2774</v>
      </c>
      <c r="F1512" s="1115" t="n">
        <v>56350</v>
      </c>
      <c r="G1512" s="1115" t="n">
        <v>41450</v>
      </c>
      <c r="H1512" s="1115" t="s">
        <v>2775</v>
      </c>
      <c r="I1512" s="1115" t="n">
        <v>40520</v>
      </c>
      <c r="J1512" s="1115" t="s">
        <v>164</v>
      </c>
    </row>
    <row r="1513" customFormat="false" ht="14.1" hidden="false" customHeight="true" outlineLevel="0" collapsed="false">
      <c r="A1513" s="1115" t="n">
        <v>40500</v>
      </c>
      <c r="B1513" s="1115" t="s">
        <v>164</v>
      </c>
      <c r="C1513" s="1115" t="n">
        <v>40500</v>
      </c>
      <c r="D1513" s="1115" t="s">
        <v>164</v>
      </c>
      <c r="E1513" s="1115" t="s">
        <v>2776</v>
      </c>
      <c r="F1513" s="1115" t="n">
        <v>81820</v>
      </c>
      <c r="G1513" s="1115" t="n">
        <v>41460</v>
      </c>
      <c r="H1513" s="1115" t="s">
        <v>1954</v>
      </c>
      <c r="I1513" s="1115" t="n">
        <v>40530</v>
      </c>
      <c r="J1513" s="1115" t="s">
        <v>164</v>
      </c>
    </row>
    <row r="1514" customFormat="false" ht="14.1" hidden="false" customHeight="true" outlineLevel="0" collapsed="false">
      <c r="A1514" s="1115" t="n">
        <v>40520</v>
      </c>
      <c r="B1514" s="1115" t="s">
        <v>164</v>
      </c>
      <c r="C1514" s="1115" t="n">
        <v>40520</v>
      </c>
      <c r="D1514" s="1115" t="s">
        <v>164</v>
      </c>
      <c r="E1514" s="1115" t="s">
        <v>2777</v>
      </c>
      <c r="F1514" s="1115" t="n">
        <v>61450</v>
      </c>
      <c r="G1514" s="1115" t="n">
        <v>41470</v>
      </c>
      <c r="H1514" s="1115" t="s">
        <v>2778</v>
      </c>
      <c r="I1514" s="1115" t="n">
        <v>40600</v>
      </c>
      <c r="J1514" s="1115" t="s">
        <v>164</v>
      </c>
    </row>
    <row r="1515" customFormat="false" ht="14.1" hidden="false" customHeight="true" outlineLevel="0" collapsed="false">
      <c r="A1515" s="1115" t="n">
        <v>40530</v>
      </c>
      <c r="B1515" s="1115" t="s">
        <v>164</v>
      </c>
      <c r="C1515" s="1115" t="n">
        <v>40530</v>
      </c>
      <c r="D1515" s="1115" t="s">
        <v>164</v>
      </c>
      <c r="E1515" s="1115" t="s">
        <v>2779</v>
      </c>
      <c r="F1515" s="1115" t="n">
        <v>47610</v>
      </c>
      <c r="G1515" s="1115" t="n">
        <v>41480</v>
      </c>
      <c r="H1515" s="1115" t="s">
        <v>2780</v>
      </c>
      <c r="I1515" s="1115" t="n">
        <v>40620</v>
      </c>
      <c r="J1515" s="1115" t="s">
        <v>164</v>
      </c>
    </row>
    <row r="1516" customFormat="false" ht="14.1" hidden="false" customHeight="true" outlineLevel="0" collapsed="false">
      <c r="A1516" s="1115" t="n">
        <v>40600</v>
      </c>
      <c r="B1516" s="1115" t="s">
        <v>164</v>
      </c>
      <c r="C1516" s="1115" t="n">
        <v>40600</v>
      </c>
      <c r="D1516" s="1115" t="s">
        <v>164</v>
      </c>
      <c r="E1516" s="1115" t="s">
        <v>2781</v>
      </c>
      <c r="F1516" s="1115" t="n">
        <v>44640</v>
      </c>
      <c r="G1516" s="1115" t="n">
        <v>41490</v>
      </c>
      <c r="H1516" s="1115" t="s">
        <v>2782</v>
      </c>
      <c r="I1516" s="1115" t="n">
        <v>40630</v>
      </c>
      <c r="J1516" s="1115" t="s">
        <v>164</v>
      </c>
    </row>
    <row r="1517" customFormat="false" ht="14.1" hidden="false" customHeight="true" outlineLevel="0" collapsed="false">
      <c r="A1517" s="1115" t="n">
        <v>40620</v>
      </c>
      <c r="B1517" s="1115" t="s">
        <v>164</v>
      </c>
      <c r="C1517" s="1115" t="n">
        <v>40620</v>
      </c>
      <c r="D1517" s="1115" t="s">
        <v>164</v>
      </c>
      <c r="E1517" s="1115" t="s">
        <v>2783</v>
      </c>
      <c r="F1517" s="1115" t="n">
        <v>93175</v>
      </c>
      <c r="G1517" s="1115" t="n">
        <v>41500</v>
      </c>
      <c r="H1517" s="1115" t="s">
        <v>824</v>
      </c>
      <c r="I1517" s="1115" t="n">
        <v>40640</v>
      </c>
      <c r="J1517" s="1115" t="s">
        <v>164</v>
      </c>
    </row>
    <row r="1518" customFormat="false" ht="14.1" hidden="false" customHeight="true" outlineLevel="0" collapsed="false">
      <c r="A1518" s="1115" t="n">
        <v>40630</v>
      </c>
      <c r="B1518" s="1115" t="s">
        <v>164</v>
      </c>
      <c r="C1518" s="1115" t="n">
        <v>40630</v>
      </c>
      <c r="D1518" s="1115" t="s">
        <v>164</v>
      </c>
      <c r="E1518" s="1115" t="s">
        <v>2784</v>
      </c>
      <c r="F1518" s="1115" t="n">
        <v>97965</v>
      </c>
      <c r="G1518" s="1115" t="n">
        <v>41510</v>
      </c>
      <c r="H1518" s="1115" t="s">
        <v>2187</v>
      </c>
      <c r="I1518" s="1115" t="n">
        <v>40660</v>
      </c>
      <c r="J1518" s="1115" t="s">
        <v>164</v>
      </c>
    </row>
    <row r="1519" customFormat="false" ht="14.1" hidden="false" customHeight="true" outlineLevel="0" collapsed="false">
      <c r="A1519" s="1115" t="n">
        <v>40640</v>
      </c>
      <c r="B1519" s="1115" t="s">
        <v>164</v>
      </c>
      <c r="C1519" s="1115" t="n">
        <v>40640</v>
      </c>
      <c r="D1519" s="1115" t="s">
        <v>164</v>
      </c>
      <c r="E1519" s="1115" t="s">
        <v>2785</v>
      </c>
      <c r="F1519" s="1115" t="n">
        <v>89520</v>
      </c>
      <c r="G1519" s="1115" t="n">
        <v>41520</v>
      </c>
      <c r="H1519" s="1115" t="s">
        <v>824</v>
      </c>
      <c r="I1519" s="1115" t="n">
        <v>40700</v>
      </c>
      <c r="J1519" s="1115" t="s">
        <v>164</v>
      </c>
    </row>
    <row r="1520" customFormat="false" ht="14.1" hidden="false" customHeight="true" outlineLevel="0" collapsed="false">
      <c r="A1520" s="1115" t="n">
        <v>40660</v>
      </c>
      <c r="B1520" s="1115" t="s">
        <v>164</v>
      </c>
      <c r="C1520" s="1115" t="n">
        <v>40660</v>
      </c>
      <c r="D1520" s="1115" t="s">
        <v>164</v>
      </c>
      <c r="E1520" s="1115" t="s">
        <v>2786</v>
      </c>
      <c r="F1520" s="1115" t="n">
        <v>58740</v>
      </c>
      <c r="G1520" s="1115" t="n">
        <v>41530</v>
      </c>
      <c r="H1520" s="1115" t="s">
        <v>2787</v>
      </c>
      <c r="I1520" s="1115" t="n">
        <v>40720</v>
      </c>
      <c r="J1520" s="1115" t="s">
        <v>164</v>
      </c>
    </row>
    <row r="1521" customFormat="false" ht="14.1" hidden="false" customHeight="true" outlineLevel="0" collapsed="false">
      <c r="A1521" s="1115" t="n">
        <v>40700</v>
      </c>
      <c r="B1521" s="1115" t="s">
        <v>164</v>
      </c>
      <c r="C1521" s="1115" t="n">
        <v>40700</v>
      </c>
      <c r="D1521" s="1115" t="s">
        <v>164</v>
      </c>
      <c r="E1521" s="1115" t="s">
        <v>1997</v>
      </c>
      <c r="F1521" s="1115" t="n">
        <v>21800</v>
      </c>
      <c r="G1521" s="1115" t="n">
        <v>41540</v>
      </c>
      <c r="H1521" s="1115" t="s">
        <v>2788</v>
      </c>
      <c r="I1521" s="1115" t="n">
        <v>40740</v>
      </c>
      <c r="J1521" s="1115" t="s">
        <v>164</v>
      </c>
    </row>
    <row r="1522" customFormat="false" ht="14.1" hidden="false" customHeight="true" outlineLevel="0" collapsed="false">
      <c r="A1522" s="1115" t="n">
        <v>40720</v>
      </c>
      <c r="B1522" s="1115" t="s">
        <v>164</v>
      </c>
      <c r="C1522" s="1115" t="n">
        <v>40720</v>
      </c>
      <c r="D1522" s="1115" t="s">
        <v>164</v>
      </c>
      <c r="E1522" s="1115" t="s">
        <v>2463</v>
      </c>
      <c r="F1522" s="1115" t="n">
        <v>34150</v>
      </c>
      <c r="G1522" s="1115" t="n">
        <v>41550</v>
      </c>
      <c r="H1522" s="1115" t="s">
        <v>1396</v>
      </c>
      <c r="I1522" s="1115" t="n">
        <v>40760</v>
      </c>
      <c r="J1522" s="1115" t="s">
        <v>164</v>
      </c>
    </row>
    <row r="1523" customFormat="false" ht="14.1" hidden="false" customHeight="true" outlineLevel="0" collapsed="false">
      <c r="A1523" s="1115" t="n">
        <v>40740</v>
      </c>
      <c r="B1523" s="1115" t="s">
        <v>164</v>
      </c>
      <c r="C1523" s="1115" t="n">
        <v>40740</v>
      </c>
      <c r="D1523" s="1115" t="s">
        <v>164</v>
      </c>
      <c r="E1523" s="1115" t="s">
        <v>2789</v>
      </c>
      <c r="F1523" s="1115" t="n">
        <v>61960</v>
      </c>
      <c r="G1523" s="1115" t="n">
        <v>41560</v>
      </c>
      <c r="H1523" s="1115" t="s">
        <v>2790</v>
      </c>
      <c r="I1523" s="1115" t="n">
        <v>40800</v>
      </c>
      <c r="J1523" s="1115" t="s">
        <v>164</v>
      </c>
    </row>
    <row r="1524" customFormat="false" ht="14.1" hidden="false" customHeight="true" outlineLevel="0" collapsed="false">
      <c r="A1524" s="1115" t="n">
        <v>40760</v>
      </c>
      <c r="B1524" s="1115" t="s">
        <v>164</v>
      </c>
      <c r="C1524" s="1115" t="n">
        <v>40760</v>
      </c>
      <c r="D1524" s="1115" t="s">
        <v>2736</v>
      </c>
      <c r="E1524" s="1115" t="s">
        <v>2791</v>
      </c>
      <c r="F1524" s="1115" t="n">
        <v>61530</v>
      </c>
      <c r="G1524" s="1115" t="n">
        <v>41575</v>
      </c>
      <c r="H1524" s="1115" t="s">
        <v>912</v>
      </c>
      <c r="I1524" s="1115" t="n">
        <v>40820</v>
      </c>
      <c r="J1524" s="1115" t="s">
        <v>164</v>
      </c>
    </row>
    <row r="1525" customFormat="false" ht="14.1" hidden="false" customHeight="true" outlineLevel="0" collapsed="false">
      <c r="A1525" s="1115" t="n">
        <v>40800</v>
      </c>
      <c r="B1525" s="1115" t="s">
        <v>164</v>
      </c>
      <c r="C1525" s="1115" t="n">
        <v>40800</v>
      </c>
      <c r="D1525" s="1115" t="s">
        <v>2737</v>
      </c>
      <c r="E1525" s="1115" t="s">
        <v>2684</v>
      </c>
      <c r="F1525" s="1115" t="n">
        <v>39200</v>
      </c>
      <c r="G1525" s="1115" t="n">
        <v>41585</v>
      </c>
      <c r="H1525" s="1115" t="s">
        <v>1385</v>
      </c>
      <c r="I1525" s="1115" t="n">
        <v>40900</v>
      </c>
      <c r="J1525" s="1115" t="s">
        <v>164</v>
      </c>
    </row>
    <row r="1526" customFormat="false" ht="14.1" hidden="false" customHeight="true" outlineLevel="0" collapsed="false">
      <c r="A1526" s="1115" t="n">
        <v>40820</v>
      </c>
      <c r="B1526" s="1115" t="s">
        <v>164</v>
      </c>
      <c r="C1526" s="1115" t="n">
        <v>40820</v>
      </c>
      <c r="D1526" s="1115" t="s">
        <v>1281</v>
      </c>
      <c r="E1526" s="1115" t="s">
        <v>2420</v>
      </c>
      <c r="F1526" s="1115" t="n">
        <v>32840</v>
      </c>
      <c r="G1526" s="1115" t="n">
        <v>41590</v>
      </c>
      <c r="H1526" s="1115" t="s">
        <v>2792</v>
      </c>
      <c r="I1526" s="1115" t="n">
        <v>40930</v>
      </c>
      <c r="J1526" s="1115" t="s">
        <v>40</v>
      </c>
    </row>
    <row r="1527" customFormat="false" ht="14.1" hidden="false" customHeight="true" outlineLevel="0" collapsed="false">
      <c r="A1527" s="1115" t="n">
        <v>40900</v>
      </c>
      <c r="B1527" s="1115" t="s">
        <v>164</v>
      </c>
      <c r="C1527" s="1115" t="n">
        <v>40900</v>
      </c>
      <c r="D1527" s="1115" t="s">
        <v>2739</v>
      </c>
      <c r="E1527" s="1115" t="s">
        <v>2793</v>
      </c>
      <c r="F1527" s="1115" t="n">
        <v>88250</v>
      </c>
      <c r="G1527" s="1115" t="n">
        <v>41630</v>
      </c>
      <c r="H1527" s="1115" t="s">
        <v>2794</v>
      </c>
      <c r="I1527" s="1115" t="n">
        <v>40950</v>
      </c>
      <c r="J1527" s="1115" t="s">
        <v>40</v>
      </c>
    </row>
    <row r="1528" customFormat="false" ht="14.1" hidden="false" customHeight="true" outlineLevel="0" collapsed="false">
      <c r="A1528" s="1115" t="n">
        <v>40930</v>
      </c>
      <c r="B1528" s="1115" t="s">
        <v>164</v>
      </c>
      <c r="C1528" s="1115" t="n">
        <v>40930</v>
      </c>
      <c r="D1528" s="1115" t="s">
        <v>2431</v>
      </c>
      <c r="E1528" s="1115" t="s">
        <v>2795</v>
      </c>
      <c r="F1528" s="1115" t="n">
        <v>86650</v>
      </c>
      <c r="G1528" s="1115" t="n">
        <v>41660</v>
      </c>
      <c r="H1528" s="1115" t="s">
        <v>1567</v>
      </c>
      <c r="I1528" s="1115" t="n">
        <v>41120</v>
      </c>
      <c r="J1528" s="1115" t="s">
        <v>40</v>
      </c>
    </row>
    <row r="1529" customFormat="false" ht="14.1" hidden="false" customHeight="true" outlineLevel="0" collapsed="false">
      <c r="A1529" s="1115" t="n">
        <v>40950</v>
      </c>
      <c r="B1529" s="1115" t="s">
        <v>164</v>
      </c>
      <c r="C1529" s="1115" t="n">
        <v>40950</v>
      </c>
      <c r="D1529" s="1115" t="s">
        <v>40</v>
      </c>
      <c r="E1529" s="1115" t="s">
        <v>1137</v>
      </c>
      <c r="F1529" s="1115" t="n">
        <v>43700</v>
      </c>
      <c r="G1529" s="1115" t="n">
        <v>41680</v>
      </c>
      <c r="H1529" s="1115" t="s">
        <v>2796</v>
      </c>
      <c r="I1529" s="1115" t="n">
        <v>41140</v>
      </c>
      <c r="J1529" s="1115" t="s">
        <v>40</v>
      </c>
    </row>
    <row r="1530" customFormat="false" ht="14.1" hidden="false" customHeight="true" outlineLevel="0" collapsed="false">
      <c r="A1530" s="1115" t="n">
        <v>41120</v>
      </c>
      <c r="B1530" s="1115" t="s">
        <v>164</v>
      </c>
      <c r="C1530" s="1115" t="n">
        <v>41120</v>
      </c>
      <c r="D1530" s="1115" t="s">
        <v>2741</v>
      </c>
      <c r="E1530" s="1115" t="s">
        <v>2749</v>
      </c>
      <c r="F1530" s="1115" t="n">
        <v>41240</v>
      </c>
      <c r="G1530" s="1115" t="n">
        <v>41710</v>
      </c>
      <c r="H1530" s="1115" t="s">
        <v>2797</v>
      </c>
      <c r="I1530" s="1115" t="n">
        <v>41160</v>
      </c>
      <c r="J1530" s="1115" t="s">
        <v>40</v>
      </c>
    </row>
    <row r="1531" customFormat="false" ht="14.1" hidden="false" customHeight="true" outlineLevel="0" collapsed="false">
      <c r="A1531" s="1115" t="n">
        <v>41140</v>
      </c>
      <c r="B1531" s="1115" t="s">
        <v>164</v>
      </c>
      <c r="C1531" s="1115" t="n">
        <v>41140</v>
      </c>
      <c r="D1531" s="1115" t="s">
        <v>2655</v>
      </c>
      <c r="E1531" s="1115" t="s">
        <v>2576</v>
      </c>
      <c r="F1531" s="1115" t="n">
        <v>36930</v>
      </c>
      <c r="G1531" s="1115" t="n">
        <v>41730</v>
      </c>
      <c r="H1531" s="1115" t="s">
        <v>2455</v>
      </c>
      <c r="I1531" s="1115" t="n">
        <v>41180</v>
      </c>
      <c r="J1531" s="1115" t="s">
        <v>1156</v>
      </c>
    </row>
    <row r="1532" customFormat="false" ht="14.1" hidden="false" customHeight="true" outlineLevel="0" collapsed="false">
      <c r="A1532" s="1115" t="n">
        <v>41160</v>
      </c>
      <c r="B1532" s="1115" t="s">
        <v>164</v>
      </c>
      <c r="C1532" s="1115" t="n">
        <v>41160</v>
      </c>
      <c r="D1532" s="1115" t="s">
        <v>2744</v>
      </c>
      <c r="E1532" s="1115" t="s">
        <v>2798</v>
      </c>
      <c r="F1532" s="1115" t="n">
        <v>68800</v>
      </c>
      <c r="G1532" s="1115" t="n">
        <v>41750</v>
      </c>
      <c r="H1532" s="1115" t="s">
        <v>1502</v>
      </c>
      <c r="I1532" s="1115" t="n">
        <v>41210</v>
      </c>
      <c r="J1532" s="1115" t="s">
        <v>1584</v>
      </c>
    </row>
    <row r="1533" customFormat="false" ht="14.1" hidden="false" customHeight="true" outlineLevel="0" collapsed="false">
      <c r="A1533" s="1115" t="n">
        <v>41180</v>
      </c>
      <c r="B1533" s="1115" t="s">
        <v>164</v>
      </c>
      <c r="C1533" s="1115" t="n">
        <v>41180</v>
      </c>
      <c r="D1533" s="1115" t="s">
        <v>2746</v>
      </c>
      <c r="E1533" s="1115" t="s">
        <v>2799</v>
      </c>
      <c r="F1533" s="1115" t="n">
        <v>81460</v>
      </c>
      <c r="G1533" s="1115" t="n">
        <v>41770</v>
      </c>
      <c r="H1533" s="1115" t="s">
        <v>1159</v>
      </c>
      <c r="I1533" s="1115" t="n">
        <v>41230</v>
      </c>
      <c r="J1533" s="1115" t="s">
        <v>1584</v>
      </c>
    </row>
    <row r="1534" customFormat="false" ht="14.1" hidden="false" customHeight="true" outlineLevel="0" collapsed="false">
      <c r="A1534" s="1115" t="n">
        <v>41210</v>
      </c>
      <c r="B1534" s="1115" t="s">
        <v>164</v>
      </c>
      <c r="C1534" s="1115" t="n">
        <v>41210</v>
      </c>
      <c r="D1534" s="1115" t="s">
        <v>2014</v>
      </c>
      <c r="E1534" s="1115" t="s">
        <v>2800</v>
      </c>
      <c r="F1534" s="1115" t="n">
        <v>85210</v>
      </c>
      <c r="G1534" s="1115" t="n">
        <v>41800</v>
      </c>
      <c r="H1534" s="1115" t="s">
        <v>1098</v>
      </c>
      <c r="I1534" s="1115" t="n">
        <v>41240</v>
      </c>
      <c r="J1534" s="1115" t="s">
        <v>1584</v>
      </c>
    </row>
    <row r="1535" customFormat="false" ht="14.1" hidden="false" customHeight="true" outlineLevel="0" collapsed="false">
      <c r="A1535" s="1115" t="n">
        <v>41230</v>
      </c>
      <c r="B1535" s="1115" t="s">
        <v>164</v>
      </c>
      <c r="C1535" s="1115" t="n">
        <v>41230</v>
      </c>
      <c r="D1535" s="1115" t="s">
        <v>1584</v>
      </c>
      <c r="E1535" s="1115" t="s">
        <v>2801</v>
      </c>
      <c r="F1535" s="1115" t="n">
        <v>54180</v>
      </c>
      <c r="G1535" s="1115" t="n">
        <v>41820</v>
      </c>
      <c r="H1535" s="1115" t="s">
        <v>2802</v>
      </c>
      <c r="I1535" s="1115" t="n">
        <v>41250</v>
      </c>
      <c r="J1535" s="1115" t="s">
        <v>1584</v>
      </c>
    </row>
    <row r="1536" customFormat="false" ht="14.1" hidden="false" customHeight="true" outlineLevel="0" collapsed="false">
      <c r="A1536" s="1115" t="n">
        <v>41240</v>
      </c>
      <c r="B1536" s="1115" t="s">
        <v>164</v>
      </c>
      <c r="C1536" s="1115" t="n">
        <v>41240</v>
      </c>
      <c r="D1536" s="1115" t="s">
        <v>2749</v>
      </c>
      <c r="E1536" s="1115" t="s">
        <v>2803</v>
      </c>
      <c r="F1536" s="1115" t="n">
        <v>88280</v>
      </c>
      <c r="G1536" s="1115" t="n">
        <v>41840</v>
      </c>
      <c r="H1536" s="1115" t="s">
        <v>2804</v>
      </c>
      <c r="I1536" s="1115" t="n">
        <v>41260</v>
      </c>
      <c r="J1536" s="1115" t="s">
        <v>1467</v>
      </c>
    </row>
    <row r="1537" customFormat="false" ht="14.1" hidden="false" customHeight="true" outlineLevel="0" collapsed="false">
      <c r="A1537" s="1115" t="n">
        <v>41250</v>
      </c>
      <c r="B1537" s="1115" t="s">
        <v>164</v>
      </c>
      <c r="C1537" s="1115" t="n">
        <v>41250</v>
      </c>
      <c r="D1537" s="1115" t="s">
        <v>1471</v>
      </c>
      <c r="E1537" s="1115" t="s">
        <v>1140</v>
      </c>
      <c r="F1537" s="1115" t="n">
        <v>68300</v>
      </c>
      <c r="G1537" s="1115" t="n">
        <v>41850</v>
      </c>
      <c r="H1537" s="1115" t="s">
        <v>2805</v>
      </c>
      <c r="I1537" s="1115" t="n">
        <v>41270</v>
      </c>
      <c r="J1537" s="1115" t="s">
        <v>1467</v>
      </c>
    </row>
    <row r="1538" customFormat="false" ht="14.1" hidden="false" customHeight="true" outlineLevel="0" collapsed="false">
      <c r="A1538" s="1115" t="n">
        <v>41260</v>
      </c>
      <c r="B1538" s="1115" t="s">
        <v>164</v>
      </c>
      <c r="C1538" s="1115" t="n">
        <v>41260</v>
      </c>
      <c r="D1538" s="1115" t="s">
        <v>1741</v>
      </c>
      <c r="E1538" s="1115" t="s">
        <v>2466</v>
      </c>
      <c r="F1538" s="1115" t="n">
        <v>34240</v>
      </c>
      <c r="G1538" s="1115" t="n">
        <v>41860</v>
      </c>
      <c r="H1538" s="1115" t="s">
        <v>2806</v>
      </c>
      <c r="I1538" s="1115" t="n">
        <v>41290</v>
      </c>
      <c r="J1538" s="1115" t="s">
        <v>1467</v>
      </c>
    </row>
    <row r="1539" customFormat="false" ht="14.1" hidden="false" customHeight="true" outlineLevel="0" collapsed="false">
      <c r="A1539" s="1115" t="n">
        <v>41270</v>
      </c>
      <c r="B1539" s="1115" t="s">
        <v>164</v>
      </c>
      <c r="C1539" s="1115" t="n">
        <v>41270</v>
      </c>
      <c r="D1539" s="1115" t="s">
        <v>2750</v>
      </c>
      <c r="E1539" s="1115" t="s">
        <v>2630</v>
      </c>
      <c r="F1539" s="1115" t="n">
        <v>38290</v>
      </c>
      <c r="G1539" s="1115" t="n">
        <v>41880</v>
      </c>
      <c r="H1539" s="1115" t="s">
        <v>2807</v>
      </c>
      <c r="I1539" s="1115" t="n">
        <v>41310</v>
      </c>
      <c r="J1539" s="1115" t="s">
        <v>1467</v>
      </c>
    </row>
    <row r="1540" customFormat="false" ht="14.1" hidden="false" customHeight="true" outlineLevel="0" collapsed="false">
      <c r="A1540" s="1115" t="n">
        <v>41290</v>
      </c>
      <c r="B1540" s="1115" t="s">
        <v>164</v>
      </c>
      <c r="C1540" s="1115" t="n">
        <v>41290</v>
      </c>
      <c r="D1540" s="1115" t="s">
        <v>2213</v>
      </c>
      <c r="E1540" s="1115" t="s">
        <v>2808</v>
      </c>
      <c r="F1540" s="1115" t="n">
        <v>64820</v>
      </c>
      <c r="G1540" s="1115" t="n">
        <v>41900</v>
      </c>
      <c r="H1540" s="1115" t="s">
        <v>1338</v>
      </c>
      <c r="I1540" s="1115" t="n">
        <v>41315</v>
      </c>
      <c r="J1540" s="1115" t="s">
        <v>1467</v>
      </c>
    </row>
    <row r="1541" customFormat="false" ht="14.1" hidden="false" customHeight="true" outlineLevel="0" collapsed="false">
      <c r="A1541" s="1115" t="n">
        <v>41310</v>
      </c>
      <c r="B1541" s="1115" t="s">
        <v>164</v>
      </c>
      <c r="C1541" s="1115" t="n">
        <v>41310</v>
      </c>
      <c r="D1541" s="1115" t="s">
        <v>2751</v>
      </c>
      <c r="E1541" s="1115" t="s">
        <v>2618</v>
      </c>
      <c r="F1541" s="1115" t="n">
        <v>37860</v>
      </c>
      <c r="G1541" s="1115" t="n">
        <v>41920</v>
      </c>
      <c r="H1541" s="1115" t="s">
        <v>2436</v>
      </c>
      <c r="I1541" s="1115" t="n">
        <v>41320</v>
      </c>
      <c r="J1541" s="1115" t="s">
        <v>1467</v>
      </c>
    </row>
    <row r="1542" customFormat="false" ht="14.1" hidden="false" customHeight="true" outlineLevel="0" collapsed="false">
      <c r="A1542" s="1115" t="n">
        <v>41315</v>
      </c>
      <c r="B1542" s="1115" t="s">
        <v>164</v>
      </c>
      <c r="C1542" s="1115" t="n">
        <v>41315</v>
      </c>
      <c r="D1542" s="1115" t="s">
        <v>2753</v>
      </c>
      <c r="E1542" s="1115" t="s">
        <v>2809</v>
      </c>
      <c r="F1542" s="1115" t="n">
        <v>66630</v>
      </c>
      <c r="G1542" s="1115" t="n">
        <v>41925</v>
      </c>
      <c r="H1542" s="1115" t="s">
        <v>2810</v>
      </c>
      <c r="I1542" s="1115" t="n">
        <v>41325</v>
      </c>
      <c r="J1542" s="1115" t="s">
        <v>1156</v>
      </c>
    </row>
    <row r="1543" customFormat="false" ht="14.1" hidden="false" customHeight="true" outlineLevel="0" collapsed="false">
      <c r="A1543" s="1115" t="n">
        <v>41320</v>
      </c>
      <c r="B1543" s="1115" t="s">
        <v>164</v>
      </c>
      <c r="C1543" s="1115" t="n">
        <v>41320</v>
      </c>
      <c r="D1543" s="1115" t="s">
        <v>2044</v>
      </c>
      <c r="E1543" s="1115" t="s">
        <v>1142</v>
      </c>
      <c r="F1543" s="1115" t="n">
        <v>16610</v>
      </c>
      <c r="G1543" s="1115" t="n">
        <v>41930</v>
      </c>
      <c r="H1543" s="1115" t="s">
        <v>2703</v>
      </c>
      <c r="I1543" s="1115" t="n">
        <v>41330</v>
      </c>
      <c r="J1543" s="1115" t="s">
        <v>1156</v>
      </c>
    </row>
    <row r="1544" customFormat="false" ht="14.1" hidden="false" customHeight="true" outlineLevel="0" collapsed="false">
      <c r="A1544" s="1115" t="n">
        <v>41325</v>
      </c>
      <c r="B1544" s="1115" t="s">
        <v>164</v>
      </c>
      <c r="C1544" s="1115" t="n">
        <v>41325</v>
      </c>
      <c r="D1544" s="1115" t="s">
        <v>2756</v>
      </c>
      <c r="E1544" s="1115" t="s">
        <v>2811</v>
      </c>
      <c r="F1544" s="1115" t="n">
        <v>44610</v>
      </c>
      <c r="G1544" s="1115" t="n">
        <v>41940</v>
      </c>
      <c r="H1544" s="1115" t="s">
        <v>2812</v>
      </c>
      <c r="I1544" s="1115" t="n">
        <v>41340</v>
      </c>
      <c r="J1544" s="1115" t="s">
        <v>1156</v>
      </c>
    </row>
    <row r="1545" customFormat="false" ht="14.1" hidden="false" customHeight="true" outlineLevel="0" collapsed="false">
      <c r="A1545" s="1115" t="n">
        <v>41330</v>
      </c>
      <c r="B1545" s="1115" t="s">
        <v>164</v>
      </c>
      <c r="C1545" s="1115" t="n">
        <v>41330</v>
      </c>
      <c r="D1545" s="1115" t="s">
        <v>2757</v>
      </c>
      <c r="E1545" s="1115" t="s">
        <v>2623</v>
      </c>
      <c r="F1545" s="1115" t="n">
        <v>38140</v>
      </c>
      <c r="G1545" s="1115" t="n">
        <v>41945</v>
      </c>
      <c r="H1545" s="1115" t="s">
        <v>2813</v>
      </c>
      <c r="I1545" s="1115" t="n">
        <v>41350</v>
      </c>
      <c r="J1545" s="1115" t="s">
        <v>1156</v>
      </c>
    </row>
    <row r="1546" customFormat="false" ht="14.1" hidden="false" customHeight="true" outlineLevel="0" collapsed="false">
      <c r="A1546" s="1115" t="n">
        <v>41340</v>
      </c>
      <c r="B1546" s="1115" t="s">
        <v>164</v>
      </c>
      <c r="C1546" s="1115" t="n">
        <v>41340</v>
      </c>
      <c r="D1546" s="1115" t="s">
        <v>1156</v>
      </c>
      <c r="E1546" s="1115" t="s">
        <v>2814</v>
      </c>
      <c r="F1546" s="1115" t="n">
        <v>93990</v>
      </c>
      <c r="G1546" s="1115" t="n">
        <v>41950</v>
      </c>
      <c r="H1546" s="1115" t="s">
        <v>2815</v>
      </c>
      <c r="I1546" s="1115" t="n">
        <v>41360</v>
      </c>
      <c r="J1546" s="1115" t="s">
        <v>1156</v>
      </c>
    </row>
    <row r="1547" customFormat="false" ht="14.1" hidden="false" customHeight="true" outlineLevel="0" collapsed="false">
      <c r="A1547" s="1115" t="n">
        <v>41350</v>
      </c>
      <c r="B1547" s="1115" t="s">
        <v>164</v>
      </c>
      <c r="C1547" s="1115" t="n">
        <v>41350</v>
      </c>
      <c r="D1547" s="1115" t="s">
        <v>1156</v>
      </c>
      <c r="E1547" s="1115" t="s">
        <v>1356</v>
      </c>
      <c r="F1547" s="1115" t="n">
        <v>6880</v>
      </c>
      <c r="G1547" s="1115" t="n">
        <v>41970</v>
      </c>
      <c r="H1547" s="1115" t="s">
        <v>1826</v>
      </c>
      <c r="I1547" s="1115" t="n">
        <v>41365</v>
      </c>
      <c r="J1547" s="1115" t="s">
        <v>1651</v>
      </c>
    </row>
    <row r="1548" customFormat="false" ht="14.1" hidden="false" customHeight="true" outlineLevel="0" collapsed="false">
      <c r="A1548" s="1115" t="n">
        <v>41360</v>
      </c>
      <c r="B1548" s="1115" t="s">
        <v>164</v>
      </c>
      <c r="C1548" s="1115" t="n">
        <v>41360</v>
      </c>
      <c r="D1548" s="1115" t="s">
        <v>2760</v>
      </c>
      <c r="E1548" s="1115" t="s">
        <v>1143</v>
      </c>
      <c r="F1548" s="1115" t="n">
        <v>86710</v>
      </c>
      <c r="G1548" s="1115" t="n">
        <v>41980</v>
      </c>
      <c r="H1548" s="1115" t="s">
        <v>2672</v>
      </c>
      <c r="I1548" s="1115" t="n">
        <v>41370</v>
      </c>
      <c r="J1548" s="1115" t="s">
        <v>1651</v>
      </c>
    </row>
    <row r="1549" customFormat="false" ht="14.1" hidden="false" customHeight="true" outlineLevel="0" collapsed="false">
      <c r="A1549" s="1115" t="n">
        <v>41365</v>
      </c>
      <c r="B1549" s="1115" t="s">
        <v>164</v>
      </c>
      <c r="C1549" s="1115" t="n">
        <v>41365</v>
      </c>
      <c r="D1549" s="1115" t="s">
        <v>1925</v>
      </c>
      <c r="E1549" s="1115" t="s">
        <v>2816</v>
      </c>
      <c r="F1549" s="1115" t="n">
        <v>44950</v>
      </c>
      <c r="G1549" s="1115" t="n">
        <v>42100</v>
      </c>
      <c r="H1549" s="1115" t="s">
        <v>939</v>
      </c>
      <c r="I1549" s="1115" t="n">
        <v>41375</v>
      </c>
      <c r="J1549" s="1115" t="s">
        <v>1651</v>
      </c>
    </row>
    <row r="1550" customFormat="false" ht="14.1" hidden="false" customHeight="true" outlineLevel="0" collapsed="false">
      <c r="A1550" s="1115" t="n">
        <v>41370</v>
      </c>
      <c r="B1550" s="1115" t="s">
        <v>164</v>
      </c>
      <c r="C1550" s="1115" t="n">
        <v>41370</v>
      </c>
      <c r="D1550" s="1115" t="s">
        <v>2748</v>
      </c>
      <c r="E1550" s="1115" t="s">
        <v>2817</v>
      </c>
      <c r="F1550" s="1115" t="n">
        <v>51220</v>
      </c>
      <c r="G1550" s="1115" t="n">
        <v>42120</v>
      </c>
      <c r="H1550" s="1115" t="s">
        <v>939</v>
      </c>
      <c r="I1550" s="1115" t="n">
        <v>41390</v>
      </c>
      <c r="J1550" s="1115" t="s">
        <v>1651</v>
      </c>
    </row>
    <row r="1551" customFormat="false" ht="14.1" hidden="false" customHeight="true" outlineLevel="0" collapsed="false">
      <c r="A1551" s="1115" t="n">
        <v>41375</v>
      </c>
      <c r="B1551" s="1115" t="s">
        <v>164</v>
      </c>
      <c r="C1551" s="1115" t="n">
        <v>41375</v>
      </c>
      <c r="D1551" s="1115" t="s">
        <v>2763</v>
      </c>
      <c r="E1551" s="1115" t="s">
        <v>2818</v>
      </c>
      <c r="F1551" s="1115" t="n">
        <v>83430</v>
      </c>
      <c r="G1551" s="1115" t="n">
        <v>42140</v>
      </c>
      <c r="H1551" s="1115" t="s">
        <v>2048</v>
      </c>
      <c r="I1551" s="1115" t="n">
        <v>41395</v>
      </c>
      <c r="J1551" s="1115" t="s">
        <v>1095</v>
      </c>
    </row>
    <row r="1552" customFormat="false" ht="14.1" hidden="false" customHeight="true" outlineLevel="0" collapsed="false">
      <c r="A1552" s="1115" t="n">
        <v>41390</v>
      </c>
      <c r="B1552" s="1115" t="s">
        <v>164</v>
      </c>
      <c r="C1552" s="1115" t="n">
        <v>41390</v>
      </c>
      <c r="D1552" s="1115" t="s">
        <v>2765</v>
      </c>
      <c r="E1552" s="1115" t="s">
        <v>2819</v>
      </c>
      <c r="F1552" s="1115" t="n">
        <v>86840</v>
      </c>
      <c r="G1552" s="1115" t="n">
        <v>42220</v>
      </c>
      <c r="H1552" s="1115" t="s">
        <v>2148</v>
      </c>
      <c r="I1552" s="1115" t="n">
        <v>41400</v>
      </c>
      <c r="J1552" s="1115" t="s">
        <v>1095</v>
      </c>
    </row>
    <row r="1553" customFormat="false" ht="14.1" hidden="false" customHeight="true" outlineLevel="0" collapsed="false">
      <c r="A1553" s="1115" t="n">
        <v>41395</v>
      </c>
      <c r="B1553" s="1115" t="s">
        <v>164</v>
      </c>
      <c r="C1553" s="1115" t="n">
        <v>41395</v>
      </c>
      <c r="D1553" s="1115" t="s">
        <v>2767</v>
      </c>
      <c r="E1553" s="1115" t="s">
        <v>2820</v>
      </c>
      <c r="F1553" s="1115" t="n">
        <v>63430</v>
      </c>
      <c r="G1553" s="1115" t="n">
        <v>42220</v>
      </c>
      <c r="H1553" s="1115" t="s">
        <v>1907</v>
      </c>
      <c r="I1553" s="1115" t="n">
        <v>41410</v>
      </c>
      <c r="J1553" s="1115" t="s">
        <v>1567</v>
      </c>
    </row>
    <row r="1554" customFormat="false" ht="14.1" hidden="false" customHeight="true" outlineLevel="0" collapsed="false">
      <c r="A1554" s="1115" t="n">
        <v>41400</v>
      </c>
      <c r="B1554" s="1115" t="s">
        <v>164</v>
      </c>
      <c r="C1554" s="1115" t="n">
        <v>41400</v>
      </c>
      <c r="D1554" s="1115" t="s">
        <v>2768</v>
      </c>
      <c r="E1554" s="1115" t="s">
        <v>2821</v>
      </c>
      <c r="F1554" s="1115" t="n">
        <v>99320</v>
      </c>
      <c r="G1554" s="1115" t="n">
        <v>42250</v>
      </c>
      <c r="H1554" s="1115" t="s">
        <v>882</v>
      </c>
      <c r="I1554" s="1115" t="n">
        <v>41420</v>
      </c>
      <c r="J1554" s="1115" t="s">
        <v>1567</v>
      </c>
    </row>
    <row r="1555" customFormat="false" ht="14.1" hidden="false" customHeight="true" outlineLevel="0" collapsed="false">
      <c r="A1555" s="1115" t="n">
        <v>41410</v>
      </c>
      <c r="B1555" s="1115" t="s">
        <v>164</v>
      </c>
      <c r="C1555" s="1115" t="n">
        <v>41410</v>
      </c>
      <c r="D1555" s="1115" t="s">
        <v>2224</v>
      </c>
      <c r="E1555" s="1115" t="s">
        <v>2822</v>
      </c>
      <c r="F1555" s="1115" t="n">
        <v>95345</v>
      </c>
      <c r="G1555" s="1115" t="n">
        <v>42280</v>
      </c>
      <c r="H1555" s="1115" t="s">
        <v>2823</v>
      </c>
      <c r="I1555" s="1115" t="n">
        <v>41430</v>
      </c>
      <c r="J1555" s="1115" t="s">
        <v>1567</v>
      </c>
    </row>
    <row r="1556" customFormat="false" ht="14.1" hidden="false" customHeight="true" outlineLevel="0" collapsed="false">
      <c r="A1556" s="1115" t="n">
        <v>41420</v>
      </c>
      <c r="B1556" s="1115" t="s">
        <v>164</v>
      </c>
      <c r="C1556" s="1115" t="n">
        <v>41420</v>
      </c>
      <c r="D1556" s="1115" t="s">
        <v>2770</v>
      </c>
      <c r="E1556" s="1115" t="s">
        <v>2824</v>
      </c>
      <c r="F1556" s="1115" t="n">
        <v>93850</v>
      </c>
      <c r="G1556" s="1115" t="n">
        <v>42300</v>
      </c>
      <c r="H1556" s="1115" t="s">
        <v>942</v>
      </c>
      <c r="I1556" s="1115" t="n">
        <v>41440</v>
      </c>
      <c r="J1556" s="1115" t="s">
        <v>1567</v>
      </c>
    </row>
    <row r="1557" customFormat="false" ht="14.1" hidden="false" customHeight="true" outlineLevel="0" collapsed="false">
      <c r="A1557" s="1115" t="n">
        <v>41430</v>
      </c>
      <c r="B1557" s="1115" t="s">
        <v>164</v>
      </c>
      <c r="C1557" s="1115" t="n">
        <v>41430</v>
      </c>
      <c r="D1557" s="1115" t="s">
        <v>2772</v>
      </c>
      <c r="E1557" s="1115" t="s">
        <v>1952</v>
      </c>
      <c r="F1557" s="1115" t="n">
        <v>21370</v>
      </c>
      <c r="G1557" s="1115" t="n">
        <v>42330</v>
      </c>
      <c r="H1557" s="1115" t="s">
        <v>1310</v>
      </c>
      <c r="I1557" s="1115" t="n">
        <v>41450</v>
      </c>
      <c r="J1557" s="1115" t="s">
        <v>1567</v>
      </c>
    </row>
    <row r="1558" customFormat="false" ht="14.1" hidden="false" customHeight="true" outlineLevel="0" collapsed="false">
      <c r="A1558" s="1115" t="n">
        <v>41440</v>
      </c>
      <c r="B1558" s="1115" t="s">
        <v>164</v>
      </c>
      <c r="C1558" s="1115" t="n">
        <v>41440</v>
      </c>
      <c r="D1558" s="1115" t="s">
        <v>2773</v>
      </c>
      <c r="E1558" s="1115" t="s">
        <v>2825</v>
      </c>
      <c r="F1558" s="1115" t="n">
        <v>97560</v>
      </c>
      <c r="G1558" s="1115" t="n">
        <v>42420</v>
      </c>
      <c r="H1558" s="1115" t="s">
        <v>1791</v>
      </c>
      <c r="I1558" s="1115" t="n">
        <v>41460</v>
      </c>
      <c r="J1558" s="1115" t="s">
        <v>1567</v>
      </c>
    </row>
    <row r="1559" customFormat="false" ht="14.1" hidden="false" customHeight="true" outlineLevel="0" collapsed="false">
      <c r="A1559" s="1115" t="n">
        <v>41450</v>
      </c>
      <c r="B1559" s="1115" t="s">
        <v>164</v>
      </c>
      <c r="C1559" s="1115" t="n">
        <v>41450</v>
      </c>
      <c r="D1559" s="1115" t="s">
        <v>2775</v>
      </c>
      <c r="E1559" s="1115" t="s">
        <v>2826</v>
      </c>
      <c r="F1559" s="1115" t="n">
        <v>46130</v>
      </c>
      <c r="G1559" s="1115" t="n">
        <v>42440</v>
      </c>
      <c r="H1559" s="1115" t="s">
        <v>2587</v>
      </c>
      <c r="I1559" s="1115" t="n">
        <v>41470</v>
      </c>
      <c r="J1559" s="1115" t="s">
        <v>1567</v>
      </c>
    </row>
    <row r="1560" customFormat="false" ht="14.1" hidden="false" customHeight="true" outlineLevel="0" collapsed="false">
      <c r="A1560" s="1115" t="n">
        <v>41460</v>
      </c>
      <c r="B1560" s="1115" t="s">
        <v>164</v>
      </c>
      <c r="C1560" s="1115" t="n">
        <v>41460</v>
      </c>
      <c r="D1560" s="1115" t="s">
        <v>1954</v>
      </c>
      <c r="E1560" s="1115" t="s">
        <v>2827</v>
      </c>
      <c r="F1560" s="1115" t="n">
        <v>71720</v>
      </c>
      <c r="G1560" s="1115" t="n">
        <v>42540</v>
      </c>
      <c r="H1560" s="1115" t="s">
        <v>2180</v>
      </c>
      <c r="I1560" s="1115" t="n">
        <v>41480</v>
      </c>
      <c r="J1560" s="1115" t="s">
        <v>1567</v>
      </c>
    </row>
    <row r="1561" customFormat="false" ht="14.1" hidden="false" customHeight="true" outlineLevel="0" collapsed="false">
      <c r="A1561" s="1115" t="n">
        <v>41470</v>
      </c>
      <c r="B1561" s="1115" t="s">
        <v>164</v>
      </c>
      <c r="C1561" s="1115" t="n">
        <v>41470</v>
      </c>
      <c r="D1561" s="1115" t="s">
        <v>2778</v>
      </c>
      <c r="E1561" s="1115" t="s">
        <v>2828</v>
      </c>
      <c r="F1561" s="1115" t="n">
        <v>52890</v>
      </c>
      <c r="G1561" s="1115" t="n">
        <v>42560</v>
      </c>
      <c r="H1561" s="1115" t="s">
        <v>2829</v>
      </c>
      <c r="I1561" s="1115" t="n">
        <v>41490</v>
      </c>
      <c r="J1561" s="1115" t="s">
        <v>824</v>
      </c>
    </row>
    <row r="1562" customFormat="false" ht="14.1" hidden="false" customHeight="true" outlineLevel="0" collapsed="false">
      <c r="A1562" s="1115" t="n">
        <v>41480</v>
      </c>
      <c r="B1562" s="1115" t="s">
        <v>164</v>
      </c>
      <c r="C1562" s="1115" t="n">
        <v>41480</v>
      </c>
      <c r="D1562" s="1115" t="s">
        <v>2780</v>
      </c>
      <c r="E1562" s="1115" t="s">
        <v>1144</v>
      </c>
      <c r="F1562" s="1115" t="n">
        <v>22730</v>
      </c>
      <c r="G1562" s="1115" t="n">
        <v>42570</v>
      </c>
      <c r="H1562" s="1115" t="s">
        <v>938</v>
      </c>
      <c r="I1562" s="1115" t="n">
        <v>41500</v>
      </c>
      <c r="J1562" s="1115" t="s">
        <v>824</v>
      </c>
    </row>
    <row r="1563" customFormat="false" ht="14.1" hidden="false" customHeight="true" outlineLevel="0" collapsed="false">
      <c r="A1563" s="1115" t="n">
        <v>41490</v>
      </c>
      <c r="B1563" s="1115" t="s">
        <v>164</v>
      </c>
      <c r="C1563" s="1115" t="n">
        <v>41490</v>
      </c>
      <c r="D1563" s="1115" t="s">
        <v>2782</v>
      </c>
      <c r="E1563" s="1115" t="s">
        <v>1144</v>
      </c>
      <c r="F1563" s="1115" t="n">
        <v>22730</v>
      </c>
      <c r="G1563" s="1115" t="n">
        <v>42600</v>
      </c>
      <c r="H1563" s="1115" t="s">
        <v>1239</v>
      </c>
      <c r="I1563" s="1115" t="n">
        <v>41510</v>
      </c>
      <c r="J1563" s="1115" t="s">
        <v>824</v>
      </c>
    </row>
    <row r="1564" customFormat="false" ht="14.1" hidden="false" customHeight="true" outlineLevel="0" collapsed="false">
      <c r="A1564" s="1115" t="n">
        <v>41500</v>
      </c>
      <c r="B1564" s="1115" t="s">
        <v>164</v>
      </c>
      <c r="C1564" s="1115" t="n">
        <v>41500</v>
      </c>
      <c r="D1564" s="1115" t="s">
        <v>824</v>
      </c>
      <c r="E1564" s="1115" t="s">
        <v>2830</v>
      </c>
      <c r="F1564" s="1115" t="n">
        <v>65780</v>
      </c>
      <c r="G1564" s="1115" t="n">
        <v>42610</v>
      </c>
      <c r="H1564" s="1115" t="s">
        <v>2831</v>
      </c>
      <c r="I1564" s="1115" t="n">
        <v>41520</v>
      </c>
      <c r="J1564" s="1115" t="s">
        <v>824</v>
      </c>
    </row>
    <row r="1565" customFormat="false" ht="14.1" hidden="false" customHeight="true" outlineLevel="0" collapsed="false">
      <c r="A1565" s="1115" t="n">
        <v>41510</v>
      </c>
      <c r="B1565" s="1115" t="s">
        <v>164</v>
      </c>
      <c r="C1565" s="1115" t="n">
        <v>41510</v>
      </c>
      <c r="D1565" s="1115" t="s">
        <v>2187</v>
      </c>
      <c r="E1565" s="1115" t="s">
        <v>2832</v>
      </c>
      <c r="F1565" s="1115" t="n">
        <v>99140</v>
      </c>
      <c r="G1565" s="1115" t="n">
        <v>42660</v>
      </c>
      <c r="H1565" s="1115" t="s">
        <v>2833</v>
      </c>
      <c r="I1565" s="1115" t="n">
        <v>41530</v>
      </c>
      <c r="J1565" s="1115" t="s">
        <v>824</v>
      </c>
    </row>
    <row r="1566" customFormat="false" ht="14.1" hidden="false" customHeight="true" outlineLevel="0" collapsed="false">
      <c r="A1566" s="1115" t="n">
        <v>41520</v>
      </c>
      <c r="B1566" s="1115" t="s">
        <v>164</v>
      </c>
      <c r="C1566" s="1115" t="n">
        <v>41520</v>
      </c>
      <c r="D1566" s="1115" t="s">
        <v>824</v>
      </c>
      <c r="E1566" s="1115" t="s">
        <v>2834</v>
      </c>
      <c r="F1566" s="1115" t="n">
        <v>69660</v>
      </c>
      <c r="G1566" s="1115" t="n">
        <v>42680</v>
      </c>
      <c r="H1566" s="1115" t="s">
        <v>2835</v>
      </c>
      <c r="I1566" s="1115" t="n">
        <v>41540</v>
      </c>
      <c r="J1566" s="1115" t="s">
        <v>824</v>
      </c>
    </row>
    <row r="1567" customFormat="false" ht="14.1" hidden="false" customHeight="true" outlineLevel="0" collapsed="false">
      <c r="A1567" s="1115" t="n">
        <v>41530</v>
      </c>
      <c r="B1567" s="1115" t="s">
        <v>164</v>
      </c>
      <c r="C1567" s="1115" t="n">
        <v>41530</v>
      </c>
      <c r="D1567" s="1115" t="s">
        <v>2787</v>
      </c>
      <c r="E1567" s="1115" t="s">
        <v>2836</v>
      </c>
      <c r="F1567" s="1115" t="n">
        <v>85980</v>
      </c>
      <c r="G1567" s="1115" t="n">
        <v>42700</v>
      </c>
      <c r="H1567" s="1115" t="s">
        <v>1055</v>
      </c>
      <c r="I1567" s="1115" t="n">
        <v>41550</v>
      </c>
      <c r="J1567" s="1115" t="s">
        <v>824</v>
      </c>
    </row>
    <row r="1568" customFormat="false" ht="14.1" hidden="false" customHeight="true" outlineLevel="0" collapsed="false">
      <c r="A1568" s="1115" t="n">
        <v>41540</v>
      </c>
      <c r="B1568" s="1115" t="s">
        <v>164</v>
      </c>
      <c r="C1568" s="1115" t="n">
        <v>41540</v>
      </c>
      <c r="D1568" s="1115" t="s">
        <v>2788</v>
      </c>
      <c r="E1568" s="1115" t="s">
        <v>1146</v>
      </c>
      <c r="F1568" s="1115" t="n">
        <v>27710</v>
      </c>
      <c r="G1568" s="1115" t="n">
        <v>42700</v>
      </c>
      <c r="H1568" s="1115" t="s">
        <v>1055</v>
      </c>
      <c r="I1568" s="1115" t="n">
        <v>41560</v>
      </c>
      <c r="J1568" s="1115" t="s">
        <v>824</v>
      </c>
    </row>
    <row r="1569" customFormat="false" ht="14.1" hidden="false" customHeight="true" outlineLevel="0" collapsed="false">
      <c r="A1569" s="1115" t="n">
        <v>41550</v>
      </c>
      <c r="B1569" s="1115" t="s">
        <v>164</v>
      </c>
      <c r="C1569" s="1115" t="n">
        <v>41550</v>
      </c>
      <c r="D1569" s="1115" t="s">
        <v>1396</v>
      </c>
      <c r="E1569" s="1115" t="s">
        <v>2280</v>
      </c>
      <c r="F1569" s="1115" t="n">
        <v>29760</v>
      </c>
      <c r="G1569" s="1115" t="n">
        <v>42720</v>
      </c>
      <c r="H1569" s="1115" t="s">
        <v>1055</v>
      </c>
      <c r="I1569" s="1115" t="n">
        <v>41575</v>
      </c>
      <c r="J1569" s="1115" t="s">
        <v>824</v>
      </c>
    </row>
    <row r="1570" customFormat="false" ht="14.1" hidden="false" customHeight="true" outlineLevel="0" collapsed="false">
      <c r="A1570" s="1115" t="n">
        <v>41560</v>
      </c>
      <c r="B1570" s="1115" t="s">
        <v>164</v>
      </c>
      <c r="C1570" s="1115" t="n">
        <v>41560</v>
      </c>
      <c r="D1570" s="1115" t="s">
        <v>2790</v>
      </c>
      <c r="E1570" s="1115" t="s">
        <v>2837</v>
      </c>
      <c r="F1570" s="1115" t="n">
        <v>89630</v>
      </c>
      <c r="G1570" s="1115" t="n">
        <v>42730</v>
      </c>
      <c r="H1570" s="1115" t="s">
        <v>2067</v>
      </c>
      <c r="I1570" s="1115" t="n">
        <v>41585</v>
      </c>
      <c r="J1570" s="1115" t="s">
        <v>824</v>
      </c>
    </row>
    <row r="1571" customFormat="false" ht="14.1" hidden="false" customHeight="true" outlineLevel="0" collapsed="false">
      <c r="A1571" s="1115" t="n">
        <v>41575</v>
      </c>
      <c r="B1571" s="1115" t="s">
        <v>164</v>
      </c>
      <c r="C1571" s="1115" t="n">
        <v>41575</v>
      </c>
      <c r="D1571" s="1115" t="s">
        <v>912</v>
      </c>
      <c r="E1571" s="1115" t="s">
        <v>2838</v>
      </c>
      <c r="F1571" s="1115" t="n">
        <v>44140</v>
      </c>
      <c r="G1571" s="1115" t="n">
        <v>42760</v>
      </c>
      <c r="H1571" s="1115" t="s">
        <v>2398</v>
      </c>
      <c r="I1571" s="1115" t="n">
        <v>41590</v>
      </c>
      <c r="J1571" s="1115" t="s">
        <v>824</v>
      </c>
    </row>
    <row r="1572" customFormat="false" ht="14.1" hidden="false" customHeight="true" outlineLevel="0" collapsed="false">
      <c r="A1572" s="1115" t="n">
        <v>41585</v>
      </c>
      <c r="B1572" s="1115" t="s">
        <v>164</v>
      </c>
      <c r="C1572" s="1115" t="n">
        <v>41585</v>
      </c>
      <c r="D1572" s="1115" t="s">
        <v>1385</v>
      </c>
      <c r="E1572" s="1115" t="s">
        <v>2736</v>
      </c>
      <c r="F1572" s="1115" t="n">
        <v>40760</v>
      </c>
      <c r="G1572" s="1115" t="n">
        <v>42790</v>
      </c>
      <c r="H1572" s="1115" t="s">
        <v>2839</v>
      </c>
      <c r="I1572" s="1115" t="n">
        <v>41630</v>
      </c>
      <c r="J1572" s="1115" t="s">
        <v>824</v>
      </c>
    </row>
    <row r="1573" customFormat="false" ht="14.1" hidden="false" customHeight="true" outlineLevel="0" collapsed="false">
      <c r="A1573" s="1115" t="n">
        <v>41590</v>
      </c>
      <c r="B1573" s="1115" t="s">
        <v>164</v>
      </c>
      <c r="C1573" s="1115" t="n">
        <v>41590</v>
      </c>
      <c r="D1573" s="1115" t="s">
        <v>2792</v>
      </c>
      <c r="E1573" s="1115" t="s">
        <v>2840</v>
      </c>
      <c r="F1573" s="1115" t="n">
        <v>74390</v>
      </c>
      <c r="G1573" s="1115" t="n">
        <v>42800</v>
      </c>
      <c r="H1573" s="1115" t="s">
        <v>1279</v>
      </c>
      <c r="I1573" s="1115" t="n">
        <v>41660</v>
      </c>
      <c r="J1573" s="1115" t="s">
        <v>1567</v>
      </c>
    </row>
    <row r="1574" customFormat="false" ht="14.1" hidden="false" customHeight="true" outlineLevel="0" collapsed="false">
      <c r="A1574" s="1115" t="n">
        <v>41630</v>
      </c>
      <c r="B1574" s="1115" t="s">
        <v>164</v>
      </c>
      <c r="C1574" s="1115" t="n">
        <v>41630</v>
      </c>
      <c r="D1574" s="1115" t="s">
        <v>2794</v>
      </c>
      <c r="E1574" s="1115" t="s">
        <v>2841</v>
      </c>
      <c r="F1574" s="1115" t="n">
        <v>92650</v>
      </c>
      <c r="G1574" s="1115" t="n">
        <v>42820</v>
      </c>
      <c r="H1574" s="1115" t="s">
        <v>2842</v>
      </c>
      <c r="I1574" s="1115" t="n">
        <v>41680</v>
      </c>
      <c r="J1574" s="1115" t="s">
        <v>974</v>
      </c>
    </row>
    <row r="1575" customFormat="false" ht="14.1" hidden="false" customHeight="true" outlineLevel="0" collapsed="false">
      <c r="A1575" s="1115" t="n">
        <v>41660</v>
      </c>
      <c r="B1575" s="1115" t="s">
        <v>164</v>
      </c>
      <c r="C1575" s="1115" t="n">
        <v>41660</v>
      </c>
      <c r="D1575" s="1115" t="s">
        <v>1567</v>
      </c>
      <c r="E1575" s="1115" t="s">
        <v>2843</v>
      </c>
      <c r="F1575" s="1115" t="n">
        <v>56280</v>
      </c>
      <c r="G1575" s="1115" t="n">
        <v>42830</v>
      </c>
      <c r="H1575" s="1115" t="s">
        <v>2844</v>
      </c>
      <c r="I1575" s="1115" t="n">
        <v>41710</v>
      </c>
      <c r="J1575" s="1115" t="s">
        <v>974</v>
      </c>
    </row>
    <row r="1576" customFormat="false" ht="14.1" hidden="false" customHeight="true" outlineLevel="0" collapsed="false">
      <c r="A1576" s="1115" t="n">
        <v>41680</v>
      </c>
      <c r="B1576" s="1115" t="s">
        <v>164</v>
      </c>
      <c r="C1576" s="1115" t="n">
        <v>41680</v>
      </c>
      <c r="D1576" s="1115" t="s">
        <v>2796</v>
      </c>
      <c r="E1576" s="1115" t="s">
        <v>2845</v>
      </c>
      <c r="F1576" s="1115" t="n">
        <v>99835</v>
      </c>
      <c r="G1576" s="1115" t="n">
        <v>42840</v>
      </c>
      <c r="H1576" s="1115" t="s">
        <v>2518</v>
      </c>
      <c r="I1576" s="1115" t="n">
        <v>41730</v>
      </c>
      <c r="J1576" s="1115" t="s">
        <v>974</v>
      </c>
    </row>
    <row r="1577" customFormat="false" ht="14.1" hidden="false" customHeight="true" outlineLevel="0" collapsed="false">
      <c r="A1577" s="1115" t="n">
        <v>41710</v>
      </c>
      <c r="B1577" s="1115" t="s">
        <v>164</v>
      </c>
      <c r="C1577" s="1115" t="n">
        <v>41710</v>
      </c>
      <c r="D1577" s="1115" t="s">
        <v>2797</v>
      </c>
      <c r="E1577" s="1115" t="s">
        <v>2846</v>
      </c>
      <c r="F1577" s="1115" t="n">
        <v>43860</v>
      </c>
      <c r="G1577" s="1115" t="n">
        <v>42850</v>
      </c>
      <c r="H1577" s="1115" t="s">
        <v>2847</v>
      </c>
      <c r="I1577" s="1115" t="n">
        <v>41750</v>
      </c>
      <c r="J1577" s="1115" t="s">
        <v>974</v>
      </c>
    </row>
    <row r="1578" customFormat="false" ht="14.1" hidden="false" customHeight="true" outlineLevel="0" collapsed="false">
      <c r="A1578" s="1115" t="n">
        <v>41730</v>
      </c>
      <c r="B1578" s="1115" t="s">
        <v>164</v>
      </c>
      <c r="C1578" s="1115" t="n">
        <v>41730</v>
      </c>
      <c r="D1578" s="1115" t="s">
        <v>2455</v>
      </c>
      <c r="E1578" s="1115" t="s">
        <v>1235</v>
      </c>
      <c r="F1578" s="1115" t="n">
        <v>4330</v>
      </c>
      <c r="G1578" s="1115" t="n">
        <v>42870</v>
      </c>
      <c r="H1578" s="1115" t="s">
        <v>2606</v>
      </c>
      <c r="I1578" s="1115" t="n">
        <v>41770</v>
      </c>
      <c r="J1578" s="1115" t="s">
        <v>974</v>
      </c>
    </row>
    <row r="1579" customFormat="false" ht="14.1" hidden="false" customHeight="true" outlineLevel="0" collapsed="false">
      <c r="A1579" s="1115" t="n">
        <v>41750</v>
      </c>
      <c r="B1579" s="1115" t="s">
        <v>164</v>
      </c>
      <c r="C1579" s="1115" t="n">
        <v>41750</v>
      </c>
      <c r="D1579" s="1115" t="s">
        <v>1502</v>
      </c>
      <c r="E1579" s="1115" t="s">
        <v>2104</v>
      </c>
      <c r="F1579" s="1115" t="n">
        <v>25420</v>
      </c>
      <c r="G1579" s="1115" t="n">
        <v>42880</v>
      </c>
      <c r="H1579" s="1115" t="s">
        <v>2848</v>
      </c>
      <c r="I1579" s="1115" t="n">
        <v>41800</v>
      </c>
      <c r="J1579" s="1115" t="s">
        <v>974</v>
      </c>
    </row>
    <row r="1580" customFormat="false" ht="14.1" hidden="false" customHeight="true" outlineLevel="0" collapsed="false">
      <c r="A1580" s="1115" t="n">
        <v>41770</v>
      </c>
      <c r="B1580" s="1115" t="s">
        <v>164</v>
      </c>
      <c r="C1580" s="1115" t="n">
        <v>41770</v>
      </c>
      <c r="D1580" s="1115" t="s">
        <v>1159</v>
      </c>
      <c r="E1580" s="1115" t="s">
        <v>2849</v>
      </c>
      <c r="F1580" s="1115" t="n">
        <v>79680</v>
      </c>
      <c r="G1580" s="1115" t="n">
        <v>42910</v>
      </c>
      <c r="H1580" s="1115" t="s">
        <v>2850</v>
      </c>
      <c r="I1580" s="1115" t="n">
        <v>41820</v>
      </c>
      <c r="J1580" s="1115" t="s">
        <v>974</v>
      </c>
    </row>
    <row r="1581" customFormat="false" ht="14.1" hidden="false" customHeight="true" outlineLevel="0" collapsed="false">
      <c r="A1581" s="1115" t="n">
        <v>41800</v>
      </c>
      <c r="B1581" s="1115" t="s">
        <v>164</v>
      </c>
      <c r="C1581" s="1115" t="n">
        <v>41800</v>
      </c>
      <c r="D1581" s="1115" t="s">
        <v>1098</v>
      </c>
      <c r="E1581" s="1115" t="s">
        <v>2851</v>
      </c>
      <c r="F1581" s="1115" t="n">
        <v>44680</v>
      </c>
      <c r="G1581" s="1115" t="n">
        <v>42920</v>
      </c>
      <c r="H1581" s="1115" t="s">
        <v>2850</v>
      </c>
      <c r="I1581" s="1115" t="n">
        <v>41840</v>
      </c>
      <c r="J1581" s="1115" t="s">
        <v>974</v>
      </c>
    </row>
    <row r="1582" customFormat="false" ht="14.1" hidden="false" customHeight="true" outlineLevel="0" collapsed="false">
      <c r="A1582" s="1115" t="n">
        <v>41820</v>
      </c>
      <c r="B1582" s="1115" t="s">
        <v>164</v>
      </c>
      <c r="C1582" s="1115" t="n">
        <v>41820</v>
      </c>
      <c r="D1582" s="1115" t="s">
        <v>2802</v>
      </c>
      <c r="E1582" s="1115" t="s">
        <v>162</v>
      </c>
      <c r="F1582" s="1115" t="n">
        <v>15100</v>
      </c>
      <c r="G1582" s="1115" t="n">
        <v>42930</v>
      </c>
      <c r="H1582" s="1115" t="s">
        <v>2302</v>
      </c>
      <c r="I1582" s="1115" t="n">
        <v>41850</v>
      </c>
      <c r="J1582" s="1115" t="s">
        <v>974</v>
      </c>
    </row>
    <row r="1583" customFormat="false" ht="14.1" hidden="false" customHeight="true" outlineLevel="0" collapsed="false">
      <c r="A1583" s="1115" t="n">
        <v>41840</v>
      </c>
      <c r="B1583" s="1115" t="s">
        <v>164</v>
      </c>
      <c r="C1583" s="1115" t="n">
        <v>41840</v>
      </c>
      <c r="D1583" s="1115" t="s">
        <v>2804</v>
      </c>
      <c r="E1583" s="1115" t="s">
        <v>162</v>
      </c>
      <c r="F1583" s="1115" t="n">
        <v>15100</v>
      </c>
      <c r="G1583" s="1115" t="n">
        <v>42950</v>
      </c>
      <c r="H1583" s="1115" t="s">
        <v>2852</v>
      </c>
      <c r="I1583" s="1115" t="n">
        <v>41860</v>
      </c>
      <c r="J1583" s="1115" t="s">
        <v>974</v>
      </c>
    </row>
    <row r="1584" customFormat="false" ht="14.1" hidden="false" customHeight="true" outlineLevel="0" collapsed="false">
      <c r="A1584" s="1115" t="n">
        <v>41850</v>
      </c>
      <c r="B1584" s="1115" t="s">
        <v>164</v>
      </c>
      <c r="C1584" s="1115" t="n">
        <v>41850</v>
      </c>
      <c r="D1584" s="1115" t="s">
        <v>2805</v>
      </c>
      <c r="E1584" s="1115" t="s">
        <v>162</v>
      </c>
      <c r="F1584" s="1115" t="n">
        <v>15110</v>
      </c>
      <c r="G1584" s="1115" t="n">
        <v>43100</v>
      </c>
      <c r="H1584" s="1115" t="s">
        <v>1467</v>
      </c>
      <c r="I1584" s="1115" t="n">
        <v>41880</v>
      </c>
      <c r="J1584" s="1115" t="s">
        <v>974</v>
      </c>
    </row>
    <row r="1585" customFormat="false" ht="14.1" hidden="false" customHeight="true" outlineLevel="0" collapsed="false">
      <c r="A1585" s="1115" t="n">
        <v>41860</v>
      </c>
      <c r="B1585" s="1115" t="s">
        <v>164</v>
      </c>
      <c r="C1585" s="1115" t="n">
        <v>41860</v>
      </c>
      <c r="D1585" s="1115" t="s">
        <v>2806</v>
      </c>
      <c r="E1585" s="1115" t="s">
        <v>162</v>
      </c>
      <c r="F1585" s="1115" t="n">
        <v>15140</v>
      </c>
      <c r="G1585" s="1115" t="n">
        <v>43120</v>
      </c>
      <c r="H1585" s="1115" t="s">
        <v>2853</v>
      </c>
      <c r="I1585" s="1115" t="n">
        <v>41900</v>
      </c>
      <c r="J1585" s="1115" t="s">
        <v>1338</v>
      </c>
    </row>
    <row r="1586" customFormat="false" ht="14.1" hidden="false" customHeight="true" outlineLevel="0" collapsed="false">
      <c r="A1586" s="1115" t="n">
        <v>41880</v>
      </c>
      <c r="B1586" s="1115" t="s">
        <v>164</v>
      </c>
      <c r="C1586" s="1115" t="n">
        <v>41880</v>
      </c>
      <c r="D1586" s="1115" t="s">
        <v>2807</v>
      </c>
      <c r="E1586" s="1115" t="s">
        <v>162</v>
      </c>
      <c r="F1586" s="1115" t="n">
        <v>15150</v>
      </c>
      <c r="G1586" s="1115" t="n">
        <v>43130</v>
      </c>
      <c r="H1586" s="1115" t="s">
        <v>2854</v>
      </c>
      <c r="I1586" s="1115" t="n">
        <v>41920</v>
      </c>
      <c r="J1586" s="1115" t="s">
        <v>1338</v>
      </c>
    </row>
    <row r="1587" customFormat="false" ht="14.1" hidden="false" customHeight="true" outlineLevel="0" collapsed="false">
      <c r="A1587" s="1115" t="n">
        <v>41900</v>
      </c>
      <c r="B1587" s="1115" t="s">
        <v>164</v>
      </c>
      <c r="C1587" s="1115" t="n">
        <v>41900</v>
      </c>
      <c r="D1587" s="1115" t="s">
        <v>1338</v>
      </c>
      <c r="E1587" s="1115" t="s">
        <v>162</v>
      </c>
      <c r="F1587" s="1115" t="n">
        <v>15170</v>
      </c>
      <c r="G1587" s="1115" t="n">
        <v>43140</v>
      </c>
      <c r="H1587" s="1115" t="s">
        <v>2855</v>
      </c>
      <c r="I1587" s="1115" t="n">
        <v>41925</v>
      </c>
      <c r="J1587" s="1115" t="s">
        <v>1338</v>
      </c>
    </row>
    <row r="1588" customFormat="false" ht="14.1" hidden="false" customHeight="true" outlineLevel="0" collapsed="false">
      <c r="A1588" s="1115" t="n">
        <v>41920</v>
      </c>
      <c r="B1588" s="1115" t="s">
        <v>164</v>
      </c>
      <c r="C1588" s="1115" t="n">
        <v>41920</v>
      </c>
      <c r="D1588" s="1115" t="s">
        <v>2436</v>
      </c>
      <c r="E1588" s="1115" t="s">
        <v>162</v>
      </c>
      <c r="F1588" s="1115" t="n">
        <v>15200</v>
      </c>
      <c r="G1588" s="1115" t="n">
        <v>43150</v>
      </c>
      <c r="H1588" s="1115" t="s">
        <v>2856</v>
      </c>
      <c r="I1588" s="1115" t="n">
        <v>41930</v>
      </c>
      <c r="J1588" s="1115" t="s">
        <v>1338</v>
      </c>
    </row>
    <row r="1589" customFormat="false" ht="14.1" hidden="false" customHeight="true" outlineLevel="0" collapsed="false">
      <c r="A1589" s="1115" t="n">
        <v>41925</v>
      </c>
      <c r="B1589" s="1115" t="s">
        <v>164</v>
      </c>
      <c r="C1589" s="1115" t="n">
        <v>41925</v>
      </c>
      <c r="D1589" s="1115" t="s">
        <v>2810</v>
      </c>
      <c r="E1589" s="1115" t="s">
        <v>162</v>
      </c>
      <c r="F1589" s="1115" t="n">
        <v>15210</v>
      </c>
      <c r="G1589" s="1115" t="n">
        <v>43160</v>
      </c>
      <c r="H1589" s="1115" t="s">
        <v>2349</v>
      </c>
      <c r="I1589" s="1115" t="n">
        <v>41940</v>
      </c>
      <c r="J1589" s="1115" t="s">
        <v>1338</v>
      </c>
    </row>
    <row r="1590" customFormat="false" ht="14.1" hidden="false" customHeight="true" outlineLevel="0" collapsed="false">
      <c r="A1590" s="1115" t="n">
        <v>41930</v>
      </c>
      <c r="B1590" s="1115" t="s">
        <v>164</v>
      </c>
      <c r="C1590" s="1115" t="n">
        <v>41930</v>
      </c>
      <c r="D1590" s="1115" t="s">
        <v>2703</v>
      </c>
      <c r="E1590" s="1115" t="s">
        <v>162</v>
      </c>
      <c r="F1590" s="1115" t="n">
        <v>15230</v>
      </c>
      <c r="G1590" s="1115" t="n">
        <v>43170</v>
      </c>
      <c r="H1590" s="1115" t="s">
        <v>1871</v>
      </c>
      <c r="I1590" s="1115" t="n">
        <v>41945</v>
      </c>
      <c r="J1590" s="1115" t="s">
        <v>1338</v>
      </c>
    </row>
    <row r="1591" customFormat="false" ht="14.1" hidden="false" customHeight="true" outlineLevel="0" collapsed="false">
      <c r="A1591" s="1115" t="n">
        <v>41940</v>
      </c>
      <c r="B1591" s="1115" t="s">
        <v>164</v>
      </c>
      <c r="C1591" s="1115" t="n">
        <v>41940</v>
      </c>
      <c r="D1591" s="1115" t="s">
        <v>2812</v>
      </c>
      <c r="E1591" s="1115" t="s">
        <v>162</v>
      </c>
      <c r="F1591" s="1115" t="n">
        <v>15240</v>
      </c>
      <c r="G1591" s="1115" t="n">
        <v>43180</v>
      </c>
      <c r="H1591" s="1115" t="s">
        <v>1542</v>
      </c>
      <c r="I1591" s="1115" t="n">
        <v>41950</v>
      </c>
      <c r="J1591" s="1115" t="s">
        <v>1338</v>
      </c>
    </row>
    <row r="1592" customFormat="false" ht="14.1" hidden="false" customHeight="true" outlineLevel="0" collapsed="false">
      <c r="A1592" s="1115" t="n">
        <v>41945</v>
      </c>
      <c r="B1592" s="1115" t="s">
        <v>164</v>
      </c>
      <c r="C1592" s="1115" t="n">
        <v>41945</v>
      </c>
      <c r="D1592" s="1115" t="s">
        <v>2813</v>
      </c>
      <c r="E1592" s="1115" t="s">
        <v>162</v>
      </c>
      <c r="F1592" s="1115" t="n">
        <v>15300</v>
      </c>
      <c r="G1592" s="1115" t="n">
        <v>43190</v>
      </c>
      <c r="H1592" s="1115" t="s">
        <v>2857</v>
      </c>
      <c r="I1592" s="1115" t="n">
        <v>41970</v>
      </c>
      <c r="J1592" s="1115" t="s">
        <v>1055</v>
      </c>
    </row>
    <row r="1593" customFormat="false" ht="14.1" hidden="false" customHeight="true" outlineLevel="0" collapsed="false">
      <c r="A1593" s="1115" t="n">
        <v>41950</v>
      </c>
      <c r="B1593" s="1115" t="s">
        <v>164</v>
      </c>
      <c r="C1593" s="1115" t="n">
        <v>41950</v>
      </c>
      <c r="D1593" s="1115" t="s">
        <v>2815</v>
      </c>
      <c r="E1593" s="1115" t="s">
        <v>162</v>
      </c>
      <c r="F1593" s="1115" t="n">
        <v>15320</v>
      </c>
      <c r="G1593" s="1115" t="n">
        <v>43210</v>
      </c>
      <c r="H1593" s="1115" t="s">
        <v>1681</v>
      </c>
      <c r="I1593" s="1115" t="n">
        <v>41980</v>
      </c>
      <c r="J1593" s="1115" t="s">
        <v>1055</v>
      </c>
    </row>
    <row r="1594" customFormat="false" ht="14.1" hidden="false" customHeight="true" outlineLevel="0" collapsed="false">
      <c r="A1594" s="1115" t="n">
        <v>41970</v>
      </c>
      <c r="B1594" s="1115" t="s">
        <v>164</v>
      </c>
      <c r="C1594" s="1115" t="n">
        <v>41970</v>
      </c>
      <c r="D1594" s="1115" t="s">
        <v>1826</v>
      </c>
      <c r="E1594" s="1115" t="s">
        <v>162</v>
      </c>
      <c r="F1594" s="1115" t="n">
        <v>15340</v>
      </c>
      <c r="G1594" s="1115" t="n">
        <v>43220</v>
      </c>
      <c r="H1594" s="1115" t="s">
        <v>2858</v>
      </c>
      <c r="I1594" s="1115" t="n">
        <v>42100</v>
      </c>
      <c r="J1594" s="1115" t="s">
        <v>939</v>
      </c>
    </row>
    <row r="1595" customFormat="false" ht="14.1" hidden="false" customHeight="true" outlineLevel="0" collapsed="false">
      <c r="A1595" s="1115" t="n">
        <v>41980</v>
      </c>
      <c r="B1595" s="1115" t="s">
        <v>164</v>
      </c>
      <c r="C1595" s="1115" t="n">
        <v>41980</v>
      </c>
      <c r="D1595" s="1115" t="s">
        <v>2672</v>
      </c>
      <c r="E1595" s="1115" t="s">
        <v>162</v>
      </c>
      <c r="F1595" s="1115" t="n">
        <v>15360</v>
      </c>
      <c r="G1595" s="1115" t="n">
        <v>43230</v>
      </c>
      <c r="H1595" s="1115" t="s">
        <v>2859</v>
      </c>
      <c r="I1595" s="1115" t="n">
        <v>42120</v>
      </c>
      <c r="J1595" s="1115" t="s">
        <v>939</v>
      </c>
    </row>
    <row r="1596" customFormat="false" ht="14.1" hidden="false" customHeight="true" outlineLevel="0" collapsed="false">
      <c r="A1596" s="1115" t="n">
        <v>42100</v>
      </c>
      <c r="B1596" s="1115" t="s">
        <v>164</v>
      </c>
      <c r="C1596" s="1115" t="n">
        <v>42100</v>
      </c>
      <c r="D1596" s="1115" t="s">
        <v>939</v>
      </c>
      <c r="E1596" s="1115" t="s">
        <v>162</v>
      </c>
      <c r="F1596" s="1115" t="n">
        <v>15500</v>
      </c>
      <c r="G1596" s="1115" t="n">
        <v>43240</v>
      </c>
      <c r="H1596" s="1115" t="s">
        <v>2860</v>
      </c>
      <c r="I1596" s="1115" t="n">
        <v>42140</v>
      </c>
      <c r="J1596" s="1115" t="s">
        <v>1055</v>
      </c>
    </row>
    <row r="1597" customFormat="false" ht="14.1" hidden="false" customHeight="true" outlineLevel="0" collapsed="false">
      <c r="A1597" s="1115" t="n">
        <v>42120</v>
      </c>
      <c r="B1597" s="1115" t="s">
        <v>164</v>
      </c>
      <c r="C1597" s="1115" t="n">
        <v>42120</v>
      </c>
      <c r="D1597" s="1115" t="s">
        <v>939</v>
      </c>
      <c r="E1597" s="1115" t="s">
        <v>162</v>
      </c>
      <c r="F1597" s="1115" t="n">
        <v>15520</v>
      </c>
      <c r="G1597" s="1115" t="n">
        <v>43250</v>
      </c>
      <c r="H1597" s="1115" t="s">
        <v>2517</v>
      </c>
      <c r="I1597" s="1115" t="n">
        <v>42220</v>
      </c>
      <c r="J1597" s="1115" t="s">
        <v>1055</v>
      </c>
    </row>
    <row r="1598" customFormat="false" ht="14.1" hidden="false" customHeight="true" outlineLevel="0" collapsed="false">
      <c r="A1598" s="1115" t="n">
        <v>42140</v>
      </c>
      <c r="B1598" s="1115" t="s">
        <v>164</v>
      </c>
      <c r="C1598" s="1115" t="n">
        <v>42140</v>
      </c>
      <c r="D1598" s="1115" t="s">
        <v>2048</v>
      </c>
      <c r="E1598" s="1115" t="s">
        <v>162</v>
      </c>
      <c r="F1598" s="1115" t="n">
        <v>15610</v>
      </c>
      <c r="G1598" s="1115" t="n">
        <v>43270</v>
      </c>
      <c r="H1598" s="1115" t="s">
        <v>2201</v>
      </c>
      <c r="I1598" s="1115" t="n">
        <v>42220</v>
      </c>
      <c r="J1598" s="1115" t="s">
        <v>1055</v>
      </c>
    </row>
    <row r="1599" customFormat="false" ht="14.1" hidden="false" customHeight="true" outlineLevel="0" collapsed="false">
      <c r="A1599" s="1115" t="n">
        <v>42220</v>
      </c>
      <c r="B1599" s="1115" t="s">
        <v>164</v>
      </c>
      <c r="C1599" s="1115" t="n">
        <v>42220</v>
      </c>
      <c r="D1599" s="1115" t="s">
        <v>2148</v>
      </c>
      <c r="E1599" s="1115" t="s">
        <v>162</v>
      </c>
      <c r="F1599" s="1115" t="n">
        <v>15680</v>
      </c>
      <c r="G1599" s="1115" t="n">
        <v>43300</v>
      </c>
      <c r="H1599" s="1115" t="s">
        <v>981</v>
      </c>
      <c r="I1599" s="1115" t="n">
        <v>42250</v>
      </c>
      <c r="J1599" s="1115" t="s">
        <v>1055</v>
      </c>
    </row>
    <row r="1600" customFormat="false" ht="14.1" hidden="false" customHeight="true" outlineLevel="0" collapsed="false">
      <c r="A1600" s="1115" t="n">
        <v>42220</v>
      </c>
      <c r="B1600" s="1115" t="s">
        <v>164</v>
      </c>
      <c r="C1600" s="1115" t="n">
        <v>42220</v>
      </c>
      <c r="D1600" s="1115" t="s">
        <v>1907</v>
      </c>
      <c r="E1600" s="1115" t="s">
        <v>162</v>
      </c>
      <c r="F1600" s="1115" t="n">
        <v>15700</v>
      </c>
      <c r="G1600" s="1115" t="n">
        <v>43320</v>
      </c>
      <c r="H1600" s="1115" t="s">
        <v>2228</v>
      </c>
      <c r="I1600" s="1115" t="n">
        <v>42280</v>
      </c>
      <c r="J1600" s="1115" t="s">
        <v>1055</v>
      </c>
    </row>
    <row r="1601" customFormat="false" ht="14.1" hidden="false" customHeight="true" outlineLevel="0" collapsed="false">
      <c r="A1601" s="1115" t="n">
        <v>42250</v>
      </c>
      <c r="B1601" s="1115" t="s">
        <v>164</v>
      </c>
      <c r="C1601" s="1115" t="n">
        <v>42250</v>
      </c>
      <c r="D1601" s="1115" t="s">
        <v>882</v>
      </c>
      <c r="E1601" s="1115" t="s">
        <v>162</v>
      </c>
      <c r="F1601" s="1115" t="n">
        <v>15780</v>
      </c>
      <c r="G1601" s="1115" t="n">
        <v>43340</v>
      </c>
      <c r="H1601" s="1115" t="s">
        <v>2227</v>
      </c>
      <c r="I1601" s="1115" t="n">
        <v>42300</v>
      </c>
      <c r="J1601" s="1115" t="s">
        <v>1055</v>
      </c>
    </row>
    <row r="1602" customFormat="false" ht="14.1" hidden="false" customHeight="true" outlineLevel="0" collapsed="false">
      <c r="A1602" s="1115" t="n">
        <v>42280</v>
      </c>
      <c r="B1602" s="1115" t="s">
        <v>164</v>
      </c>
      <c r="C1602" s="1115" t="n">
        <v>42280</v>
      </c>
      <c r="D1602" s="1115" t="s">
        <v>2823</v>
      </c>
      <c r="E1602" s="1115" t="s">
        <v>162</v>
      </c>
      <c r="F1602" s="1115" t="n">
        <v>15800</v>
      </c>
      <c r="G1602" s="1115" t="n">
        <v>43370</v>
      </c>
      <c r="H1602" s="1115" t="s">
        <v>1705</v>
      </c>
      <c r="I1602" s="1115" t="n">
        <v>42330</v>
      </c>
      <c r="J1602" s="1115" t="s">
        <v>1055</v>
      </c>
    </row>
    <row r="1603" customFormat="false" ht="14.1" hidden="false" customHeight="true" outlineLevel="0" collapsed="false">
      <c r="A1603" s="1115" t="n">
        <v>42300</v>
      </c>
      <c r="B1603" s="1115" t="s">
        <v>164</v>
      </c>
      <c r="C1603" s="1115" t="n">
        <v>42300</v>
      </c>
      <c r="D1603" s="1115" t="s">
        <v>942</v>
      </c>
      <c r="E1603" s="1115" t="s">
        <v>162</v>
      </c>
      <c r="F1603" s="1115" t="n">
        <v>15810</v>
      </c>
      <c r="G1603" s="1115" t="n">
        <v>43380</v>
      </c>
      <c r="H1603" s="1115" t="s">
        <v>2861</v>
      </c>
      <c r="I1603" s="1115" t="n">
        <v>42420</v>
      </c>
      <c r="J1603" s="1115" t="s">
        <v>1055</v>
      </c>
    </row>
    <row r="1604" customFormat="false" ht="14.1" hidden="false" customHeight="true" outlineLevel="0" collapsed="false">
      <c r="A1604" s="1115" t="n">
        <v>42330</v>
      </c>
      <c r="B1604" s="1115" t="s">
        <v>164</v>
      </c>
      <c r="C1604" s="1115" t="n">
        <v>42330</v>
      </c>
      <c r="D1604" s="1115" t="s">
        <v>1310</v>
      </c>
      <c r="E1604" s="1115" t="s">
        <v>162</v>
      </c>
      <c r="F1604" s="1115" t="n">
        <v>15820</v>
      </c>
      <c r="G1604" s="1115" t="n">
        <v>43390</v>
      </c>
      <c r="H1604" s="1115" t="s">
        <v>2862</v>
      </c>
      <c r="I1604" s="1115" t="n">
        <v>42440</v>
      </c>
      <c r="J1604" s="1115" t="s">
        <v>1055</v>
      </c>
    </row>
    <row r="1605" customFormat="false" ht="14.1" hidden="false" customHeight="true" outlineLevel="0" collapsed="false">
      <c r="A1605" s="1115" t="n">
        <v>42420</v>
      </c>
      <c r="B1605" s="1115" t="s">
        <v>164</v>
      </c>
      <c r="C1605" s="1115" t="n">
        <v>42420</v>
      </c>
      <c r="D1605" s="1115" t="s">
        <v>1791</v>
      </c>
      <c r="E1605" s="1115" t="s">
        <v>162</v>
      </c>
      <c r="F1605" s="1115" t="n">
        <v>15830</v>
      </c>
      <c r="G1605" s="1115" t="n">
        <v>43410</v>
      </c>
      <c r="H1605" s="1115" t="s">
        <v>2863</v>
      </c>
      <c r="I1605" s="1115" t="n">
        <v>42540</v>
      </c>
      <c r="J1605" s="1115" t="s">
        <v>1055</v>
      </c>
    </row>
    <row r="1606" customFormat="false" ht="14.1" hidden="false" customHeight="true" outlineLevel="0" collapsed="false">
      <c r="A1606" s="1115" t="n">
        <v>42440</v>
      </c>
      <c r="B1606" s="1115" t="s">
        <v>164</v>
      </c>
      <c r="C1606" s="1115" t="n">
        <v>42440</v>
      </c>
      <c r="D1606" s="1115" t="s">
        <v>2587</v>
      </c>
      <c r="E1606" s="1115" t="s">
        <v>162</v>
      </c>
      <c r="F1606" s="1115" t="n">
        <v>15840</v>
      </c>
      <c r="G1606" s="1115" t="n">
        <v>43420</v>
      </c>
      <c r="H1606" s="1115" t="s">
        <v>2676</v>
      </c>
      <c r="I1606" s="1115" t="n">
        <v>42560</v>
      </c>
      <c r="J1606" s="1115" t="s">
        <v>1055</v>
      </c>
    </row>
    <row r="1607" customFormat="false" ht="14.1" hidden="false" customHeight="true" outlineLevel="0" collapsed="false">
      <c r="A1607" s="1115" t="n">
        <v>42540</v>
      </c>
      <c r="B1607" s="1115" t="s">
        <v>164</v>
      </c>
      <c r="C1607" s="1115" t="n">
        <v>42540</v>
      </c>
      <c r="D1607" s="1115" t="s">
        <v>2180</v>
      </c>
      <c r="E1607" s="1115" t="s">
        <v>162</v>
      </c>
      <c r="F1607" s="1115" t="n">
        <v>15850</v>
      </c>
      <c r="G1607" s="1115" t="n">
        <v>43430</v>
      </c>
      <c r="H1607" s="1115" t="s">
        <v>2864</v>
      </c>
      <c r="I1607" s="1115" t="n">
        <v>42570</v>
      </c>
      <c r="J1607" s="1115" t="s">
        <v>1055</v>
      </c>
    </row>
    <row r="1608" customFormat="false" ht="14.1" hidden="false" customHeight="true" outlineLevel="0" collapsed="false">
      <c r="A1608" s="1115" t="n">
        <v>42560</v>
      </c>
      <c r="B1608" s="1115" t="s">
        <v>164</v>
      </c>
      <c r="C1608" s="1115" t="n">
        <v>42560</v>
      </c>
      <c r="D1608" s="1115" t="s">
        <v>2829</v>
      </c>
      <c r="E1608" s="1115" t="s">
        <v>162</v>
      </c>
      <c r="F1608" s="1115" t="n">
        <v>15900</v>
      </c>
      <c r="G1608" s="1115" t="n">
        <v>43440</v>
      </c>
      <c r="H1608" s="1115" t="s">
        <v>1400</v>
      </c>
      <c r="I1608" s="1115" t="n">
        <v>42600</v>
      </c>
      <c r="J1608" s="1115" t="s">
        <v>1239</v>
      </c>
    </row>
    <row r="1609" customFormat="false" ht="14.1" hidden="false" customHeight="true" outlineLevel="0" collapsed="false">
      <c r="A1609" s="1115" t="n">
        <v>42570</v>
      </c>
      <c r="B1609" s="1115" t="s">
        <v>164</v>
      </c>
      <c r="C1609" s="1115" t="n">
        <v>42570</v>
      </c>
      <c r="D1609" s="1115" t="s">
        <v>938</v>
      </c>
      <c r="E1609" s="1115" t="s">
        <v>162</v>
      </c>
      <c r="F1609" s="1115" t="n">
        <v>15950</v>
      </c>
      <c r="G1609" s="1115" t="n">
        <v>43450</v>
      </c>
      <c r="H1609" s="1115" t="s">
        <v>2865</v>
      </c>
      <c r="I1609" s="1115" t="n">
        <v>42610</v>
      </c>
      <c r="J1609" s="1115" t="s">
        <v>1239</v>
      </c>
    </row>
    <row r="1610" customFormat="false" ht="14.1" hidden="false" customHeight="true" outlineLevel="0" collapsed="false">
      <c r="A1610" s="1115" t="n">
        <v>42600</v>
      </c>
      <c r="B1610" s="1115" t="s">
        <v>164</v>
      </c>
      <c r="C1610" s="1115" t="n">
        <v>42600</v>
      </c>
      <c r="D1610" s="1115" t="s">
        <v>1239</v>
      </c>
      <c r="E1610" s="1115" t="s">
        <v>2713</v>
      </c>
      <c r="F1610" s="1115" t="n">
        <v>39740</v>
      </c>
      <c r="G1610" s="1115" t="n">
        <v>43480</v>
      </c>
      <c r="H1610" s="1115" t="s">
        <v>2866</v>
      </c>
      <c r="I1610" s="1115" t="n">
        <v>42660</v>
      </c>
      <c r="J1610" s="1115" t="s">
        <v>1239</v>
      </c>
    </row>
    <row r="1611" customFormat="false" ht="14.1" hidden="false" customHeight="true" outlineLevel="0" collapsed="false">
      <c r="A1611" s="1115" t="n">
        <v>42610</v>
      </c>
      <c r="B1611" s="1115" t="s">
        <v>164</v>
      </c>
      <c r="C1611" s="1115" t="n">
        <v>42610</v>
      </c>
      <c r="D1611" s="1115" t="s">
        <v>2831</v>
      </c>
      <c r="E1611" s="1115" t="s">
        <v>2867</v>
      </c>
      <c r="F1611" s="1115" t="n">
        <v>83810</v>
      </c>
      <c r="G1611" s="1115" t="n">
        <v>43490</v>
      </c>
      <c r="H1611" s="1115" t="s">
        <v>2209</v>
      </c>
      <c r="I1611" s="1115" t="n">
        <v>42680</v>
      </c>
      <c r="J1611" s="1115" t="s">
        <v>1239</v>
      </c>
    </row>
    <row r="1612" customFormat="false" ht="14.1" hidden="false" customHeight="true" outlineLevel="0" collapsed="false">
      <c r="A1612" s="1115" t="n">
        <v>42660</v>
      </c>
      <c r="B1612" s="1115" t="s">
        <v>164</v>
      </c>
      <c r="C1612" s="1115" t="n">
        <v>42660</v>
      </c>
      <c r="D1612" s="1115" t="s">
        <v>2833</v>
      </c>
      <c r="E1612" s="1115" t="s">
        <v>2108</v>
      </c>
      <c r="F1612" s="1115" t="n">
        <v>25440</v>
      </c>
      <c r="G1612" s="1115" t="n">
        <v>43500</v>
      </c>
      <c r="H1612" s="1115" t="s">
        <v>1002</v>
      </c>
      <c r="I1612" s="1115" t="n">
        <v>42700</v>
      </c>
      <c r="J1612" s="1115" t="s">
        <v>1055</v>
      </c>
    </row>
    <row r="1613" customFormat="false" ht="14.1" hidden="false" customHeight="true" outlineLevel="0" collapsed="false">
      <c r="A1613" s="1115" t="n">
        <v>42680</v>
      </c>
      <c r="B1613" s="1115" t="s">
        <v>164</v>
      </c>
      <c r="C1613" s="1115" t="n">
        <v>42680</v>
      </c>
      <c r="D1613" s="1115" t="s">
        <v>2835</v>
      </c>
      <c r="E1613" s="1115" t="s">
        <v>1147</v>
      </c>
      <c r="F1613" s="1115" t="n">
        <v>66400</v>
      </c>
      <c r="G1613" s="1115" t="n">
        <v>43520</v>
      </c>
      <c r="H1613" s="1115" t="s">
        <v>2426</v>
      </c>
      <c r="I1613" s="1115" t="n">
        <v>42700</v>
      </c>
      <c r="J1613" s="1115" t="s">
        <v>1649</v>
      </c>
    </row>
    <row r="1614" customFormat="false" ht="14.1" hidden="false" customHeight="true" outlineLevel="0" collapsed="false">
      <c r="A1614" s="1115" t="n">
        <v>42700</v>
      </c>
      <c r="B1614" s="1115" t="s">
        <v>164</v>
      </c>
      <c r="C1614" s="1115" t="n">
        <v>42700</v>
      </c>
      <c r="D1614" s="1115" t="s">
        <v>1055</v>
      </c>
      <c r="E1614" s="1115" t="s">
        <v>1147</v>
      </c>
      <c r="F1614" s="1115" t="n">
        <v>66410</v>
      </c>
      <c r="G1614" s="1115" t="n">
        <v>43540</v>
      </c>
      <c r="H1614" s="1115" t="s">
        <v>2868</v>
      </c>
      <c r="I1614" s="1115" t="n">
        <v>42720</v>
      </c>
      <c r="J1614" s="1115" t="s">
        <v>1055</v>
      </c>
    </row>
    <row r="1615" customFormat="false" ht="14.1" hidden="false" customHeight="true" outlineLevel="0" collapsed="false">
      <c r="A1615" s="1115" t="n">
        <v>42700</v>
      </c>
      <c r="B1615" s="1115" t="s">
        <v>164</v>
      </c>
      <c r="C1615" s="1115" t="n">
        <v>42700</v>
      </c>
      <c r="D1615" s="1115" t="s">
        <v>1055</v>
      </c>
      <c r="E1615" s="1115" t="s">
        <v>2869</v>
      </c>
      <c r="F1615" s="1115" t="n">
        <v>56730</v>
      </c>
      <c r="G1615" s="1115" t="n">
        <v>43560</v>
      </c>
      <c r="H1615" s="1115" t="s">
        <v>2870</v>
      </c>
      <c r="I1615" s="1115" t="n">
        <v>42730</v>
      </c>
      <c r="J1615" s="1115" t="s">
        <v>1055</v>
      </c>
    </row>
    <row r="1616" customFormat="false" ht="14.1" hidden="false" customHeight="true" outlineLevel="0" collapsed="false">
      <c r="A1616" s="1115" t="n">
        <v>42720</v>
      </c>
      <c r="B1616" s="1115" t="s">
        <v>164</v>
      </c>
      <c r="C1616" s="1115" t="n">
        <v>42720</v>
      </c>
      <c r="D1616" s="1115" t="s">
        <v>1055</v>
      </c>
      <c r="E1616" s="1115" t="s">
        <v>2871</v>
      </c>
      <c r="F1616" s="1115" t="n">
        <v>69310</v>
      </c>
      <c r="G1616" s="1115" t="n">
        <v>43610</v>
      </c>
      <c r="H1616" s="1115" t="s">
        <v>743</v>
      </c>
      <c r="I1616" s="1115" t="n">
        <v>42760</v>
      </c>
      <c r="J1616" s="1115" t="s">
        <v>1055</v>
      </c>
    </row>
    <row r="1617" customFormat="false" ht="14.1" hidden="false" customHeight="true" outlineLevel="0" collapsed="false">
      <c r="A1617" s="1115" t="n">
        <v>42730</v>
      </c>
      <c r="B1617" s="1115" t="s">
        <v>164</v>
      </c>
      <c r="C1617" s="1115" t="n">
        <v>42730</v>
      </c>
      <c r="D1617" s="1115" t="s">
        <v>2067</v>
      </c>
      <c r="E1617" s="1115" t="s">
        <v>2568</v>
      </c>
      <c r="F1617" s="1115" t="n">
        <v>36660</v>
      </c>
      <c r="G1617" s="1115" t="n">
        <v>43620</v>
      </c>
      <c r="H1617" s="1115" t="s">
        <v>2872</v>
      </c>
      <c r="I1617" s="1115" t="n">
        <v>42790</v>
      </c>
      <c r="J1617" s="1115" t="s">
        <v>1055</v>
      </c>
    </row>
    <row r="1618" customFormat="false" ht="14.1" hidden="false" customHeight="true" outlineLevel="0" collapsed="false">
      <c r="A1618" s="1115" t="n">
        <v>42760</v>
      </c>
      <c r="B1618" s="1115" t="s">
        <v>164</v>
      </c>
      <c r="C1618" s="1115" t="n">
        <v>42760</v>
      </c>
      <c r="D1618" s="1115" t="s">
        <v>2398</v>
      </c>
      <c r="E1618" s="1115" t="s">
        <v>1148</v>
      </c>
      <c r="F1618" s="1115" t="n">
        <v>23800</v>
      </c>
      <c r="G1618" s="1115" t="n">
        <v>43640</v>
      </c>
      <c r="H1618" s="1115" t="s">
        <v>1809</v>
      </c>
      <c r="I1618" s="1115" t="n">
        <v>42800</v>
      </c>
      <c r="J1618" s="1115" t="s">
        <v>1055</v>
      </c>
    </row>
    <row r="1619" customFormat="false" ht="14.1" hidden="false" customHeight="true" outlineLevel="0" collapsed="false">
      <c r="A1619" s="1115" t="n">
        <v>42790</v>
      </c>
      <c r="B1619" s="1115" t="s">
        <v>164</v>
      </c>
      <c r="C1619" s="1115" t="n">
        <v>42790</v>
      </c>
      <c r="D1619" s="1115" t="s">
        <v>2839</v>
      </c>
      <c r="E1619" s="1115" t="s">
        <v>2873</v>
      </c>
      <c r="F1619" s="1115" t="n">
        <v>62170</v>
      </c>
      <c r="G1619" s="1115" t="n">
        <v>43660</v>
      </c>
      <c r="H1619" s="1115" t="s">
        <v>2874</v>
      </c>
      <c r="I1619" s="1115" t="n">
        <v>42820</v>
      </c>
      <c r="J1619" s="1115" t="s">
        <v>1055</v>
      </c>
    </row>
    <row r="1620" customFormat="false" ht="14.1" hidden="false" customHeight="true" outlineLevel="0" collapsed="false">
      <c r="A1620" s="1115" t="n">
        <v>42800</v>
      </c>
      <c r="B1620" s="1115" t="s">
        <v>164</v>
      </c>
      <c r="C1620" s="1115" t="n">
        <v>42800</v>
      </c>
      <c r="D1620" s="1115" t="s">
        <v>1279</v>
      </c>
      <c r="E1620" s="1115" t="s">
        <v>2873</v>
      </c>
      <c r="F1620" s="1115" t="n">
        <v>62170</v>
      </c>
      <c r="G1620" s="1115" t="n">
        <v>43680</v>
      </c>
      <c r="H1620" s="1115" t="s">
        <v>2875</v>
      </c>
      <c r="I1620" s="1115" t="n">
        <v>42830</v>
      </c>
      <c r="J1620" s="1115" t="s">
        <v>1055</v>
      </c>
    </row>
    <row r="1621" customFormat="false" ht="14.1" hidden="false" customHeight="true" outlineLevel="0" collapsed="false">
      <c r="A1621" s="1115" t="n">
        <v>42820</v>
      </c>
      <c r="B1621" s="1115" t="s">
        <v>164</v>
      </c>
      <c r="C1621" s="1115" t="n">
        <v>42820</v>
      </c>
      <c r="D1621" s="1115" t="s">
        <v>2842</v>
      </c>
      <c r="E1621" s="1115" t="s">
        <v>2876</v>
      </c>
      <c r="F1621" s="1115" t="n">
        <v>62840</v>
      </c>
      <c r="G1621" s="1115" t="n">
        <v>43700</v>
      </c>
      <c r="H1621" s="1115" t="s">
        <v>1137</v>
      </c>
      <c r="I1621" s="1115" t="n">
        <v>42840</v>
      </c>
      <c r="J1621" s="1115" t="s">
        <v>1055</v>
      </c>
    </row>
    <row r="1622" customFormat="false" ht="14.1" hidden="false" customHeight="true" outlineLevel="0" collapsed="false">
      <c r="A1622" s="1115" t="n">
        <v>42830</v>
      </c>
      <c r="B1622" s="1115" t="s">
        <v>164</v>
      </c>
      <c r="C1622" s="1115" t="n">
        <v>42830</v>
      </c>
      <c r="D1622" s="1115" t="s">
        <v>2844</v>
      </c>
      <c r="E1622" s="1115" t="s">
        <v>2458</v>
      </c>
      <c r="F1622" s="1115" t="n">
        <v>34110</v>
      </c>
      <c r="G1622" s="1115" t="n">
        <v>43720</v>
      </c>
      <c r="H1622" s="1115" t="s">
        <v>2696</v>
      </c>
      <c r="I1622" s="1115" t="n">
        <v>42850</v>
      </c>
      <c r="J1622" s="1115" t="s">
        <v>1055</v>
      </c>
    </row>
    <row r="1623" customFormat="false" ht="14.1" hidden="false" customHeight="true" outlineLevel="0" collapsed="false">
      <c r="A1623" s="1115" t="n">
        <v>42840</v>
      </c>
      <c r="B1623" s="1115" t="s">
        <v>164</v>
      </c>
      <c r="C1623" s="1115" t="n">
        <v>42840</v>
      </c>
      <c r="D1623" s="1115" t="s">
        <v>2518</v>
      </c>
      <c r="E1623" s="1115" t="s">
        <v>2877</v>
      </c>
      <c r="F1623" s="1115" t="n">
        <v>47240</v>
      </c>
      <c r="G1623" s="1115" t="n">
        <v>43740</v>
      </c>
      <c r="H1623" s="1115" t="s">
        <v>2878</v>
      </c>
      <c r="I1623" s="1115" t="n">
        <v>42870</v>
      </c>
      <c r="J1623" s="1115" t="s">
        <v>1055</v>
      </c>
    </row>
    <row r="1624" customFormat="false" ht="14.1" hidden="false" customHeight="true" outlineLevel="0" collapsed="false">
      <c r="A1624" s="1115" t="n">
        <v>42850</v>
      </c>
      <c r="B1624" s="1115" t="s">
        <v>164</v>
      </c>
      <c r="C1624" s="1115" t="n">
        <v>42850</v>
      </c>
      <c r="D1624" s="1115" t="s">
        <v>2847</v>
      </c>
      <c r="E1624" s="1115" t="s">
        <v>2857</v>
      </c>
      <c r="F1624" s="1115" t="n">
        <v>43190</v>
      </c>
      <c r="G1624" s="1115" t="n">
        <v>43760</v>
      </c>
      <c r="H1624" s="1115" t="s">
        <v>2595</v>
      </c>
      <c r="I1624" s="1115" t="n">
        <v>42880</v>
      </c>
      <c r="J1624" s="1115" t="s">
        <v>1055</v>
      </c>
    </row>
    <row r="1625" customFormat="false" ht="14.1" hidden="false" customHeight="true" outlineLevel="0" collapsed="false">
      <c r="A1625" s="1115" t="n">
        <v>42870</v>
      </c>
      <c r="B1625" s="1115" t="s">
        <v>164</v>
      </c>
      <c r="C1625" s="1115" t="n">
        <v>42870</v>
      </c>
      <c r="D1625" s="1115" t="s">
        <v>2606</v>
      </c>
      <c r="E1625" s="1115" t="s">
        <v>2879</v>
      </c>
      <c r="F1625" s="1115" t="n">
        <v>54720</v>
      </c>
      <c r="G1625" s="1115" t="n">
        <v>43800</v>
      </c>
      <c r="H1625" s="1115" t="s">
        <v>1089</v>
      </c>
      <c r="I1625" s="1115" t="n">
        <v>42910</v>
      </c>
      <c r="J1625" s="1115" t="s">
        <v>1055</v>
      </c>
    </row>
    <row r="1626" customFormat="false" ht="14.1" hidden="false" customHeight="true" outlineLevel="0" collapsed="false">
      <c r="A1626" s="1115" t="n">
        <v>42880</v>
      </c>
      <c r="B1626" s="1115" t="s">
        <v>164</v>
      </c>
      <c r="C1626" s="1115" t="n">
        <v>42880</v>
      </c>
      <c r="D1626" s="1115" t="s">
        <v>2848</v>
      </c>
      <c r="E1626" s="1115" t="s">
        <v>2203</v>
      </c>
      <c r="F1626" s="1115" t="n">
        <v>27610</v>
      </c>
      <c r="G1626" s="1115" t="n">
        <v>43820</v>
      </c>
      <c r="H1626" s="1115" t="s">
        <v>2880</v>
      </c>
      <c r="I1626" s="1115" t="n">
        <v>42920</v>
      </c>
      <c r="J1626" s="1115" t="s">
        <v>1055</v>
      </c>
    </row>
    <row r="1627" customFormat="false" ht="14.1" hidden="false" customHeight="true" outlineLevel="0" collapsed="false">
      <c r="A1627" s="1115" t="n">
        <v>42910</v>
      </c>
      <c r="B1627" s="1115" t="s">
        <v>164</v>
      </c>
      <c r="C1627" s="1115" t="n">
        <v>42910</v>
      </c>
      <c r="D1627" s="1115" t="s">
        <v>2850</v>
      </c>
      <c r="E1627" s="1115" t="s">
        <v>2881</v>
      </c>
      <c r="F1627" s="1115" t="n">
        <v>71950</v>
      </c>
      <c r="G1627" s="1115" t="n">
        <v>43840</v>
      </c>
      <c r="H1627" s="1115" t="s">
        <v>2882</v>
      </c>
      <c r="I1627" s="1115" t="n">
        <v>42930</v>
      </c>
      <c r="J1627" s="1115" t="s">
        <v>1055</v>
      </c>
    </row>
    <row r="1628" customFormat="false" ht="14.1" hidden="false" customHeight="true" outlineLevel="0" collapsed="false">
      <c r="A1628" s="1115" t="n">
        <v>42920</v>
      </c>
      <c r="B1628" s="1115" t="s">
        <v>164</v>
      </c>
      <c r="C1628" s="1115" t="n">
        <v>42920</v>
      </c>
      <c r="D1628" s="1115" t="s">
        <v>2850</v>
      </c>
      <c r="E1628" s="1115" t="s">
        <v>1149</v>
      </c>
      <c r="F1628" s="1115" t="n">
        <v>16900</v>
      </c>
      <c r="G1628" s="1115" t="n">
        <v>43860</v>
      </c>
      <c r="H1628" s="1115" t="s">
        <v>2846</v>
      </c>
      <c r="I1628" s="1115" t="n">
        <v>42950</v>
      </c>
      <c r="J1628" s="1115" t="s">
        <v>1055</v>
      </c>
    </row>
    <row r="1629" customFormat="false" ht="14.1" hidden="false" customHeight="true" outlineLevel="0" collapsed="false">
      <c r="A1629" s="1115" t="n">
        <v>42930</v>
      </c>
      <c r="B1629" s="1115" t="s">
        <v>164</v>
      </c>
      <c r="C1629" s="1115" t="n">
        <v>42930</v>
      </c>
      <c r="D1629" s="1115" t="s">
        <v>2302</v>
      </c>
      <c r="E1629" s="1115" t="s">
        <v>2883</v>
      </c>
      <c r="F1629" s="1115" t="n">
        <v>86820</v>
      </c>
      <c r="G1629" s="1115" t="n">
        <v>43900</v>
      </c>
      <c r="H1629" s="1115" t="s">
        <v>1072</v>
      </c>
      <c r="I1629" s="1115" t="n">
        <v>43100</v>
      </c>
      <c r="J1629" s="1115" t="s">
        <v>1055</v>
      </c>
    </row>
    <row r="1630" customFormat="false" ht="14.1" hidden="false" customHeight="true" outlineLevel="0" collapsed="false">
      <c r="A1630" s="1115" t="n">
        <v>42950</v>
      </c>
      <c r="B1630" s="1115" t="s">
        <v>164</v>
      </c>
      <c r="C1630" s="1115" t="n">
        <v>42950</v>
      </c>
      <c r="D1630" s="1115" t="s">
        <v>2852</v>
      </c>
      <c r="E1630" s="1115" t="s">
        <v>2712</v>
      </c>
      <c r="F1630" s="1115" t="n">
        <v>39730</v>
      </c>
      <c r="G1630" s="1115" t="n">
        <v>43940</v>
      </c>
      <c r="H1630" s="1115" t="s">
        <v>2884</v>
      </c>
      <c r="I1630" s="1115" t="n">
        <v>43120</v>
      </c>
      <c r="J1630" s="1115" t="s">
        <v>1055</v>
      </c>
    </row>
    <row r="1631" customFormat="false" ht="14.1" hidden="false" customHeight="true" outlineLevel="0" collapsed="false">
      <c r="A1631" s="1115" t="n">
        <v>43100</v>
      </c>
      <c r="B1631" s="1115" t="s">
        <v>164</v>
      </c>
      <c r="C1631" s="1115" t="n">
        <v>43100</v>
      </c>
      <c r="D1631" s="1115" t="s">
        <v>1467</v>
      </c>
      <c r="E1631" s="1115" t="s">
        <v>2885</v>
      </c>
      <c r="F1631" s="1115" t="n">
        <v>76780</v>
      </c>
      <c r="G1631" s="1115" t="n">
        <v>43960</v>
      </c>
      <c r="H1631" s="1115" t="s">
        <v>2886</v>
      </c>
      <c r="I1631" s="1115" t="n">
        <v>43130</v>
      </c>
      <c r="J1631" s="1115" t="s">
        <v>1055</v>
      </c>
    </row>
    <row r="1632" customFormat="false" ht="14.1" hidden="false" customHeight="true" outlineLevel="0" collapsed="false">
      <c r="A1632" s="1115" t="n">
        <v>43120</v>
      </c>
      <c r="B1632" s="1115" t="s">
        <v>164</v>
      </c>
      <c r="C1632" s="1115" t="n">
        <v>43120</v>
      </c>
      <c r="D1632" s="1115" t="s">
        <v>2853</v>
      </c>
      <c r="E1632" s="1115" t="s">
        <v>2887</v>
      </c>
      <c r="F1632" s="1115" t="n">
        <v>95170</v>
      </c>
      <c r="G1632" s="1115" t="n">
        <v>44100</v>
      </c>
      <c r="H1632" s="1115" t="s">
        <v>1651</v>
      </c>
      <c r="I1632" s="1115" t="n">
        <v>43140</v>
      </c>
      <c r="J1632" s="1115" t="s">
        <v>1055</v>
      </c>
    </row>
    <row r="1633" customFormat="false" ht="14.1" hidden="false" customHeight="true" outlineLevel="0" collapsed="false">
      <c r="A1633" s="1115" t="n">
        <v>43130</v>
      </c>
      <c r="B1633" s="1115" t="s">
        <v>164</v>
      </c>
      <c r="C1633" s="1115" t="n">
        <v>43130</v>
      </c>
      <c r="D1633" s="1115" t="s">
        <v>2854</v>
      </c>
      <c r="E1633" s="1115" t="s">
        <v>2888</v>
      </c>
      <c r="F1633" s="1115" t="n">
        <v>83260</v>
      </c>
      <c r="G1633" s="1115" t="n">
        <v>44120</v>
      </c>
      <c r="H1633" s="1115" t="s">
        <v>1651</v>
      </c>
      <c r="I1633" s="1115" t="n">
        <v>43150</v>
      </c>
      <c r="J1633" s="1115" t="s">
        <v>1055</v>
      </c>
    </row>
    <row r="1634" customFormat="false" ht="14.1" hidden="false" customHeight="true" outlineLevel="0" collapsed="false">
      <c r="A1634" s="1115" t="n">
        <v>43140</v>
      </c>
      <c r="B1634" s="1115" t="s">
        <v>164</v>
      </c>
      <c r="C1634" s="1115" t="n">
        <v>43140</v>
      </c>
      <c r="D1634" s="1115" t="s">
        <v>2855</v>
      </c>
      <c r="E1634" s="1115" t="s">
        <v>2889</v>
      </c>
      <c r="F1634" s="1115" t="n">
        <v>72440</v>
      </c>
      <c r="G1634" s="1115" t="n">
        <v>44130</v>
      </c>
      <c r="H1634" s="1115" t="s">
        <v>2890</v>
      </c>
      <c r="I1634" s="1115" t="n">
        <v>43160</v>
      </c>
      <c r="J1634" s="1115" t="s">
        <v>1055</v>
      </c>
    </row>
    <row r="1635" customFormat="false" ht="14.1" hidden="false" customHeight="true" outlineLevel="0" collapsed="false">
      <c r="A1635" s="1115" t="n">
        <v>43150</v>
      </c>
      <c r="B1635" s="1115" t="s">
        <v>164</v>
      </c>
      <c r="C1635" s="1115" t="n">
        <v>43150</v>
      </c>
      <c r="D1635" s="1115" t="s">
        <v>2856</v>
      </c>
      <c r="E1635" s="1115" t="s">
        <v>2891</v>
      </c>
      <c r="F1635" s="1115" t="n">
        <v>54110</v>
      </c>
      <c r="G1635" s="1115" t="n">
        <v>44140</v>
      </c>
      <c r="H1635" s="1115" t="s">
        <v>2838</v>
      </c>
      <c r="I1635" s="1115" t="n">
        <v>43170</v>
      </c>
      <c r="J1635" s="1115" t="s">
        <v>1055</v>
      </c>
    </row>
    <row r="1636" customFormat="false" ht="14.1" hidden="false" customHeight="true" outlineLevel="0" collapsed="false">
      <c r="A1636" s="1115" t="n">
        <v>43160</v>
      </c>
      <c r="B1636" s="1115" t="s">
        <v>164</v>
      </c>
      <c r="C1636" s="1115" t="n">
        <v>43160</v>
      </c>
      <c r="D1636" s="1115" t="s">
        <v>2349</v>
      </c>
      <c r="E1636" s="1115" t="s">
        <v>2892</v>
      </c>
      <c r="F1636" s="1115" t="n">
        <v>86440</v>
      </c>
      <c r="G1636" s="1115" t="n">
        <v>44160</v>
      </c>
      <c r="H1636" s="1115" t="s">
        <v>1838</v>
      </c>
      <c r="I1636" s="1115" t="n">
        <v>43180</v>
      </c>
      <c r="J1636" s="1115" t="s">
        <v>1055</v>
      </c>
    </row>
    <row r="1637" customFormat="false" ht="14.1" hidden="false" customHeight="true" outlineLevel="0" collapsed="false">
      <c r="A1637" s="1115" t="n">
        <v>43170</v>
      </c>
      <c r="B1637" s="1115" t="s">
        <v>164</v>
      </c>
      <c r="C1637" s="1115" t="n">
        <v>43170</v>
      </c>
      <c r="D1637" s="1115" t="s">
        <v>1871</v>
      </c>
      <c r="E1637" s="1115" t="s">
        <v>2275</v>
      </c>
      <c r="F1637" s="1115" t="n">
        <v>29720</v>
      </c>
      <c r="G1637" s="1115" t="n">
        <v>44170</v>
      </c>
      <c r="H1637" s="1115" t="s">
        <v>1683</v>
      </c>
      <c r="I1637" s="1115" t="n">
        <v>43190</v>
      </c>
      <c r="J1637" s="1115" t="s">
        <v>981</v>
      </c>
    </row>
    <row r="1638" customFormat="false" ht="14.1" hidden="false" customHeight="true" outlineLevel="0" collapsed="false">
      <c r="A1638" s="1115" t="n">
        <v>43180</v>
      </c>
      <c r="B1638" s="1115" t="s">
        <v>164</v>
      </c>
      <c r="C1638" s="1115" t="n">
        <v>43180</v>
      </c>
      <c r="D1638" s="1115" t="s">
        <v>1542</v>
      </c>
      <c r="E1638" s="1115" t="s">
        <v>2893</v>
      </c>
      <c r="F1638" s="1115" t="n">
        <v>95790</v>
      </c>
      <c r="G1638" s="1115" t="n">
        <v>44190</v>
      </c>
      <c r="H1638" s="1115" t="s">
        <v>2894</v>
      </c>
      <c r="I1638" s="1115" t="n">
        <v>43210</v>
      </c>
      <c r="J1638" s="1115" t="s">
        <v>981</v>
      </c>
    </row>
    <row r="1639" customFormat="false" ht="14.1" hidden="false" customHeight="true" outlineLevel="0" collapsed="false">
      <c r="A1639" s="1115" t="n">
        <v>43190</v>
      </c>
      <c r="B1639" s="1115" t="s">
        <v>164</v>
      </c>
      <c r="C1639" s="1115" t="n">
        <v>43190</v>
      </c>
      <c r="D1639" s="1115" t="s">
        <v>2857</v>
      </c>
      <c r="E1639" s="1115" t="s">
        <v>1623</v>
      </c>
      <c r="F1639" s="1115" t="n">
        <v>12980</v>
      </c>
      <c r="G1639" s="1115" t="n">
        <v>44200</v>
      </c>
      <c r="H1639" s="1115" t="s">
        <v>1523</v>
      </c>
      <c r="I1639" s="1115" t="n">
        <v>43220</v>
      </c>
      <c r="J1639" s="1115" t="s">
        <v>981</v>
      </c>
    </row>
    <row r="1640" customFormat="false" ht="14.1" hidden="false" customHeight="true" outlineLevel="0" collapsed="false">
      <c r="A1640" s="1115" t="n">
        <v>43210</v>
      </c>
      <c r="B1640" s="1115" t="s">
        <v>164</v>
      </c>
      <c r="C1640" s="1115" t="n">
        <v>43210</v>
      </c>
      <c r="D1640" s="1115" t="s">
        <v>1681</v>
      </c>
      <c r="E1640" s="1115" t="s">
        <v>2895</v>
      </c>
      <c r="F1640" s="1115" t="n">
        <v>95770</v>
      </c>
      <c r="G1640" s="1115" t="n">
        <v>44220</v>
      </c>
      <c r="H1640" s="1115" t="s">
        <v>1523</v>
      </c>
      <c r="I1640" s="1115" t="n">
        <v>43230</v>
      </c>
      <c r="J1640" s="1115" t="s">
        <v>981</v>
      </c>
    </row>
    <row r="1641" customFormat="false" ht="14.1" hidden="false" customHeight="true" outlineLevel="0" collapsed="false">
      <c r="A1641" s="1115" t="n">
        <v>43220</v>
      </c>
      <c r="B1641" s="1115" t="s">
        <v>164</v>
      </c>
      <c r="C1641" s="1115" t="n">
        <v>43220</v>
      </c>
      <c r="D1641" s="1115" t="s">
        <v>2858</v>
      </c>
      <c r="E1641" s="1115" t="s">
        <v>2750</v>
      </c>
      <c r="F1641" s="1115" t="n">
        <v>41270</v>
      </c>
      <c r="G1641" s="1115" t="n">
        <v>44240</v>
      </c>
      <c r="H1641" s="1115" t="s">
        <v>2896</v>
      </c>
      <c r="I1641" s="1115" t="n">
        <v>43240</v>
      </c>
      <c r="J1641" s="1115" t="s">
        <v>981</v>
      </c>
    </row>
    <row r="1642" customFormat="false" ht="14.1" hidden="false" customHeight="true" outlineLevel="0" collapsed="false">
      <c r="A1642" s="1115" t="n">
        <v>43230</v>
      </c>
      <c r="B1642" s="1115" t="s">
        <v>164</v>
      </c>
      <c r="C1642" s="1115" t="n">
        <v>43230</v>
      </c>
      <c r="D1642" s="1115" t="s">
        <v>2859</v>
      </c>
      <c r="E1642" s="1115" t="s">
        <v>2625</v>
      </c>
      <c r="F1642" s="1115" t="n">
        <v>38230</v>
      </c>
      <c r="G1642" s="1115" t="n">
        <v>44250</v>
      </c>
      <c r="H1642" s="1115" t="s">
        <v>2897</v>
      </c>
      <c r="I1642" s="1115" t="n">
        <v>43250</v>
      </c>
      <c r="J1642" s="1115" t="s">
        <v>981</v>
      </c>
    </row>
    <row r="1643" customFormat="false" ht="14.1" hidden="false" customHeight="true" outlineLevel="0" collapsed="false">
      <c r="A1643" s="1115" t="n">
        <v>43240</v>
      </c>
      <c r="B1643" s="1115" t="s">
        <v>164</v>
      </c>
      <c r="C1643" s="1115" t="n">
        <v>43240</v>
      </c>
      <c r="D1643" s="1115" t="s">
        <v>2860</v>
      </c>
      <c r="E1643" s="1115" t="s">
        <v>2898</v>
      </c>
      <c r="F1643" s="1115" t="n">
        <v>81580</v>
      </c>
      <c r="G1643" s="1115" t="n">
        <v>44260</v>
      </c>
      <c r="H1643" s="1115" t="s">
        <v>2899</v>
      </c>
      <c r="I1643" s="1115" t="n">
        <v>43270</v>
      </c>
      <c r="J1643" s="1115" t="s">
        <v>981</v>
      </c>
    </row>
    <row r="1644" customFormat="false" ht="14.1" hidden="false" customHeight="true" outlineLevel="0" collapsed="false">
      <c r="A1644" s="1115" t="n">
        <v>43250</v>
      </c>
      <c r="B1644" s="1115" t="s">
        <v>164</v>
      </c>
      <c r="C1644" s="1115" t="n">
        <v>43250</v>
      </c>
      <c r="D1644" s="1115" t="s">
        <v>2517</v>
      </c>
      <c r="E1644" s="1115" t="s">
        <v>2900</v>
      </c>
      <c r="F1644" s="1115" t="n">
        <v>92180</v>
      </c>
      <c r="G1644" s="1115" t="n">
        <v>44270</v>
      </c>
      <c r="H1644" s="1115" t="s">
        <v>2901</v>
      </c>
      <c r="I1644" s="1115" t="n">
        <v>43300</v>
      </c>
      <c r="J1644" s="1115" t="s">
        <v>981</v>
      </c>
    </row>
    <row r="1645" customFormat="false" ht="14.1" hidden="false" customHeight="true" outlineLevel="0" collapsed="false">
      <c r="A1645" s="1115" t="n">
        <v>43270</v>
      </c>
      <c r="B1645" s="1115" t="s">
        <v>164</v>
      </c>
      <c r="C1645" s="1115" t="n">
        <v>43270</v>
      </c>
      <c r="D1645" s="1115" t="s">
        <v>2201</v>
      </c>
      <c r="E1645" s="1115" t="s">
        <v>2172</v>
      </c>
      <c r="F1645" s="1115" t="n">
        <v>27150</v>
      </c>
      <c r="G1645" s="1115" t="n">
        <v>44280</v>
      </c>
      <c r="H1645" s="1115" t="s">
        <v>1517</v>
      </c>
      <c r="I1645" s="1115" t="n">
        <v>43320</v>
      </c>
      <c r="J1645" s="1115" t="s">
        <v>981</v>
      </c>
    </row>
    <row r="1646" customFormat="false" ht="14.1" hidden="false" customHeight="true" outlineLevel="0" collapsed="false">
      <c r="A1646" s="1115" t="n">
        <v>43300</v>
      </c>
      <c r="B1646" s="1115" t="s">
        <v>164</v>
      </c>
      <c r="C1646" s="1115" t="n">
        <v>43300</v>
      </c>
      <c r="D1646" s="1115" t="s">
        <v>981</v>
      </c>
      <c r="E1646" s="1115" t="s">
        <v>1150</v>
      </c>
      <c r="F1646" s="1115" t="n">
        <v>7800</v>
      </c>
      <c r="G1646" s="1115" t="n">
        <v>44300</v>
      </c>
      <c r="H1646" s="1115" t="s">
        <v>1095</v>
      </c>
      <c r="I1646" s="1115" t="n">
        <v>43340</v>
      </c>
      <c r="J1646" s="1115" t="s">
        <v>981</v>
      </c>
    </row>
    <row r="1647" customFormat="false" ht="14.1" hidden="false" customHeight="true" outlineLevel="0" collapsed="false">
      <c r="A1647" s="1115" t="n">
        <v>43320</v>
      </c>
      <c r="B1647" s="1115" t="s">
        <v>164</v>
      </c>
      <c r="C1647" s="1115" t="n">
        <v>43320</v>
      </c>
      <c r="D1647" s="1115" t="s">
        <v>2228</v>
      </c>
      <c r="E1647" s="1115" t="s">
        <v>2902</v>
      </c>
      <c r="F1647" s="1115" t="n">
        <v>90740</v>
      </c>
      <c r="G1647" s="1115" t="n">
        <v>44310</v>
      </c>
      <c r="H1647" s="1115" t="s">
        <v>2903</v>
      </c>
      <c r="I1647" s="1115" t="n">
        <v>43370</v>
      </c>
      <c r="J1647" s="1115" t="s">
        <v>981</v>
      </c>
    </row>
    <row r="1648" customFormat="false" ht="14.1" hidden="false" customHeight="true" outlineLevel="0" collapsed="false">
      <c r="A1648" s="1115" t="n">
        <v>43340</v>
      </c>
      <c r="B1648" s="1115" t="s">
        <v>164</v>
      </c>
      <c r="C1648" s="1115" t="n">
        <v>43340</v>
      </c>
      <c r="D1648" s="1115" t="s">
        <v>2227</v>
      </c>
      <c r="E1648" s="1115" t="s">
        <v>1136</v>
      </c>
      <c r="F1648" s="1115" t="n">
        <v>2520</v>
      </c>
      <c r="G1648" s="1115" t="n">
        <v>44320</v>
      </c>
      <c r="H1648" s="1115" t="s">
        <v>2904</v>
      </c>
      <c r="I1648" s="1115" t="n">
        <v>43380</v>
      </c>
      <c r="J1648" s="1115" t="s">
        <v>981</v>
      </c>
    </row>
    <row r="1649" customFormat="false" ht="14.1" hidden="false" customHeight="true" outlineLevel="0" collapsed="false">
      <c r="A1649" s="1115" t="n">
        <v>43370</v>
      </c>
      <c r="B1649" s="1115" t="s">
        <v>164</v>
      </c>
      <c r="C1649" s="1115" t="n">
        <v>43370</v>
      </c>
      <c r="D1649" s="1115" t="s">
        <v>1705</v>
      </c>
      <c r="E1649" s="1115" t="s">
        <v>1151</v>
      </c>
      <c r="F1649" s="1115" t="n">
        <v>73100</v>
      </c>
      <c r="G1649" s="1115" t="n">
        <v>44330</v>
      </c>
      <c r="H1649" s="1115" t="s">
        <v>1850</v>
      </c>
      <c r="I1649" s="1115" t="n">
        <v>43390</v>
      </c>
      <c r="J1649" s="1115" t="s">
        <v>1089</v>
      </c>
    </row>
    <row r="1650" customFormat="false" ht="14.1" hidden="false" customHeight="true" outlineLevel="0" collapsed="false">
      <c r="A1650" s="1115" t="n">
        <v>43380</v>
      </c>
      <c r="B1650" s="1115" t="s">
        <v>164</v>
      </c>
      <c r="C1650" s="1115" t="n">
        <v>43380</v>
      </c>
      <c r="D1650" s="1115" t="s">
        <v>2861</v>
      </c>
      <c r="E1650" s="1115" t="s">
        <v>2709</v>
      </c>
      <c r="F1650" s="1115" t="n">
        <v>39660</v>
      </c>
      <c r="G1650" s="1115" t="n">
        <v>44340</v>
      </c>
      <c r="H1650" s="1115" t="s">
        <v>1892</v>
      </c>
      <c r="I1650" s="1115" t="n">
        <v>43410</v>
      </c>
      <c r="J1650" s="1115" t="s">
        <v>1089</v>
      </c>
    </row>
    <row r="1651" customFormat="false" ht="14.1" hidden="false" customHeight="true" outlineLevel="0" collapsed="false">
      <c r="A1651" s="1115" t="n">
        <v>43390</v>
      </c>
      <c r="B1651" s="1115" t="s">
        <v>164</v>
      </c>
      <c r="C1651" s="1115" t="n">
        <v>43390</v>
      </c>
      <c r="D1651" s="1115" t="s">
        <v>2862</v>
      </c>
      <c r="E1651" s="1115" t="s">
        <v>1152</v>
      </c>
      <c r="F1651" s="1115" t="n">
        <v>62600</v>
      </c>
      <c r="G1651" s="1115" t="n">
        <v>44350</v>
      </c>
      <c r="H1651" s="1115" t="s">
        <v>1966</v>
      </c>
      <c r="I1651" s="1115" t="n">
        <v>43420</v>
      </c>
      <c r="J1651" s="1115" t="s">
        <v>1089</v>
      </c>
    </row>
    <row r="1652" customFormat="false" ht="14.1" hidden="false" customHeight="true" outlineLevel="0" collapsed="false">
      <c r="A1652" s="1115" t="n">
        <v>43410</v>
      </c>
      <c r="B1652" s="1115" t="s">
        <v>164</v>
      </c>
      <c r="C1652" s="1115" t="n">
        <v>43410</v>
      </c>
      <c r="D1652" s="1115" t="s">
        <v>2863</v>
      </c>
      <c r="E1652" s="1115" t="s">
        <v>2905</v>
      </c>
      <c r="F1652" s="1115" t="n">
        <v>95910</v>
      </c>
      <c r="G1652" s="1115" t="n">
        <v>44360</v>
      </c>
      <c r="H1652" s="1115" t="s">
        <v>2906</v>
      </c>
      <c r="I1652" s="1115" t="n">
        <v>43430</v>
      </c>
      <c r="J1652" s="1115" t="s">
        <v>1089</v>
      </c>
    </row>
    <row r="1653" customFormat="false" ht="14.1" hidden="false" customHeight="true" outlineLevel="0" collapsed="false">
      <c r="A1653" s="1115" t="n">
        <v>43420</v>
      </c>
      <c r="B1653" s="1115" t="s">
        <v>164</v>
      </c>
      <c r="C1653" s="1115" t="n">
        <v>43420</v>
      </c>
      <c r="D1653" s="1115" t="s">
        <v>2676</v>
      </c>
      <c r="E1653" s="1115" t="s">
        <v>163</v>
      </c>
      <c r="F1653" s="1115" t="n">
        <v>53100</v>
      </c>
      <c r="G1653" s="1115" t="n">
        <v>44370</v>
      </c>
      <c r="H1653" s="1115" t="s">
        <v>2907</v>
      </c>
      <c r="I1653" s="1115" t="n">
        <v>43440</v>
      </c>
      <c r="J1653" s="1115" t="s">
        <v>1089</v>
      </c>
    </row>
    <row r="1654" customFormat="false" ht="14.1" hidden="false" customHeight="true" outlineLevel="0" collapsed="false">
      <c r="A1654" s="1115" t="n">
        <v>43430</v>
      </c>
      <c r="B1654" s="1115" t="s">
        <v>164</v>
      </c>
      <c r="C1654" s="1115" t="n">
        <v>43430</v>
      </c>
      <c r="D1654" s="1115" t="s">
        <v>2864</v>
      </c>
      <c r="E1654" s="1115" t="s">
        <v>163</v>
      </c>
      <c r="F1654" s="1115" t="n">
        <v>53100</v>
      </c>
      <c r="G1654" s="1115" t="n">
        <v>44390</v>
      </c>
      <c r="H1654" s="1115" t="s">
        <v>2908</v>
      </c>
      <c r="I1654" s="1115" t="n">
        <v>43450</v>
      </c>
      <c r="J1654" s="1115" t="s">
        <v>1089</v>
      </c>
    </row>
    <row r="1655" customFormat="false" ht="14.1" hidden="false" customHeight="true" outlineLevel="0" collapsed="false">
      <c r="A1655" s="1115" t="n">
        <v>43440</v>
      </c>
      <c r="B1655" s="1115" t="s">
        <v>164</v>
      </c>
      <c r="C1655" s="1115" t="n">
        <v>43440</v>
      </c>
      <c r="D1655" s="1115" t="s">
        <v>1400</v>
      </c>
      <c r="E1655" s="1115" t="s">
        <v>163</v>
      </c>
      <c r="F1655" s="1115" t="n">
        <v>53130</v>
      </c>
      <c r="G1655" s="1115" t="n">
        <v>44400</v>
      </c>
      <c r="H1655" s="1115" t="s">
        <v>2536</v>
      </c>
      <c r="I1655" s="1115" t="n">
        <v>43480</v>
      </c>
      <c r="J1655" s="1115" t="s">
        <v>1089</v>
      </c>
    </row>
    <row r="1656" customFormat="false" ht="14.1" hidden="false" customHeight="true" outlineLevel="0" collapsed="false">
      <c r="A1656" s="1115" t="n">
        <v>43450</v>
      </c>
      <c r="B1656" s="1115" t="s">
        <v>164</v>
      </c>
      <c r="C1656" s="1115" t="n">
        <v>43450</v>
      </c>
      <c r="D1656" s="1115" t="s">
        <v>2865</v>
      </c>
      <c r="E1656" s="1115" t="s">
        <v>163</v>
      </c>
      <c r="F1656" s="1115" t="n">
        <v>53200</v>
      </c>
      <c r="G1656" s="1115" t="n">
        <v>44420</v>
      </c>
      <c r="H1656" s="1115" t="s">
        <v>2909</v>
      </c>
      <c r="I1656" s="1115" t="n">
        <v>43490</v>
      </c>
      <c r="J1656" s="1115" t="s">
        <v>1002</v>
      </c>
    </row>
    <row r="1657" customFormat="false" ht="14.1" hidden="false" customHeight="true" outlineLevel="0" collapsed="false">
      <c r="A1657" s="1115" t="n">
        <v>43480</v>
      </c>
      <c r="B1657" s="1115" t="s">
        <v>164</v>
      </c>
      <c r="C1657" s="1115" t="n">
        <v>43480</v>
      </c>
      <c r="D1657" s="1115" t="s">
        <v>2866</v>
      </c>
      <c r="E1657" s="1115" t="s">
        <v>163</v>
      </c>
      <c r="F1657" s="1115" t="n">
        <v>53300</v>
      </c>
      <c r="G1657" s="1115" t="n">
        <v>44440</v>
      </c>
      <c r="H1657" s="1115" t="s">
        <v>2910</v>
      </c>
      <c r="I1657" s="1115" t="n">
        <v>43500</v>
      </c>
      <c r="J1657" s="1115" t="s">
        <v>1002</v>
      </c>
    </row>
    <row r="1658" customFormat="false" ht="14.1" hidden="false" customHeight="true" outlineLevel="0" collapsed="false">
      <c r="A1658" s="1115" t="n">
        <v>43490</v>
      </c>
      <c r="B1658" s="1115" t="s">
        <v>164</v>
      </c>
      <c r="C1658" s="1115" t="n">
        <v>43490</v>
      </c>
      <c r="D1658" s="1115" t="s">
        <v>2209</v>
      </c>
      <c r="E1658" s="1115" t="s">
        <v>163</v>
      </c>
      <c r="F1658" s="1115" t="n">
        <v>53400</v>
      </c>
      <c r="G1658" s="1115" t="n">
        <v>44460</v>
      </c>
      <c r="H1658" s="1115" t="s">
        <v>2175</v>
      </c>
      <c r="I1658" s="1115" t="n">
        <v>43520</v>
      </c>
      <c r="J1658" s="1115" t="s">
        <v>1002</v>
      </c>
    </row>
    <row r="1659" customFormat="false" ht="14.1" hidden="false" customHeight="true" outlineLevel="0" collapsed="false">
      <c r="A1659" s="1115" t="n">
        <v>43500</v>
      </c>
      <c r="B1659" s="1115" t="s">
        <v>164</v>
      </c>
      <c r="C1659" s="1115" t="n">
        <v>43500</v>
      </c>
      <c r="D1659" s="1115" t="s">
        <v>1002</v>
      </c>
      <c r="E1659" s="1115" t="s">
        <v>163</v>
      </c>
      <c r="F1659" s="1115" t="n">
        <v>53420</v>
      </c>
      <c r="G1659" s="1115" t="n">
        <v>44480</v>
      </c>
      <c r="H1659" s="1115" t="s">
        <v>2911</v>
      </c>
      <c r="I1659" s="1115" t="n">
        <v>43540</v>
      </c>
      <c r="J1659" s="1115" t="s">
        <v>1002</v>
      </c>
    </row>
    <row r="1660" customFormat="false" ht="14.1" hidden="false" customHeight="true" outlineLevel="0" collapsed="false">
      <c r="A1660" s="1115" t="n">
        <v>43520</v>
      </c>
      <c r="B1660" s="1115" t="s">
        <v>164</v>
      </c>
      <c r="C1660" s="1115" t="n">
        <v>43520</v>
      </c>
      <c r="D1660" s="1115" t="s">
        <v>2426</v>
      </c>
      <c r="E1660" s="1115" t="s">
        <v>163</v>
      </c>
      <c r="F1660" s="1115" t="n">
        <v>53440</v>
      </c>
      <c r="G1660" s="1115" t="n">
        <v>44500</v>
      </c>
      <c r="H1660" s="1115" t="s">
        <v>1620</v>
      </c>
      <c r="I1660" s="1115" t="n">
        <v>43560</v>
      </c>
      <c r="J1660" s="1115" t="s">
        <v>1002</v>
      </c>
    </row>
    <row r="1661" customFormat="false" ht="14.1" hidden="false" customHeight="true" outlineLevel="0" collapsed="false">
      <c r="A1661" s="1115" t="n">
        <v>43540</v>
      </c>
      <c r="B1661" s="1115" t="s">
        <v>164</v>
      </c>
      <c r="C1661" s="1115" t="n">
        <v>43540</v>
      </c>
      <c r="D1661" s="1115" t="s">
        <v>2868</v>
      </c>
      <c r="E1661" s="1115" t="s">
        <v>163</v>
      </c>
      <c r="F1661" s="1115" t="n">
        <v>53500</v>
      </c>
      <c r="G1661" s="1115" t="n">
        <v>44520</v>
      </c>
      <c r="H1661" s="1115" t="s">
        <v>2058</v>
      </c>
      <c r="I1661" s="1115" t="n">
        <v>43610</v>
      </c>
      <c r="J1661" s="1115" t="s">
        <v>1002</v>
      </c>
    </row>
    <row r="1662" customFormat="false" ht="14.1" hidden="false" customHeight="true" outlineLevel="0" collapsed="false">
      <c r="A1662" s="1115" t="n">
        <v>43560</v>
      </c>
      <c r="B1662" s="1115" t="s">
        <v>164</v>
      </c>
      <c r="C1662" s="1115" t="n">
        <v>43560</v>
      </c>
      <c r="D1662" s="1115" t="s">
        <v>2870</v>
      </c>
      <c r="E1662" s="1115" t="s">
        <v>163</v>
      </c>
      <c r="F1662" s="1115" t="n">
        <v>53600</v>
      </c>
      <c r="G1662" s="1115" t="n">
        <v>44530</v>
      </c>
      <c r="H1662" s="1115" t="s">
        <v>1924</v>
      </c>
      <c r="I1662" s="1115" t="n">
        <v>43620</v>
      </c>
      <c r="J1662" s="1115" t="s">
        <v>1002</v>
      </c>
    </row>
    <row r="1663" customFormat="false" ht="14.1" hidden="false" customHeight="true" outlineLevel="0" collapsed="false">
      <c r="A1663" s="1115" t="n">
        <v>43610</v>
      </c>
      <c r="B1663" s="1115" t="s">
        <v>164</v>
      </c>
      <c r="C1663" s="1115" t="n">
        <v>43610</v>
      </c>
      <c r="D1663" s="1115" t="s">
        <v>743</v>
      </c>
      <c r="E1663" s="1115" t="s">
        <v>163</v>
      </c>
      <c r="F1663" s="1115" t="n">
        <v>53650</v>
      </c>
      <c r="G1663" s="1115" t="n">
        <v>44540</v>
      </c>
      <c r="H1663" s="1115" t="s">
        <v>2912</v>
      </c>
      <c r="I1663" s="1115" t="n">
        <v>43640</v>
      </c>
      <c r="J1663" s="1115" t="s">
        <v>1002</v>
      </c>
    </row>
    <row r="1664" customFormat="false" ht="14.1" hidden="false" customHeight="true" outlineLevel="0" collapsed="false">
      <c r="A1664" s="1115" t="n">
        <v>43620</v>
      </c>
      <c r="B1664" s="1115" t="s">
        <v>164</v>
      </c>
      <c r="C1664" s="1115" t="n">
        <v>43620</v>
      </c>
      <c r="D1664" s="1115" t="s">
        <v>2872</v>
      </c>
      <c r="E1664" s="1115" t="s">
        <v>163</v>
      </c>
      <c r="F1664" s="1115" t="n">
        <v>53800</v>
      </c>
      <c r="G1664" s="1115" t="n">
        <v>44550</v>
      </c>
      <c r="H1664" s="1115" t="s">
        <v>2913</v>
      </c>
      <c r="I1664" s="1115" t="n">
        <v>43660</v>
      </c>
      <c r="J1664" s="1115" t="s">
        <v>1002</v>
      </c>
    </row>
    <row r="1665" customFormat="false" ht="14.1" hidden="false" customHeight="true" outlineLevel="0" collapsed="false">
      <c r="A1665" s="1115" t="n">
        <v>43640</v>
      </c>
      <c r="B1665" s="1115" t="s">
        <v>164</v>
      </c>
      <c r="C1665" s="1115" t="n">
        <v>43640</v>
      </c>
      <c r="D1665" s="1115" t="s">
        <v>1809</v>
      </c>
      <c r="E1665" s="1115" t="s">
        <v>163</v>
      </c>
      <c r="F1665" s="1115" t="n">
        <v>53810</v>
      </c>
      <c r="G1665" s="1115" t="n">
        <v>44570</v>
      </c>
      <c r="H1665" s="1115" t="s">
        <v>1811</v>
      </c>
      <c r="I1665" s="1115" t="n">
        <v>43680</v>
      </c>
      <c r="J1665" s="1115" t="s">
        <v>1002</v>
      </c>
    </row>
    <row r="1666" customFormat="false" ht="14.1" hidden="false" customHeight="true" outlineLevel="0" collapsed="false">
      <c r="A1666" s="1115" t="n">
        <v>43660</v>
      </c>
      <c r="B1666" s="1115" t="s">
        <v>164</v>
      </c>
      <c r="C1666" s="1115" t="n">
        <v>43660</v>
      </c>
      <c r="D1666" s="1115" t="s">
        <v>2874</v>
      </c>
      <c r="E1666" s="1115" t="s">
        <v>163</v>
      </c>
      <c r="F1666" s="1115" t="n">
        <v>53820</v>
      </c>
      <c r="G1666" s="1115" t="n">
        <v>44580</v>
      </c>
      <c r="H1666" s="1115" t="s">
        <v>1813</v>
      </c>
      <c r="I1666" s="1115" t="n">
        <v>43700</v>
      </c>
      <c r="J1666" s="1115" t="s">
        <v>1137</v>
      </c>
    </row>
    <row r="1667" customFormat="false" ht="14.1" hidden="false" customHeight="true" outlineLevel="0" collapsed="false">
      <c r="A1667" s="1115" t="n">
        <v>43680</v>
      </c>
      <c r="B1667" s="1115" t="s">
        <v>164</v>
      </c>
      <c r="C1667" s="1115" t="n">
        <v>43680</v>
      </c>
      <c r="D1667" s="1115" t="s">
        <v>2875</v>
      </c>
      <c r="E1667" s="1115" t="s">
        <v>163</v>
      </c>
      <c r="F1667" s="1115" t="n">
        <v>53830</v>
      </c>
      <c r="G1667" s="1115" t="n">
        <v>44590</v>
      </c>
      <c r="H1667" s="1115" t="s">
        <v>2914</v>
      </c>
      <c r="I1667" s="1115" t="n">
        <v>43720</v>
      </c>
      <c r="J1667" s="1115" t="s">
        <v>1137</v>
      </c>
    </row>
    <row r="1668" customFormat="false" ht="14.1" hidden="false" customHeight="true" outlineLevel="0" collapsed="false">
      <c r="A1668" s="1115" t="n">
        <v>43700</v>
      </c>
      <c r="B1668" s="1115" t="s">
        <v>164</v>
      </c>
      <c r="C1668" s="1115" t="n">
        <v>43700</v>
      </c>
      <c r="D1668" s="1115" t="s">
        <v>1137</v>
      </c>
      <c r="E1668" s="1115" t="s">
        <v>163</v>
      </c>
      <c r="F1668" s="1115" t="n">
        <v>53900</v>
      </c>
      <c r="G1668" s="1115" t="n">
        <v>44610</v>
      </c>
      <c r="H1668" s="1115" t="s">
        <v>2811</v>
      </c>
      <c r="I1668" s="1115" t="n">
        <v>43740</v>
      </c>
      <c r="J1668" s="1115" t="s">
        <v>1137</v>
      </c>
    </row>
    <row r="1669" customFormat="false" ht="14.1" hidden="false" customHeight="true" outlineLevel="0" collapsed="false">
      <c r="A1669" s="1115" t="n">
        <v>43720</v>
      </c>
      <c r="B1669" s="1115" t="s">
        <v>164</v>
      </c>
      <c r="C1669" s="1115" t="n">
        <v>43720</v>
      </c>
      <c r="D1669" s="1115" t="s">
        <v>2696</v>
      </c>
      <c r="E1669" s="1115" t="s">
        <v>163</v>
      </c>
      <c r="F1669" s="1115" t="n">
        <v>53920</v>
      </c>
      <c r="G1669" s="1115" t="n">
        <v>44620</v>
      </c>
      <c r="H1669" s="1115" t="s">
        <v>2915</v>
      </c>
      <c r="I1669" s="1115" t="n">
        <v>43760</v>
      </c>
      <c r="J1669" s="1115" t="s">
        <v>1137</v>
      </c>
    </row>
    <row r="1670" customFormat="false" ht="14.1" hidden="false" customHeight="true" outlineLevel="0" collapsed="false">
      <c r="A1670" s="1115" t="n">
        <v>43740</v>
      </c>
      <c r="B1670" s="1115" t="s">
        <v>164</v>
      </c>
      <c r="C1670" s="1115" t="n">
        <v>43740</v>
      </c>
      <c r="D1670" s="1115" t="s">
        <v>2878</v>
      </c>
      <c r="E1670" s="1115" t="s">
        <v>1145</v>
      </c>
      <c r="F1670" s="1115" t="n">
        <v>2590</v>
      </c>
      <c r="G1670" s="1115" t="n">
        <v>44630</v>
      </c>
      <c r="H1670" s="1115" t="s">
        <v>2697</v>
      </c>
      <c r="I1670" s="1115" t="n">
        <v>43800</v>
      </c>
      <c r="J1670" s="1115" t="s">
        <v>1137</v>
      </c>
    </row>
    <row r="1671" customFormat="false" ht="14.1" hidden="false" customHeight="true" outlineLevel="0" collapsed="false">
      <c r="A1671" s="1115" t="n">
        <v>43760</v>
      </c>
      <c r="B1671" s="1115" t="s">
        <v>164</v>
      </c>
      <c r="C1671" s="1115" t="n">
        <v>43760</v>
      </c>
      <c r="D1671" s="1115" t="s">
        <v>2595</v>
      </c>
      <c r="E1671" s="1115" t="s">
        <v>1153</v>
      </c>
      <c r="F1671" s="1115" t="n">
        <v>27230</v>
      </c>
      <c r="G1671" s="1115" t="n">
        <v>44640</v>
      </c>
      <c r="H1671" s="1115" t="s">
        <v>2781</v>
      </c>
      <c r="I1671" s="1115" t="n">
        <v>43820</v>
      </c>
      <c r="J1671" s="1115" t="s">
        <v>1137</v>
      </c>
    </row>
    <row r="1672" customFormat="false" ht="14.1" hidden="false" customHeight="true" outlineLevel="0" collapsed="false">
      <c r="A1672" s="1115" t="n">
        <v>43800</v>
      </c>
      <c r="B1672" s="1115" t="s">
        <v>164</v>
      </c>
      <c r="C1672" s="1115" t="n">
        <v>43800</v>
      </c>
      <c r="D1672" s="1115" t="s">
        <v>1089</v>
      </c>
      <c r="E1672" s="1115" t="s">
        <v>1760</v>
      </c>
      <c r="F1672" s="1115" t="n">
        <v>16670</v>
      </c>
      <c r="G1672" s="1115" t="n">
        <v>44650</v>
      </c>
      <c r="H1672" s="1115" t="s">
        <v>2916</v>
      </c>
      <c r="I1672" s="1115" t="n">
        <v>43840</v>
      </c>
      <c r="J1672" s="1115" t="s">
        <v>1137</v>
      </c>
    </row>
    <row r="1673" customFormat="false" ht="14.1" hidden="false" customHeight="true" outlineLevel="0" collapsed="false">
      <c r="A1673" s="1115" t="n">
        <v>43820</v>
      </c>
      <c r="B1673" s="1115" t="s">
        <v>164</v>
      </c>
      <c r="C1673" s="1115" t="n">
        <v>43820</v>
      </c>
      <c r="D1673" s="1115" t="s">
        <v>2880</v>
      </c>
      <c r="E1673" s="1115" t="s">
        <v>2040</v>
      </c>
      <c r="F1673" s="1115" t="n">
        <v>22840</v>
      </c>
      <c r="G1673" s="1115" t="n">
        <v>44660</v>
      </c>
      <c r="H1673" s="1115" t="s">
        <v>2425</v>
      </c>
      <c r="I1673" s="1115" t="n">
        <v>43860</v>
      </c>
      <c r="J1673" s="1115" t="s">
        <v>1137</v>
      </c>
    </row>
    <row r="1674" customFormat="false" ht="14.1" hidden="false" customHeight="true" outlineLevel="0" collapsed="false">
      <c r="A1674" s="1115" t="n">
        <v>43840</v>
      </c>
      <c r="B1674" s="1115" t="s">
        <v>164</v>
      </c>
      <c r="C1674" s="1115" t="n">
        <v>43840</v>
      </c>
      <c r="D1674" s="1115" t="s">
        <v>2882</v>
      </c>
      <c r="E1674" s="1115" t="s">
        <v>2040</v>
      </c>
      <c r="F1674" s="1115" t="n">
        <v>22840</v>
      </c>
      <c r="G1674" s="1115" t="n">
        <v>44670</v>
      </c>
      <c r="H1674" s="1115" t="s">
        <v>2917</v>
      </c>
      <c r="I1674" s="1115" t="n">
        <v>43900</v>
      </c>
      <c r="J1674" s="1115" t="s">
        <v>1072</v>
      </c>
    </row>
    <row r="1675" customFormat="false" ht="14.1" hidden="false" customHeight="true" outlineLevel="0" collapsed="false">
      <c r="A1675" s="1115" t="n">
        <v>43860</v>
      </c>
      <c r="B1675" s="1115" t="s">
        <v>164</v>
      </c>
      <c r="C1675" s="1115" t="n">
        <v>43860</v>
      </c>
      <c r="D1675" s="1115" t="s">
        <v>2846</v>
      </c>
      <c r="E1675" s="1115" t="s">
        <v>2040</v>
      </c>
      <c r="F1675" s="1115" t="n">
        <v>22840</v>
      </c>
      <c r="G1675" s="1115" t="n">
        <v>44680</v>
      </c>
      <c r="H1675" s="1115" t="s">
        <v>2851</v>
      </c>
      <c r="I1675" s="1115" t="n">
        <v>43940</v>
      </c>
      <c r="J1675" s="1115" t="s">
        <v>1072</v>
      </c>
    </row>
    <row r="1676" customFormat="false" ht="14.1" hidden="false" customHeight="true" outlineLevel="0" collapsed="false">
      <c r="A1676" s="1115" t="n">
        <v>43900</v>
      </c>
      <c r="B1676" s="1115" t="s">
        <v>164</v>
      </c>
      <c r="C1676" s="1115" t="n">
        <v>43900</v>
      </c>
      <c r="D1676" s="1115" t="s">
        <v>1072</v>
      </c>
      <c r="E1676" s="1115" t="s">
        <v>2040</v>
      </c>
      <c r="F1676" s="1115" t="n">
        <v>22840</v>
      </c>
      <c r="G1676" s="1115" t="n">
        <v>44690</v>
      </c>
      <c r="H1676" s="1115" t="s">
        <v>1296</v>
      </c>
      <c r="I1676" s="1115" t="n">
        <v>43960</v>
      </c>
      <c r="J1676" s="1115" t="s">
        <v>1072</v>
      </c>
    </row>
    <row r="1677" customFormat="false" ht="14.1" hidden="false" customHeight="true" outlineLevel="0" collapsed="false">
      <c r="A1677" s="1115" t="n">
        <v>43940</v>
      </c>
      <c r="B1677" s="1115" t="s">
        <v>164</v>
      </c>
      <c r="C1677" s="1115" t="n">
        <v>43940</v>
      </c>
      <c r="D1677" s="1115" t="s">
        <v>2884</v>
      </c>
      <c r="E1677" s="1115" t="s">
        <v>1580</v>
      </c>
      <c r="F1677" s="1115" t="n">
        <v>10820</v>
      </c>
      <c r="G1677" s="1115" t="n">
        <v>44710</v>
      </c>
      <c r="H1677" s="1115" t="s">
        <v>2918</v>
      </c>
      <c r="I1677" s="1115" t="n">
        <v>44100</v>
      </c>
      <c r="J1677" s="1115" t="s">
        <v>1651</v>
      </c>
    </row>
    <row r="1678" customFormat="false" ht="14.1" hidden="false" customHeight="true" outlineLevel="0" collapsed="false">
      <c r="A1678" s="1115" t="n">
        <v>43960</v>
      </c>
      <c r="B1678" s="1115" t="s">
        <v>164</v>
      </c>
      <c r="C1678" s="1115" t="n">
        <v>43960</v>
      </c>
      <c r="D1678" s="1115" t="s">
        <v>2886</v>
      </c>
      <c r="E1678" s="1115" t="s">
        <v>1154</v>
      </c>
      <c r="F1678" s="1115" t="n">
        <v>62100</v>
      </c>
      <c r="G1678" s="1115" t="n">
        <v>44720</v>
      </c>
      <c r="H1678" s="1115" t="s">
        <v>2919</v>
      </c>
      <c r="I1678" s="1115" t="n">
        <v>44120</v>
      </c>
      <c r="J1678" s="1115" t="s">
        <v>1651</v>
      </c>
    </row>
    <row r="1679" customFormat="false" ht="14.1" hidden="false" customHeight="true" outlineLevel="0" collapsed="false">
      <c r="A1679" s="1115" t="n">
        <v>44100</v>
      </c>
      <c r="B1679" s="1115" t="s">
        <v>164</v>
      </c>
      <c r="C1679" s="1115" t="n">
        <v>44100</v>
      </c>
      <c r="D1679" s="1115" t="s">
        <v>1651</v>
      </c>
      <c r="E1679" s="1115" t="s">
        <v>2920</v>
      </c>
      <c r="F1679" s="1115" t="n">
        <v>64300</v>
      </c>
      <c r="G1679" s="1115" t="n">
        <v>44730</v>
      </c>
      <c r="H1679" s="1115" t="s">
        <v>2921</v>
      </c>
      <c r="I1679" s="1115" t="n">
        <v>44130</v>
      </c>
      <c r="J1679" s="1115" t="s">
        <v>1651</v>
      </c>
    </row>
    <row r="1680" customFormat="false" ht="14.1" hidden="false" customHeight="true" outlineLevel="0" collapsed="false">
      <c r="A1680" s="1115" t="n">
        <v>44120</v>
      </c>
      <c r="B1680" s="1115" t="s">
        <v>164</v>
      </c>
      <c r="C1680" s="1115" t="n">
        <v>44120</v>
      </c>
      <c r="D1680" s="1115" t="s">
        <v>1651</v>
      </c>
      <c r="E1680" s="1115" t="s">
        <v>2311</v>
      </c>
      <c r="F1680" s="1115" t="n">
        <v>30820</v>
      </c>
      <c r="G1680" s="1115" t="n">
        <v>44740</v>
      </c>
      <c r="H1680" s="1115" t="s">
        <v>2347</v>
      </c>
      <c r="I1680" s="1115" t="n">
        <v>44140</v>
      </c>
      <c r="J1680" s="1115" t="s">
        <v>1651</v>
      </c>
    </row>
    <row r="1681" customFormat="false" ht="14.1" hidden="false" customHeight="true" outlineLevel="0" collapsed="false">
      <c r="A1681" s="1115" t="n">
        <v>44130</v>
      </c>
      <c r="B1681" s="1115" t="s">
        <v>164</v>
      </c>
      <c r="C1681" s="1115" t="n">
        <v>44130</v>
      </c>
      <c r="D1681" s="1115" t="s">
        <v>2890</v>
      </c>
      <c r="E1681" s="1115" t="s">
        <v>2274</v>
      </c>
      <c r="F1681" s="1115" t="n">
        <v>29680</v>
      </c>
      <c r="G1681" s="1115" t="n">
        <v>44760</v>
      </c>
      <c r="H1681" s="1115" t="s">
        <v>2341</v>
      </c>
      <c r="I1681" s="1115" t="n">
        <v>44160</v>
      </c>
      <c r="J1681" s="1115" t="s">
        <v>1651</v>
      </c>
    </row>
    <row r="1682" customFormat="false" ht="14.1" hidden="false" customHeight="true" outlineLevel="0" collapsed="false">
      <c r="A1682" s="1115" t="n">
        <v>44140</v>
      </c>
      <c r="B1682" s="1115" t="s">
        <v>164</v>
      </c>
      <c r="C1682" s="1115" t="n">
        <v>44140</v>
      </c>
      <c r="D1682" s="1115" t="s">
        <v>2838</v>
      </c>
      <c r="E1682" s="1115" t="s">
        <v>2365</v>
      </c>
      <c r="F1682" s="1115" t="n">
        <v>31620</v>
      </c>
      <c r="G1682" s="1115" t="n">
        <v>44770</v>
      </c>
      <c r="H1682" s="1115" t="s">
        <v>2922</v>
      </c>
      <c r="I1682" s="1115" t="n">
        <v>44170</v>
      </c>
      <c r="J1682" s="1115" t="s">
        <v>1651</v>
      </c>
    </row>
    <row r="1683" customFormat="false" ht="14.1" hidden="false" customHeight="true" outlineLevel="0" collapsed="false">
      <c r="A1683" s="1115" t="n">
        <v>44160</v>
      </c>
      <c r="B1683" s="1115" t="s">
        <v>164</v>
      </c>
      <c r="C1683" s="1115" t="n">
        <v>44160</v>
      </c>
      <c r="D1683" s="1115" t="s">
        <v>1838</v>
      </c>
      <c r="E1683" s="1115" t="s">
        <v>2406</v>
      </c>
      <c r="F1683" s="1115" t="n">
        <v>32570</v>
      </c>
      <c r="G1683" s="1115" t="n">
        <v>44780</v>
      </c>
      <c r="H1683" s="1115" t="s">
        <v>2923</v>
      </c>
      <c r="I1683" s="1115" t="n">
        <v>44190</v>
      </c>
      <c r="J1683" s="1115" t="s">
        <v>1651</v>
      </c>
    </row>
    <row r="1684" customFormat="false" ht="14.1" hidden="false" customHeight="true" outlineLevel="0" collapsed="false">
      <c r="A1684" s="1115" t="n">
        <v>44170</v>
      </c>
      <c r="B1684" s="1115" t="s">
        <v>164</v>
      </c>
      <c r="C1684" s="1115" t="n">
        <v>44170</v>
      </c>
      <c r="D1684" s="1115" t="s">
        <v>1683</v>
      </c>
      <c r="E1684" s="1115" t="s">
        <v>2671</v>
      </c>
      <c r="F1684" s="1115" t="n">
        <v>38970</v>
      </c>
      <c r="G1684" s="1115" t="n">
        <v>44790</v>
      </c>
      <c r="H1684" s="1115" t="s">
        <v>2629</v>
      </c>
      <c r="I1684" s="1115" t="n">
        <v>44200</v>
      </c>
      <c r="J1684" s="1115" t="s">
        <v>1651</v>
      </c>
    </row>
    <row r="1685" customFormat="false" ht="14.1" hidden="false" customHeight="true" outlineLevel="0" collapsed="false">
      <c r="A1685" s="1115" t="n">
        <v>44190</v>
      </c>
      <c r="B1685" s="1115" t="s">
        <v>164</v>
      </c>
      <c r="C1685" s="1115" t="n">
        <v>44190</v>
      </c>
      <c r="D1685" s="1115" t="s">
        <v>2894</v>
      </c>
      <c r="E1685" s="1115" t="s">
        <v>1156</v>
      </c>
      <c r="F1685" s="1115" t="n">
        <v>41340</v>
      </c>
      <c r="G1685" s="1115" t="n">
        <v>44800</v>
      </c>
      <c r="H1685" s="1115" t="s">
        <v>1346</v>
      </c>
      <c r="I1685" s="1115" t="n">
        <v>44220</v>
      </c>
      <c r="J1685" s="1115" t="s">
        <v>1651</v>
      </c>
    </row>
    <row r="1686" customFormat="false" ht="14.1" hidden="false" customHeight="true" outlineLevel="0" collapsed="false">
      <c r="A1686" s="1115" t="n">
        <v>44200</v>
      </c>
      <c r="B1686" s="1115" t="s">
        <v>164</v>
      </c>
      <c r="C1686" s="1115" t="n">
        <v>44200</v>
      </c>
      <c r="D1686" s="1115" t="s">
        <v>1523</v>
      </c>
      <c r="E1686" s="1115" t="s">
        <v>1156</v>
      </c>
      <c r="F1686" s="1115" t="n">
        <v>41350</v>
      </c>
      <c r="G1686" s="1115" t="n">
        <v>44820</v>
      </c>
      <c r="H1686" s="1115" t="s">
        <v>2924</v>
      </c>
      <c r="I1686" s="1115" t="n">
        <v>44240</v>
      </c>
      <c r="J1686" s="1115" t="s">
        <v>1651</v>
      </c>
    </row>
    <row r="1687" customFormat="false" ht="14.1" hidden="false" customHeight="true" outlineLevel="0" collapsed="false">
      <c r="A1687" s="1115" t="n">
        <v>44220</v>
      </c>
      <c r="B1687" s="1115" t="s">
        <v>164</v>
      </c>
      <c r="C1687" s="1115" t="n">
        <v>44220</v>
      </c>
      <c r="D1687" s="1115" t="s">
        <v>1523</v>
      </c>
      <c r="E1687" s="1115" t="s">
        <v>2925</v>
      </c>
      <c r="F1687" s="1115" t="n">
        <v>71170</v>
      </c>
      <c r="G1687" s="1115" t="n">
        <v>44830</v>
      </c>
      <c r="H1687" s="1115" t="s">
        <v>1926</v>
      </c>
      <c r="I1687" s="1115" t="n">
        <v>44250</v>
      </c>
      <c r="J1687" s="1115" t="s">
        <v>1651</v>
      </c>
    </row>
    <row r="1688" customFormat="false" ht="14.1" hidden="false" customHeight="true" outlineLevel="0" collapsed="false">
      <c r="A1688" s="1115" t="n">
        <v>44240</v>
      </c>
      <c r="B1688" s="1115" t="s">
        <v>164</v>
      </c>
      <c r="C1688" s="1115" t="n">
        <v>44240</v>
      </c>
      <c r="D1688" s="1115" t="s">
        <v>2896</v>
      </c>
      <c r="E1688" s="1115" t="s">
        <v>2926</v>
      </c>
      <c r="F1688" s="1115" t="n">
        <v>72740</v>
      </c>
      <c r="G1688" s="1115" t="n">
        <v>44840</v>
      </c>
      <c r="H1688" s="1115" t="s">
        <v>2927</v>
      </c>
      <c r="I1688" s="1115" t="n">
        <v>44260</v>
      </c>
      <c r="J1688" s="1115" t="s">
        <v>1651</v>
      </c>
    </row>
    <row r="1689" customFormat="false" ht="14.1" hidden="false" customHeight="true" outlineLevel="0" collapsed="false">
      <c r="A1689" s="1115" t="n">
        <v>44250</v>
      </c>
      <c r="B1689" s="1115" t="s">
        <v>164</v>
      </c>
      <c r="C1689" s="1115" t="n">
        <v>44250</v>
      </c>
      <c r="D1689" s="1115" t="s">
        <v>2897</v>
      </c>
      <c r="E1689" s="1115" t="s">
        <v>2756</v>
      </c>
      <c r="F1689" s="1115" t="n">
        <v>41325</v>
      </c>
      <c r="G1689" s="1115" t="n">
        <v>44860</v>
      </c>
      <c r="H1689" s="1115" t="s">
        <v>888</v>
      </c>
      <c r="I1689" s="1115" t="n">
        <v>44270</v>
      </c>
      <c r="J1689" s="1115" t="s">
        <v>1651</v>
      </c>
    </row>
    <row r="1690" customFormat="false" ht="14.1" hidden="false" customHeight="true" outlineLevel="0" collapsed="false">
      <c r="A1690" s="1115" t="n">
        <v>44260</v>
      </c>
      <c r="B1690" s="1115" t="s">
        <v>164</v>
      </c>
      <c r="C1690" s="1115" t="n">
        <v>44260</v>
      </c>
      <c r="D1690" s="1115" t="s">
        <v>2899</v>
      </c>
      <c r="E1690" s="1115" t="s">
        <v>1361</v>
      </c>
      <c r="F1690" s="1115" t="n">
        <v>7150</v>
      </c>
      <c r="G1690" s="1115" t="n">
        <v>44870</v>
      </c>
      <c r="H1690" s="1115" t="s">
        <v>2928</v>
      </c>
      <c r="I1690" s="1115" t="n">
        <v>44280</v>
      </c>
      <c r="J1690" s="1115" t="s">
        <v>1651</v>
      </c>
    </row>
    <row r="1691" customFormat="false" ht="14.1" hidden="false" customHeight="true" outlineLevel="0" collapsed="false">
      <c r="A1691" s="1115" t="n">
        <v>44270</v>
      </c>
      <c r="B1691" s="1115" t="s">
        <v>164</v>
      </c>
      <c r="C1691" s="1115" t="n">
        <v>44270</v>
      </c>
      <c r="D1691" s="1115" t="s">
        <v>2901</v>
      </c>
      <c r="E1691" s="1115" t="s">
        <v>1607</v>
      </c>
      <c r="F1691" s="1115" t="n">
        <v>12540</v>
      </c>
      <c r="G1691" s="1115" t="n">
        <v>44880</v>
      </c>
      <c r="H1691" s="1115" t="s">
        <v>2929</v>
      </c>
      <c r="I1691" s="1115" t="n">
        <v>44300</v>
      </c>
      <c r="J1691" s="1115" t="s">
        <v>1651</v>
      </c>
    </row>
    <row r="1692" customFormat="false" ht="14.1" hidden="false" customHeight="true" outlineLevel="0" collapsed="false">
      <c r="A1692" s="1115" t="n">
        <v>44280</v>
      </c>
      <c r="B1692" s="1115" t="s">
        <v>164</v>
      </c>
      <c r="C1692" s="1115" t="n">
        <v>44280</v>
      </c>
      <c r="D1692" s="1115" t="s">
        <v>1517</v>
      </c>
      <c r="E1692" s="1115" t="s">
        <v>2328</v>
      </c>
      <c r="F1692" s="1115" t="n">
        <v>31240</v>
      </c>
      <c r="G1692" s="1115" t="n">
        <v>44890</v>
      </c>
      <c r="H1692" s="1115" t="s">
        <v>2490</v>
      </c>
      <c r="I1692" s="1115" t="n">
        <v>44310</v>
      </c>
      <c r="J1692" s="1115" t="s">
        <v>1651</v>
      </c>
    </row>
    <row r="1693" customFormat="false" ht="14.1" hidden="false" customHeight="true" outlineLevel="0" collapsed="false">
      <c r="A1693" s="1115" t="n">
        <v>44300</v>
      </c>
      <c r="B1693" s="1115" t="s">
        <v>164</v>
      </c>
      <c r="C1693" s="1115" t="n">
        <v>44300</v>
      </c>
      <c r="D1693" s="1115" t="s">
        <v>1095</v>
      </c>
      <c r="E1693" s="1115" t="s">
        <v>2930</v>
      </c>
      <c r="F1693" s="1115" t="n">
        <v>51980</v>
      </c>
      <c r="G1693" s="1115" t="n">
        <v>44910</v>
      </c>
      <c r="H1693" s="1115" t="s">
        <v>1078</v>
      </c>
      <c r="I1693" s="1115" t="n">
        <v>44320</v>
      </c>
      <c r="J1693" s="1115" t="s">
        <v>1651</v>
      </c>
    </row>
    <row r="1694" customFormat="false" ht="14.1" hidden="false" customHeight="true" outlineLevel="0" collapsed="false">
      <c r="A1694" s="1115" t="n">
        <v>44310</v>
      </c>
      <c r="B1694" s="1115" t="s">
        <v>164</v>
      </c>
      <c r="C1694" s="1115" t="n">
        <v>44310</v>
      </c>
      <c r="D1694" s="1115" t="s">
        <v>2903</v>
      </c>
      <c r="E1694" s="1115" t="s">
        <v>2931</v>
      </c>
      <c r="F1694" s="1115" t="n">
        <v>94500</v>
      </c>
      <c r="G1694" s="1115" t="n">
        <v>44920</v>
      </c>
      <c r="H1694" s="1115" t="s">
        <v>2932</v>
      </c>
      <c r="I1694" s="1115" t="n">
        <v>44330</v>
      </c>
      <c r="J1694" s="1115" t="s">
        <v>1651</v>
      </c>
    </row>
    <row r="1695" customFormat="false" ht="14.1" hidden="false" customHeight="true" outlineLevel="0" collapsed="false">
      <c r="A1695" s="1115" t="n">
        <v>44320</v>
      </c>
      <c r="B1695" s="1115" t="s">
        <v>164</v>
      </c>
      <c r="C1695" s="1115" t="n">
        <v>44320</v>
      </c>
      <c r="D1695" s="1115" t="s">
        <v>2904</v>
      </c>
      <c r="E1695" s="1115" t="s">
        <v>2303</v>
      </c>
      <c r="F1695" s="1115" t="n">
        <v>29970</v>
      </c>
      <c r="G1695" s="1115" t="n">
        <v>44930</v>
      </c>
      <c r="H1695" s="1115" t="s">
        <v>2933</v>
      </c>
      <c r="I1695" s="1115" t="n">
        <v>44340</v>
      </c>
      <c r="J1695" s="1115" t="s">
        <v>1651</v>
      </c>
    </row>
    <row r="1696" customFormat="false" ht="14.1" hidden="false" customHeight="true" outlineLevel="0" collapsed="false">
      <c r="A1696" s="1115" t="n">
        <v>44330</v>
      </c>
      <c r="B1696" s="1115" t="s">
        <v>164</v>
      </c>
      <c r="C1696" s="1115" t="n">
        <v>44330</v>
      </c>
      <c r="D1696" s="1115" t="s">
        <v>1850</v>
      </c>
      <c r="E1696" s="1115" t="s">
        <v>2690</v>
      </c>
      <c r="F1696" s="1115" t="n">
        <v>39380</v>
      </c>
      <c r="G1696" s="1115" t="n">
        <v>44950</v>
      </c>
      <c r="H1696" s="1115" t="s">
        <v>2816</v>
      </c>
      <c r="I1696" s="1115" t="n">
        <v>44350</v>
      </c>
      <c r="J1696" s="1115" t="s">
        <v>1651</v>
      </c>
    </row>
    <row r="1697" customFormat="false" ht="14.1" hidden="false" customHeight="true" outlineLevel="0" collapsed="false">
      <c r="A1697" s="1115" t="n">
        <v>44340</v>
      </c>
      <c r="B1697" s="1115" t="s">
        <v>164</v>
      </c>
      <c r="C1697" s="1115" t="n">
        <v>44340</v>
      </c>
      <c r="D1697" s="1115" t="s">
        <v>1892</v>
      </c>
      <c r="E1697" s="1115" t="s">
        <v>1157</v>
      </c>
      <c r="F1697" s="1115" t="n">
        <v>38600</v>
      </c>
      <c r="G1697" s="1115" t="n">
        <v>44960</v>
      </c>
      <c r="H1697" s="1115" t="s">
        <v>1425</v>
      </c>
      <c r="I1697" s="1115" t="n">
        <v>44360</v>
      </c>
      <c r="J1697" s="1115" t="s">
        <v>1651</v>
      </c>
    </row>
    <row r="1698" customFormat="false" ht="14.1" hidden="false" customHeight="true" outlineLevel="0" collapsed="false">
      <c r="A1698" s="1115" t="n">
        <v>44350</v>
      </c>
      <c r="B1698" s="1115" t="s">
        <v>164</v>
      </c>
      <c r="C1698" s="1115" t="n">
        <v>44350</v>
      </c>
      <c r="D1698" s="1115" t="s">
        <v>1966</v>
      </c>
      <c r="E1698" s="1115" t="s">
        <v>2934</v>
      </c>
      <c r="F1698" s="1115" t="n">
        <v>81660</v>
      </c>
      <c r="G1698" s="1115" t="n">
        <v>44970</v>
      </c>
      <c r="H1698" s="1115" t="s">
        <v>2569</v>
      </c>
      <c r="I1698" s="1115" t="n">
        <v>44370</v>
      </c>
      <c r="J1698" s="1115" t="s">
        <v>1651</v>
      </c>
    </row>
    <row r="1699" customFormat="false" ht="14.1" hidden="false" customHeight="true" outlineLevel="0" collapsed="false">
      <c r="A1699" s="1115" t="n">
        <v>44360</v>
      </c>
      <c r="B1699" s="1115" t="s">
        <v>164</v>
      </c>
      <c r="C1699" s="1115" t="n">
        <v>44360</v>
      </c>
      <c r="D1699" s="1115" t="s">
        <v>2906</v>
      </c>
      <c r="E1699" s="1115" t="s">
        <v>2935</v>
      </c>
      <c r="F1699" s="1115" t="n">
        <v>80710</v>
      </c>
      <c r="G1699" s="1115" t="n">
        <v>44990</v>
      </c>
      <c r="H1699" s="1115" t="s">
        <v>2437</v>
      </c>
      <c r="I1699" s="1115" t="n">
        <v>44390</v>
      </c>
      <c r="J1699" s="1115" t="s">
        <v>1651</v>
      </c>
    </row>
    <row r="1700" customFormat="false" ht="14.1" hidden="false" customHeight="true" outlineLevel="0" collapsed="false">
      <c r="A1700" s="1115" t="n">
        <v>44370</v>
      </c>
      <c r="B1700" s="1115" t="s">
        <v>164</v>
      </c>
      <c r="C1700" s="1115" t="n">
        <v>44370</v>
      </c>
      <c r="D1700" s="1115" t="s">
        <v>2907</v>
      </c>
      <c r="E1700" s="1115" t="s">
        <v>2936</v>
      </c>
      <c r="F1700" s="1115" t="n">
        <v>61520</v>
      </c>
      <c r="G1700" s="1115" t="n">
        <v>45007</v>
      </c>
      <c r="H1700" s="1115" t="s">
        <v>1110</v>
      </c>
      <c r="I1700" s="1115" t="n">
        <v>44400</v>
      </c>
      <c r="J1700" s="1115" t="s">
        <v>1651</v>
      </c>
    </row>
    <row r="1701" customFormat="false" ht="14.1" hidden="false" customHeight="true" outlineLevel="0" collapsed="false">
      <c r="A1701" s="1115" t="n">
        <v>44390</v>
      </c>
      <c r="B1701" s="1115" t="s">
        <v>164</v>
      </c>
      <c r="C1701" s="1115" t="n">
        <v>44390</v>
      </c>
      <c r="D1701" s="1115" t="s">
        <v>2908</v>
      </c>
      <c r="E1701" s="1115" t="s">
        <v>1158</v>
      </c>
      <c r="F1701" s="1115" t="n">
        <v>63500</v>
      </c>
      <c r="G1701" s="1115" t="n">
        <v>45100</v>
      </c>
      <c r="H1701" s="1115" t="s">
        <v>1110</v>
      </c>
      <c r="I1701" s="1115" t="n">
        <v>44420</v>
      </c>
      <c r="J1701" s="1115" t="s">
        <v>1651</v>
      </c>
    </row>
    <row r="1702" customFormat="false" ht="14.1" hidden="false" customHeight="true" outlineLevel="0" collapsed="false">
      <c r="A1702" s="1115" t="n">
        <v>44400</v>
      </c>
      <c r="B1702" s="1115" t="s">
        <v>164</v>
      </c>
      <c r="C1702" s="1115" t="n">
        <v>44400</v>
      </c>
      <c r="D1702" s="1115" t="s">
        <v>2536</v>
      </c>
      <c r="E1702" s="1115" t="s">
        <v>1158</v>
      </c>
      <c r="F1702" s="1115" t="n">
        <v>63500</v>
      </c>
      <c r="G1702" s="1115" t="n">
        <v>45120</v>
      </c>
      <c r="H1702" s="1115" t="s">
        <v>1110</v>
      </c>
      <c r="I1702" s="1115" t="n">
        <v>44440</v>
      </c>
      <c r="J1702" s="1115" t="s">
        <v>1651</v>
      </c>
    </row>
    <row r="1703" customFormat="false" ht="14.1" hidden="false" customHeight="true" outlineLevel="0" collapsed="false">
      <c r="A1703" s="1115" t="n">
        <v>44420</v>
      </c>
      <c r="B1703" s="1115" t="s">
        <v>164</v>
      </c>
      <c r="C1703" s="1115" t="n">
        <v>44420</v>
      </c>
      <c r="D1703" s="1115" t="s">
        <v>2909</v>
      </c>
      <c r="E1703" s="1115" t="s">
        <v>1158</v>
      </c>
      <c r="F1703" s="1115" t="n">
        <v>63510</v>
      </c>
      <c r="G1703" s="1115" t="n">
        <v>45130</v>
      </c>
      <c r="H1703" s="1115" t="s">
        <v>1110</v>
      </c>
      <c r="I1703" s="1115" t="n">
        <v>44460</v>
      </c>
      <c r="J1703" s="1115" t="s">
        <v>1651</v>
      </c>
    </row>
    <row r="1704" customFormat="false" ht="14.1" hidden="false" customHeight="true" outlineLevel="0" collapsed="false">
      <c r="A1704" s="1115" t="n">
        <v>44440</v>
      </c>
      <c r="B1704" s="1115" t="s">
        <v>164</v>
      </c>
      <c r="C1704" s="1115" t="n">
        <v>44440</v>
      </c>
      <c r="D1704" s="1115" t="s">
        <v>2910</v>
      </c>
      <c r="E1704" s="1115" t="s">
        <v>2937</v>
      </c>
      <c r="F1704" s="1115" t="n">
        <v>97840</v>
      </c>
      <c r="G1704" s="1115" t="n">
        <v>45140</v>
      </c>
      <c r="H1704" s="1115" t="s">
        <v>1110</v>
      </c>
      <c r="I1704" s="1115" t="n">
        <v>44480</v>
      </c>
      <c r="J1704" s="1115" t="s">
        <v>1620</v>
      </c>
    </row>
    <row r="1705" customFormat="false" ht="14.1" hidden="false" customHeight="true" outlineLevel="0" collapsed="false">
      <c r="A1705" s="1115" t="n">
        <v>44460</v>
      </c>
      <c r="B1705" s="1115" t="s">
        <v>164</v>
      </c>
      <c r="C1705" s="1115" t="n">
        <v>44460</v>
      </c>
      <c r="D1705" s="1115" t="s">
        <v>2175</v>
      </c>
      <c r="E1705" s="1115" t="s">
        <v>2938</v>
      </c>
      <c r="F1705" s="1115" t="n">
        <v>81235</v>
      </c>
      <c r="G1705" s="1115" t="n">
        <v>45150</v>
      </c>
      <c r="H1705" s="1115" t="s">
        <v>1110</v>
      </c>
      <c r="I1705" s="1115" t="n">
        <v>44500</v>
      </c>
      <c r="J1705" s="1115" t="s">
        <v>1620</v>
      </c>
    </row>
    <row r="1706" customFormat="false" ht="14.1" hidden="false" customHeight="true" outlineLevel="0" collapsed="false">
      <c r="A1706" s="1115" t="n">
        <v>44480</v>
      </c>
      <c r="B1706" s="1115" t="s">
        <v>164</v>
      </c>
      <c r="C1706" s="1115" t="n">
        <v>44480</v>
      </c>
      <c r="D1706" s="1115" t="s">
        <v>2911</v>
      </c>
      <c r="E1706" s="1115" t="s">
        <v>2860</v>
      </c>
      <c r="F1706" s="1115" t="n">
        <v>43240</v>
      </c>
      <c r="G1706" s="1115" t="n">
        <v>45160</v>
      </c>
      <c r="H1706" s="1115" t="s">
        <v>1110</v>
      </c>
      <c r="I1706" s="1115" t="n">
        <v>44520</v>
      </c>
      <c r="J1706" s="1115" t="s">
        <v>1620</v>
      </c>
    </row>
    <row r="1707" customFormat="false" ht="14.1" hidden="false" customHeight="true" outlineLevel="0" collapsed="false">
      <c r="A1707" s="1115" t="n">
        <v>44500</v>
      </c>
      <c r="B1707" s="1115" t="s">
        <v>164</v>
      </c>
      <c r="C1707" s="1115" t="n">
        <v>44500</v>
      </c>
      <c r="D1707" s="1115" t="s">
        <v>1620</v>
      </c>
      <c r="E1707" s="1115" t="s">
        <v>2939</v>
      </c>
      <c r="F1707" s="1115" t="n">
        <v>82960</v>
      </c>
      <c r="G1707" s="1115" t="n">
        <v>45200</v>
      </c>
      <c r="H1707" s="1115" t="s">
        <v>1110</v>
      </c>
      <c r="I1707" s="1115" t="n">
        <v>44530</v>
      </c>
      <c r="J1707" s="1115" t="s">
        <v>1620</v>
      </c>
    </row>
    <row r="1708" customFormat="false" ht="14.1" hidden="false" customHeight="true" outlineLevel="0" collapsed="false">
      <c r="A1708" s="1115" t="n">
        <v>44520</v>
      </c>
      <c r="B1708" s="1115" t="s">
        <v>164</v>
      </c>
      <c r="C1708" s="1115" t="n">
        <v>44520</v>
      </c>
      <c r="D1708" s="1115" t="s">
        <v>2058</v>
      </c>
      <c r="E1708" s="1115" t="s">
        <v>2254</v>
      </c>
      <c r="F1708" s="1115" t="n">
        <v>29320</v>
      </c>
      <c r="G1708" s="1115" t="n">
        <v>45270</v>
      </c>
      <c r="H1708" s="1115" t="s">
        <v>807</v>
      </c>
      <c r="I1708" s="1115" t="n">
        <v>44540</v>
      </c>
      <c r="J1708" s="1115" t="s">
        <v>1620</v>
      </c>
    </row>
    <row r="1709" customFormat="false" ht="14.1" hidden="false" customHeight="true" outlineLevel="0" collapsed="false">
      <c r="A1709" s="1115" t="n">
        <v>44530</v>
      </c>
      <c r="B1709" s="1115" t="s">
        <v>164</v>
      </c>
      <c r="C1709" s="1115" t="n">
        <v>44530</v>
      </c>
      <c r="D1709" s="1115" t="s">
        <v>1924</v>
      </c>
      <c r="E1709" s="1115" t="s">
        <v>2763</v>
      </c>
      <c r="F1709" s="1115" t="n">
        <v>41375</v>
      </c>
      <c r="G1709" s="1115" t="n">
        <v>45330</v>
      </c>
      <c r="H1709" s="1115" t="s">
        <v>1412</v>
      </c>
      <c r="I1709" s="1115" t="n">
        <v>44550</v>
      </c>
      <c r="J1709" s="1115" t="s">
        <v>1620</v>
      </c>
    </row>
    <row r="1710" customFormat="false" ht="14.1" hidden="false" customHeight="true" outlineLevel="0" collapsed="false">
      <c r="A1710" s="1115" t="n">
        <v>44540</v>
      </c>
      <c r="B1710" s="1115" t="s">
        <v>164</v>
      </c>
      <c r="C1710" s="1115" t="n">
        <v>44540</v>
      </c>
      <c r="D1710" s="1115" t="s">
        <v>2912</v>
      </c>
      <c r="E1710" s="1115" t="s">
        <v>2940</v>
      </c>
      <c r="F1710" s="1115" t="n">
        <v>71660</v>
      </c>
      <c r="G1710" s="1115" t="n">
        <v>45360</v>
      </c>
      <c r="H1710" s="1115" t="s">
        <v>953</v>
      </c>
      <c r="I1710" s="1115" t="n">
        <v>44570</v>
      </c>
      <c r="J1710" s="1115" t="s">
        <v>1620</v>
      </c>
    </row>
    <row r="1711" customFormat="false" ht="14.1" hidden="false" customHeight="true" outlineLevel="0" collapsed="false">
      <c r="A1711" s="1115" t="n">
        <v>44550</v>
      </c>
      <c r="B1711" s="1115" t="s">
        <v>164</v>
      </c>
      <c r="C1711" s="1115" t="n">
        <v>44550</v>
      </c>
      <c r="D1711" s="1115" t="s">
        <v>2913</v>
      </c>
      <c r="E1711" s="1115" t="s">
        <v>2941</v>
      </c>
      <c r="F1711" s="1115" t="n">
        <v>82470</v>
      </c>
      <c r="G1711" s="1115" t="n">
        <v>45370</v>
      </c>
      <c r="H1711" s="1115" t="s">
        <v>1593</v>
      </c>
      <c r="I1711" s="1115" t="n">
        <v>44580</v>
      </c>
      <c r="J1711" s="1115" t="s">
        <v>1620</v>
      </c>
    </row>
    <row r="1712" customFormat="false" ht="14.1" hidden="false" customHeight="true" outlineLevel="0" collapsed="false">
      <c r="A1712" s="1115" t="n">
        <v>44570</v>
      </c>
      <c r="B1712" s="1115" t="s">
        <v>164</v>
      </c>
      <c r="C1712" s="1115" t="n">
        <v>44570</v>
      </c>
      <c r="D1712" s="1115" t="s">
        <v>1811</v>
      </c>
      <c r="E1712" s="1115" t="s">
        <v>2942</v>
      </c>
      <c r="F1712" s="1115" t="n">
        <v>89150</v>
      </c>
      <c r="G1712" s="1115" t="n">
        <v>45410</v>
      </c>
      <c r="H1712" s="1115" t="s">
        <v>2943</v>
      </c>
      <c r="I1712" s="1115" t="n">
        <v>44590</v>
      </c>
      <c r="J1712" s="1115" t="s">
        <v>1620</v>
      </c>
    </row>
    <row r="1713" customFormat="false" ht="14.1" hidden="false" customHeight="true" outlineLevel="0" collapsed="false">
      <c r="A1713" s="1115" t="n">
        <v>44580</v>
      </c>
      <c r="B1713" s="1115" t="s">
        <v>164</v>
      </c>
      <c r="C1713" s="1115" t="n">
        <v>44580</v>
      </c>
      <c r="D1713" s="1115" t="s">
        <v>1813</v>
      </c>
      <c r="E1713" s="1115" t="s">
        <v>2944</v>
      </c>
      <c r="F1713" s="1115" t="n">
        <v>92720</v>
      </c>
      <c r="G1713" s="1115" t="n">
        <v>45430</v>
      </c>
      <c r="H1713" s="1115" t="s">
        <v>2662</v>
      </c>
      <c r="I1713" s="1115" t="n">
        <v>44610</v>
      </c>
      <c r="J1713" s="1115" t="s">
        <v>1620</v>
      </c>
    </row>
    <row r="1714" customFormat="false" ht="14.1" hidden="false" customHeight="true" outlineLevel="0" collapsed="false">
      <c r="A1714" s="1115" t="n">
        <v>44590</v>
      </c>
      <c r="B1714" s="1115" t="s">
        <v>164</v>
      </c>
      <c r="C1714" s="1115" t="n">
        <v>44590</v>
      </c>
      <c r="D1714" s="1115" t="s">
        <v>2914</v>
      </c>
      <c r="E1714" s="1115" t="s">
        <v>2945</v>
      </c>
      <c r="F1714" s="1115" t="n">
        <v>58370</v>
      </c>
      <c r="G1714" s="1115" t="n">
        <v>45460</v>
      </c>
      <c r="H1714" s="1115" t="s">
        <v>2946</v>
      </c>
      <c r="I1714" s="1115" t="n">
        <v>44620</v>
      </c>
      <c r="J1714" s="1115" t="s">
        <v>1620</v>
      </c>
    </row>
    <row r="1715" customFormat="false" ht="14.1" hidden="false" customHeight="true" outlineLevel="0" collapsed="false">
      <c r="A1715" s="1115" t="n">
        <v>44610</v>
      </c>
      <c r="B1715" s="1115" t="s">
        <v>164</v>
      </c>
      <c r="C1715" s="1115" t="n">
        <v>44610</v>
      </c>
      <c r="D1715" s="1115" t="s">
        <v>2811</v>
      </c>
      <c r="E1715" s="1115" t="s">
        <v>1159</v>
      </c>
      <c r="F1715" s="1115" t="n">
        <v>41770</v>
      </c>
      <c r="G1715" s="1115" t="n">
        <v>45550</v>
      </c>
      <c r="H1715" s="1115" t="s">
        <v>2156</v>
      </c>
      <c r="I1715" s="1115" t="n">
        <v>44630</v>
      </c>
      <c r="J1715" s="1115" t="s">
        <v>1620</v>
      </c>
    </row>
    <row r="1716" customFormat="false" ht="14.1" hidden="false" customHeight="true" outlineLevel="0" collapsed="false">
      <c r="A1716" s="1115" t="n">
        <v>44620</v>
      </c>
      <c r="B1716" s="1115" t="s">
        <v>164</v>
      </c>
      <c r="C1716" s="1115" t="n">
        <v>44620</v>
      </c>
      <c r="D1716" s="1115" t="s">
        <v>2915</v>
      </c>
      <c r="E1716" s="1115" t="s">
        <v>2205</v>
      </c>
      <c r="F1716" s="1115" t="n">
        <v>27660</v>
      </c>
      <c r="G1716" s="1115" t="n">
        <v>45610</v>
      </c>
      <c r="H1716" s="1115" t="s">
        <v>2560</v>
      </c>
      <c r="I1716" s="1115" t="n">
        <v>44640</v>
      </c>
      <c r="J1716" s="1115" t="s">
        <v>1620</v>
      </c>
    </row>
    <row r="1717" customFormat="false" ht="14.1" hidden="false" customHeight="true" outlineLevel="0" collapsed="false">
      <c r="A1717" s="1115" t="n">
        <v>44630</v>
      </c>
      <c r="B1717" s="1115" t="s">
        <v>164</v>
      </c>
      <c r="C1717" s="1115" t="n">
        <v>44630</v>
      </c>
      <c r="D1717" s="1115" t="s">
        <v>2697</v>
      </c>
      <c r="E1717" s="1115" t="s">
        <v>1160</v>
      </c>
      <c r="F1717" s="1115" t="n">
        <v>54710</v>
      </c>
      <c r="G1717" s="1115" t="n">
        <v>45700</v>
      </c>
      <c r="H1717" s="1115" t="s">
        <v>1131</v>
      </c>
      <c r="I1717" s="1115" t="n">
        <v>44650</v>
      </c>
      <c r="J1717" s="1115" t="s">
        <v>1620</v>
      </c>
    </row>
    <row r="1718" customFormat="false" ht="14.1" hidden="false" customHeight="true" outlineLevel="0" collapsed="false">
      <c r="A1718" s="1115" t="n">
        <v>44640</v>
      </c>
      <c r="B1718" s="1115" t="s">
        <v>164</v>
      </c>
      <c r="C1718" s="1115" t="n">
        <v>44640</v>
      </c>
      <c r="D1718" s="1115" t="s">
        <v>2781</v>
      </c>
      <c r="E1718" s="1115" t="s">
        <v>1161</v>
      </c>
      <c r="F1718" s="1115" t="n">
        <v>22610</v>
      </c>
      <c r="G1718" s="1115" t="n">
        <v>45720</v>
      </c>
      <c r="H1718" s="1115" t="s">
        <v>1131</v>
      </c>
      <c r="I1718" s="1115" t="n">
        <v>44660</v>
      </c>
      <c r="J1718" s="1115" t="s">
        <v>1620</v>
      </c>
    </row>
    <row r="1719" customFormat="false" ht="14.1" hidden="false" customHeight="true" outlineLevel="0" collapsed="false">
      <c r="A1719" s="1115" t="n">
        <v>44650</v>
      </c>
      <c r="B1719" s="1115" t="s">
        <v>164</v>
      </c>
      <c r="C1719" s="1115" t="n">
        <v>44650</v>
      </c>
      <c r="D1719" s="1115" t="s">
        <v>2916</v>
      </c>
      <c r="E1719" s="1115" t="s">
        <v>1161</v>
      </c>
      <c r="F1719" s="1115" t="n">
        <v>22610</v>
      </c>
      <c r="G1719" s="1115" t="n">
        <v>45730</v>
      </c>
      <c r="H1719" s="1115" t="s">
        <v>1131</v>
      </c>
      <c r="I1719" s="1115" t="n">
        <v>44670</v>
      </c>
      <c r="J1719" s="1115" t="s">
        <v>1620</v>
      </c>
    </row>
    <row r="1720" customFormat="false" ht="14.1" hidden="false" customHeight="true" outlineLevel="0" collapsed="false">
      <c r="A1720" s="1115" t="n">
        <v>44660</v>
      </c>
      <c r="B1720" s="1115" t="s">
        <v>164</v>
      </c>
      <c r="C1720" s="1115" t="n">
        <v>44660</v>
      </c>
      <c r="D1720" s="1115" t="s">
        <v>2425</v>
      </c>
      <c r="E1720" s="1115" t="s">
        <v>2947</v>
      </c>
      <c r="F1720" s="1115" t="n">
        <v>99885</v>
      </c>
      <c r="G1720" s="1115" t="n">
        <v>45740</v>
      </c>
      <c r="H1720" s="1115" t="s">
        <v>1131</v>
      </c>
      <c r="I1720" s="1115" t="n">
        <v>44680</v>
      </c>
      <c r="J1720" s="1115" t="s">
        <v>1620</v>
      </c>
    </row>
    <row r="1721" customFormat="false" ht="14.1" hidden="false" customHeight="true" outlineLevel="0" collapsed="false">
      <c r="A1721" s="1115" t="n">
        <v>44670</v>
      </c>
      <c r="B1721" s="1115" t="s">
        <v>164</v>
      </c>
      <c r="C1721" s="1115" t="n">
        <v>44670</v>
      </c>
      <c r="D1721" s="1115" t="s">
        <v>2917</v>
      </c>
      <c r="E1721" s="1115" t="s">
        <v>2948</v>
      </c>
      <c r="F1721" s="1115" t="n">
        <v>56940</v>
      </c>
      <c r="G1721" s="1115" t="n">
        <v>45750</v>
      </c>
      <c r="H1721" s="1115" t="s">
        <v>2949</v>
      </c>
      <c r="I1721" s="1115" t="n">
        <v>44690</v>
      </c>
      <c r="J1721" s="1115" t="s">
        <v>1620</v>
      </c>
    </row>
    <row r="1722" customFormat="false" ht="14.1" hidden="false" customHeight="true" outlineLevel="0" collapsed="false">
      <c r="A1722" s="1115" t="n">
        <v>44680</v>
      </c>
      <c r="B1722" s="1115" t="s">
        <v>164</v>
      </c>
      <c r="C1722" s="1115" t="n">
        <v>44680</v>
      </c>
      <c r="D1722" s="1115" t="s">
        <v>2851</v>
      </c>
      <c r="E1722" s="1115" t="s">
        <v>2950</v>
      </c>
      <c r="F1722" s="1115" t="n">
        <v>77630</v>
      </c>
      <c r="G1722" s="1115" t="n">
        <v>45790</v>
      </c>
      <c r="H1722" s="1115" t="s">
        <v>2361</v>
      </c>
      <c r="I1722" s="1115" t="n">
        <v>44710</v>
      </c>
      <c r="J1722" s="1115" t="s">
        <v>1620</v>
      </c>
    </row>
    <row r="1723" customFormat="false" ht="14.1" hidden="false" customHeight="true" outlineLevel="0" collapsed="false">
      <c r="A1723" s="1115" t="n">
        <v>44690</v>
      </c>
      <c r="B1723" s="1115" t="s">
        <v>164</v>
      </c>
      <c r="C1723" s="1115" t="n">
        <v>44690</v>
      </c>
      <c r="D1723" s="1115" t="s">
        <v>1296</v>
      </c>
      <c r="E1723" s="1115" t="s">
        <v>1163</v>
      </c>
      <c r="F1723" s="1115" t="n">
        <v>33880</v>
      </c>
      <c r="G1723" s="1115" t="n">
        <v>45810</v>
      </c>
      <c r="H1723" s="1115" t="s">
        <v>2951</v>
      </c>
      <c r="I1723" s="1115" t="n">
        <v>44720</v>
      </c>
      <c r="J1723" s="1115" t="s">
        <v>1620</v>
      </c>
    </row>
    <row r="1724" customFormat="false" ht="14.1" hidden="false" customHeight="true" outlineLevel="0" collapsed="false">
      <c r="A1724" s="1115" t="n">
        <v>44710</v>
      </c>
      <c r="B1724" s="1115" t="s">
        <v>164</v>
      </c>
      <c r="C1724" s="1115" t="n">
        <v>44710</v>
      </c>
      <c r="D1724" s="1115" t="s">
        <v>2918</v>
      </c>
      <c r="E1724" s="1115" t="s">
        <v>1163</v>
      </c>
      <c r="F1724" s="1115" t="n">
        <v>37500</v>
      </c>
      <c r="G1724" s="1115" t="n">
        <v>45910</v>
      </c>
      <c r="H1724" s="1115" t="s">
        <v>2952</v>
      </c>
      <c r="I1724" s="1115" t="n">
        <v>44730</v>
      </c>
      <c r="J1724" s="1115" t="s">
        <v>1620</v>
      </c>
    </row>
    <row r="1725" customFormat="false" ht="14.1" hidden="false" customHeight="true" outlineLevel="0" collapsed="false">
      <c r="A1725" s="1115" t="n">
        <v>44720</v>
      </c>
      <c r="B1725" s="1115" t="s">
        <v>164</v>
      </c>
      <c r="C1725" s="1115" t="n">
        <v>44720</v>
      </c>
      <c r="D1725" s="1115" t="s">
        <v>2919</v>
      </c>
      <c r="E1725" s="1115" t="s">
        <v>1163</v>
      </c>
      <c r="F1725" s="1115" t="n">
        <v>37530</v>
      </c>
      <c r="G1725" s="1115" t="n">
        <v>45940</v>
      </c>
      <c r="H1725" s="1115" t="s">
        <v>2953</v>
      </c>
      <c r="I1725" s="1115" t="n">
        <v>44740</v>
      </c>
      <c r="J1725" s="1115" t="s">
        <v>1620</v>
      </c>
    </row>
    <row r="1726" customFormat="false" ht="14.1" hidden="false" customHeight="true" outlineLevel="0" collapsed="false">
      <c r="A1726" s="1115" t="n">
        <v>44730</v>
      </c>
      <c r="B1726" s="1115" t="s">
        <v>164</v>
      </c>
      <c r="C1726" s="1115" t="n">
        <v>44730</v>
      </c>
      <c r="D1726" s="1115" t="s">
        <v>2921</v>
      </c>
      <c r="E1726" s="1115" t="s">
        <v>1163</v>
      </c>
      <c r="F1726" s="1115" t="n">
        <v>37550</v>
      </c>
      <c r="G1726" s="1115" t="n">
        <v>46110</v>
      </c>
      <c r="H1726" s="1115" t="s">
        <v>2954</v>
      </c>
      <c r="I1726" s="1115" t="n">
        <v>44760</v>
      </c>
      <c r="J1726" s="1115" t="s">
        <v>1620</v>
      </c>
    </row>
    <row r="1727" customFormat="false" ht="14.1" hidden="false" customHeight="true" outlineLevel="0" collapsed="false">
      <c r="A1727" s="1115" t="n">
        <v>44740</v>
      </c>
      <c r="B1727" s="1115" t="s">
        <v>164</v>
      </c>
      <c r="C1727" s="1115" t="n">
        <v>44740</v>
      </c>
      <c r="D1727" s="1115" t="s">
        <v>2347</v>
      </c>
      <c r="E1727" s="1115" t="s">
        <v>1163</v>
      </c>
      <c r="F1727" s="1115" t="n">
        <v>37560</v>
      </c>
      <c r="G1727" s="1115" t="n">
        <v>46130</v>
      </c>
      <c r="H1727" s="1115" t="s">
        <v>2826</v>
      </c>
      <c r="I1727" s="1115" t="n">
        <v>44770</v>
      </c>
      <c r="J1727" s="1115" t="s">
        <v>1620</v>
      </c>
    </row>
    <row r="1728" customFormat="false" ht="14.1" hidden="false" customHeight="true" outlineLevel="0" collapsed="false">
      <c r="A1728" s="1115" t="n">
        <v>44760</v>
      </c>
      <c r="B1728" s="1115" t="s">
        <v>164</v>
      </c>
      <c r="C1728" s="1115" t="n">
        <v>44760</v>
      </c>
      <c r="D1728" s="1115" t="s">
        <v>2341</v>
      </c>
      <c r="E1728" s="1115" t="s">
        <v>1163</v>
      </c>
      <c r="F1728" s="1115" t="n">
        <v>37570</v>
      </c>
      <c r="G1728" s="1115" t="n">
        <v>46140</v>
      </c>
      <c r="H1728" s="1115" t="s">
        <v>2955</v>
      </c>
      <c r="I1728" s="1115" t="n">
        <v>44780</v>
      </c>
      <c r="J1728" s="1115" t="s">
        <v>1620</v>
      </c>
    </row>
    <row r="1729" customFormat="false" ht="14.1" hidden="false" customHeight="true" outlineLevel="0" collapsed="false">
      <c r="A1729" s="1115" t="n">
        <v>44770</v>
      </c>
      <c r="B1729" s="1115" t="s">
        <v>164</v>
      </c>
      <c r="C1729" s="1115" t="n">
        <v>44770</v>
      </c>
      <c r="D1729" s="1115" t="s">
        <v>2922</v>
      </c>
      <c r="E1729" s="1115" t="s">
        <v>1164</v>
      </c>
      <c r="F1729" s="1115" t="n">
        <v>21230</v>
      </c>
      <c r="G1729" s="1115" t="n">
        <v>46230</v>
      </c>
      <c r="H1729" s="1115" t="s">
        <v>915</v>
      </c>
      <c r="I1729" s="1115" t="n">
        <v>44790</v>
      </c>
      <c r="J1729" s="1115" t="s">
        <v>1620</v>
      </c>
    </row>
    <row r="1730" customFormat="false" ht="14.1" hidden="false" customHeight="true" outlineLevel="0" collapsed="false">
      <c r="A1730" s="1115" t="n">
        <v>44780</v>
      </c>
      <c r="B1730" s="1115" t="s">
        <v>164</v>
      </c>
      <c r="C1730" s="1115" t="n">
        <v>44780</v>
      </c>
      <c r="D1730" s="1115" t="s">
        <v>2923</v>
      </c>
      <c r="E1730" s="1115" t="s">
        <v>2956</v>
      </c>
      <c r="F1730" s="1115" t="n">
        <v>88930</v>
      </c>
      <c r="G1730" s="1115" t="n">
        <v>46250</v>
      </c>
      <c r="H1730" s="1115" t="s">
        <v>1510</v>
      </c>
      <c r="I1730" s="1115" t="n">
        <v>44800</v>
      </c>
      <c r="J1730" s="1115" t="s">
        <v>1346</v>
      </c>
    </row>
    <row r="1731" customFormat="false" ht="14.1" hidden="false" customHeight="true" outlineLevel="0" collapsed="false">
      <c r="A1731" s="1115" t="n">
        <v>44790</v>
      </c>
      <c r="B1731" s="1115" t="s">
        <v>164</v>
      </c>
      <c r="C1731" s="1115" t="n">
        <v>44790</v>
      </c>
      <c r="D1731" s="1115" t="s">
        <v>2629</v>
      </c>
      <c r="E1731" s="1115" t="s">
        <v>2957</v>
      </c>
      <c r="F1731" s="1115" t="n">
        <v>63230</v>
      </c>
      <c r="G1731" s="1115" t="n">
        <v>46310</v>
      </c>
      <c r="H1731" s="1115" t="s">
        <v>2958</v>
      </c>
      <c r="I1731" s="1115" t="n">
        <v>44820</v>
      </c>
      <c r="J1731" s="1115" t="s">
        <v>1346</v>
      </c>
    </row>
    <row r="1732" customFormat="false" ht="14.1" hidden="false" customHeight="true" outlineLevel="0" collapsed="false">
      <c r="A1732" s="1115" t="n">
        <v>44800</v>
      </c>
      <c r="B1732" s="1115" t="s">
        <v>168</v>
      </c>
      <c r="C1732" s="1115" t="n">
        <v>44800</v>
      </c>
      <c r="D1732" s="1115" t="s">
        <v>1346</v>
      </c>
      <c r="E1732" s="1115" t="s">
        <v>1661</v>
      </c>
      <c r="F1732" s="1115" t="n">
        <v>14610</v>
      </c>
      <c r="G1732" s="1115" t="n">
        <v>46350</v>
      </c>
      <c r="H1732" s="1115" t="s">
        <v>1945</v>
      </c>
      <c r="I1732" s="1115" t="n">
        <v>44830</v>
      </c>
      <c r="J1732" s="1115" t="s">
        <v>1346</v>
      </c>
    </row>
    <row r="1733" customFormat="false" ht="14.1" hidden="false" customHeight="true" outlineLevel="0" collapsed="false">
      <c r="A1733" s="1115" t="n">
        <v>44820</v>
      </c>
      <c r="B1733" s="1115" t="s">
        <v>168</v>
      </c>
      <c r="C1733" s="1115" t="n">
        <v>44820</v>
      </c>
      <c r="D1733" s="1115" t="s">
        <v>2924</v>
      </c>
      <c r="E1733" s="1115" t="s">
        <v>2959</v>
      </c>
      <c r="F1733" s="1115" t="n">
        <v>79880</v>
      </c>
      <c r="G1733" s="1115" t="n">
        <v>46400</v>
      </c>
      <c r="H1733" s="1115" t="s">
        <v>2144</v>
      </c>
      <c r="I1733" s="1115" t="n">
        <v>44840</v>
      </c>
      <c r="J1733" s="1115" t="s">
        <v>1346</v>
      </c>
    </row>
    <row r="1734" customFormat="false" ht="14.1" hidden="false" customHeight="true" outlineLevel="0" collapsed="false">
      <c r="A1734" s="1115" t="n">
        <v>44830</v>
      </c>
      <c r="B1734" s="1115" t="s">
        <v>168</v>
      </c>
      <c r="C1734" s="1115" t="n">
        <v>44830</v>
      </c>
      <c r="D1734" s="1115" t="s">
        <v>1926</v>
      </c>
      <c r="E1734" s="1115" t="s">
        <v>2336</v>
      </c>
      <c r="F1734" s="1115" t="n">
        <v>31330</v>
      </c>
      <c r="G1734" s="1115" t="n">
        <v>46430</v>
      </c>
      <c r="H1734" s="1115" t="s">
        <v>2960</v>
      </c>
      <c r="I1734" s="1115" t="n">
        <v>44860</v>
      </c>
      <c r="J1734" s="1115" t="s">
        <v>1346</v>
      </c>
    </row>
    <row r="1735" customFormat="false" ht="14.1" hidden="false" customHeight="true" outlineLevel="0" collapsed="false">
      <c r="A1735" s="1115" t="n">
        <v>44840</v>
      </c>
      <c r="B1735" s="1115" t="s">
        <v>168</v>
      </c>
      <c r="C1735" s="1115" t="n">
        <v>44840</v>
      </c>
      <c r="D1735" s="1115" t="s">
        <v>2927</v>
      </c>
      <c r="E1735" s="1115" t="s">
        <v>2961</v>
      </c>
      <c r="F1735" s="1115" t="n">
        <v>95290</v>
      </c>
      <c r="G1735" s="1115" t="n">
        <v>46450</v>
      </c>
      <c r="H1735" s="1115" t="s">
        <v>1099</v>
      </c>
      <c r="I1735" s="1115" t="n">
        <v>44870</v>
      </c>
      <c r="J1735" s="1115" t="s">
        <v>1346</v>
      </c>
    </row>
    <row r="1736" customFormat="false" ht="14.1" hidden="false" customHeight="true" outlineLevel="0" collapsed="false">
      <c r="A1736" s="1115" t="n">
        <v>44860</v>
      </c>
      <c r="B1736" s="1115" t="s">
        <v>168</v>
      </c>
      <c r="C1736" s="1115" t="n">
        <v>44860</v>
      </c>
      <c r="D1736" s="1115" t="s">
        <v>888</v>
      </c>
      <c r="E1736" s="1115" t="s">
        <v>2305</v>
      </c>
      <c r="F1736" s="1115" t="n">
        <v>29980</v>
      </c>
      <c r="G1736" s="1115" t="n">
        <v>46530</v>
      </c>
      <c r="H1736" s="1115" t="s">
        <v>2231</v>
      </c>
      <c r="I1736" s="1115" t="n">
        <v>44880</v>
      </c>
      <c r="J1736" s="1115" t="s">
        <v>1346</v>
      </c>
    </row>
    <row r="1737" customFormat="false" ht="14.1" hidden="false" customHeight="true" outlineLevel="0" collapsed="false">
      <c r="A1737" s="1115" t="n">
        <v>44870</v>
      </c>
      <c r="B1737" s="1115" t="s">
        <v>168</v>
      </c>
      <c r="C1737" s="1115" t="n">
        <v>44870</v>
      </c>
      <c r="D1737" s="1115" t="s">
        <v>2928</v>
      </c>
      <c r="E1737" s="1115" t="s">
        <v>2962</v>
      </c>
      <c r="F1737" s="1115" t="n">
        <v>91430</v>
      </c>
      <c r="G1737" s="1115" t="n">
        <v>46570</v>
      </c>
      <c r="H1737" s="1115" t="s">
        <v>2963</v>
      </c>
      <c r="I1737" s="1115" t="n">
        <v>44890</v>
      </c>
      <c r="J1737" s="1115" t="s">
        <v>1346</v>
      </c>
    </row>
    <row r="1738" customFormat="false" ht="14.1" hidden="false" customHeight="true" outlineLevel="0" collapsed="false">
      <c r="A1738" s="1115" t="n">
        <v>44880</v>
      </c>
      <c r="B1738" s="1115" t="s">
        <v>168</v>
      </c>
      <c r="C1738" s="1115" t="n">
        <v>44880</v>
      </c>
      <c r="D1738" s="1115" t="s">
        <v>2929</v>
      </c>
      <c r="E1738" s="1115" t="s">
        <v>2964</v>
      </c>
      <c r="F1738" s="1115" t="n">
        <v>68530</v>
      </c>
      <c r="G1738" s="1115" t="n">
        <v>46610</v>
      </c>
      <c r="H1738" s="1115" t="s">
        <v>1721</v>
      </c>
      <c r="I1738" s="1115" t="n">
        <v>44910</v>
      </c>
      <c r="J1738" s="1115" t="s">
        <v>1346</v>
      </c>
    </row>
    <row r="1739" customFormat="false" ht="14.1" hidden="false" customHeight="true" outlineLevel="0" collapsed="false">
      <c r="A1739" s="1115" t="n">
        <v>44890</v>
      </c>
      <c r="B1739" s="1115" t="s">
        <v>168</v>
      </c>
      <c r="C1739" s="1115" t="n">
        <v>44890</v>
      </c>
      <c r="D1739" s="1115" t="s">
        <v>2490</v>
      </c>
      <c r="E1739" s="1115" t="s">
        <v>2965</v>
      </c>
      <c r="F1739" s="1115" t="n">
        <v>71790</v>
      </c>
      <c r="G1739" s="1115" t="n">
        <v>46710</v>
      </c>
      <c r="H1739" s="1115" t="s">
        <v>2966</v>
      </c>
      <c r="I1739" s="1115" t="n">
        <v>44920</v>
      </c>
      <c r="J1739" s="1115" t="s">
        <v>1346</v>
      </c>
    </row>
    <row r="1740" customFormat="false" ht="14.1" hidden="false" customHeight="true" outlineLevel="0" collapsed="false">
      <c r="A1740" s="1115" t="n">
        <v>44910</v>
      </c>
      <c r="B1740" s="1115" t="s">
        <v>168</v>
      </c>
      <c r="C1740" s="1115" t="n">
        <v>44910</v>
      </c>
      <c r="D1740" s="1115" t="s">
        <v>1078</v>
      </c>
      <c r="E1740" s="1115" t="s">
        <v>2967</v>
      </c>
      <c r="F1740" s="1115" t="n">
        <v>99440</v>
      </c>
      <c r="G1740" s="1115" t="n">
        <v>46730</v>
      </c>
      <c r="H1740" s="1115" t="s">
        <v>2968</v>
      </c>
      <c r="I1740" s="1115" t="n">
        <v>44930</v>
      </c>
      <c r="J1740" s="1115" t="s">
        <v>1346</v>
      </c>
    </row>
    <row r="1741" customFormat="false" ht="14.1" hidden="false" customHeight="true" outlineLevel="0" collapsed="false">
      <c r="A1741" s="1115" t="n">
        <v>44920</v>
      </c>
      <c r="B1741" s="1115" t="s">
        <v>168</v>
      </c>
      <c r="C1741" s="1115" t="n">
        <v>44920</v>
      </c>
      <c r="D1741" s="1115" t="s">
        <v>2932</v>
      </c>
      <c r="E1741" s="1115" t="s">
        <v>1529</v>
      </c>
      <c r="F1741" s="1115" t="n">
        <v>9930</v>
      </c>
      <c r="G1741" s="1115" t="n">
        <v>46750</v>
      </c>
      <c r="H1741" s="1115" t="s">
        <v>2969</v>
      </c>
      <c r="I1741" s="1115" t="n">
        <v>44950</v>
      </c>
      <c r="J1741" s="1115" t="s">
        <v>1346</v>
      </c>
    </row>
    <row r="1742" customFormat="false" ht="14.1" hidden="false" customHeight="true" outlineLevel="0" collapsed="false">
      <c r="A1742" s="1115" t="n">
        <v>44930</v>
      </c>
      <c r="B1742" s="1115" t="s">
        <v>168</v>
      </c>
      <c r="C1742" s="1115" t="n">
        <v>44930</v>
      </c>
      <c r="D1742" s="1115" t="s">
        <v>2933</v>
      </c>
      <c r="E1742" s="1115" t="s">
        <v>1600</v>
      </c>
      <c r="F1742" s="1115" t="n">
        <v>12380</v>
      </c>
      <c r="G1742" s="1115" t="n">
        <v>46800</v>
      </c>
      <c r="H1742" s="1115" t="s">
        <v>2970</v>
      </c>
      <c r="I1742" s="1115" t="n">
        <v>44960</v>
      </c>
      <c r="J1742" s="1115" t="s">
        <v>1346</v>
      </c>
    </row>
    <row r="1743" customFormat="false" ht="14.1" hidden="false" customHeight="true" outlineLevel="0" collapsed="false">
      <c r="A1743" s="1115" t="n">
        <v>44950</v>
      </c>
      <c r="B1743" s="1115" t="s">
        <v>168</v>
      </c>
      <c r="C1743" s="1115" t="n">
        <v>44950</v>
      </c>
      <c r="D1743" s="1115" t="s">
        <v>2816</v>
      </c>
      <c r="E1743" s="1115" t="s">
        <v>2775</v>
      </c>
      <c r="F1743" s="1115" t="n">
        <v>41450</v>
      </c>
      <c r="G1743" s="1115" t="n">
        <v>46810</v>
      </c>
      <c r="H1743" s="1115" t="s">
        <v>2971</v>
      </c>
      <c r="I1743" s="1115" t="n">
        <v>44970</v>
      </c>
      <c r="J1743" s="1115" t="s">
        <v>1346</v>
      </c>
    </row>
    <row r="1744" customFormat="false" ht="14.1" hidden="false" customHeight="true" outlineLevel="0" collapsed="false">
      <c r="A1744" s="1115" t="n">
        <v>44960</v>
      </c>
      <c r="B1744" s="1115" t="s">
        <v>168</v>
      </c>
      <c r="C1744" s="1115" t="n">
        <v>44960</v>
      </c>
      <c r="D1744" s="1115" t="s">
        <v>1425</v>
      </c>
      <c r="E1744" s="1115" t="s">
        <v>2972</v>
      </c>
      <c r="F1744" s="1115" t="n">
        <v>63120</v>
      </c>
      <c r="G1744" s="1115" t="n">
        <v>46900</v>
      </c>
      <c r="H1744" s="1115" t="s">
        <v>1946</v>
      </c>
      <c r="I1744" s="1115" t="n">
        <v>44990</v>
      </c>
      <c r="J1744" s="1115" t="s">
        <v>1346</v>
      </c>
    </row>
    <row r="1745" customFormat="false" ht="14.1" hidden="false" customHeight="true" outlineLevel="0" collapsed="false">
      <c r="A1745" s="1115" t="n">
        <v>44970</v>
      </c>
      <c r="B1745" s="1115" t="s">
        <v>168</v>
      </c>
      <c r="C1745" s="1115" t="n">
        <v>44970</v>
      </c>
      <c r="D1745" s="1115" t="s">
        <v>2569</v>
      </c>
      <c r="E1745" s="1115" t="s">
        <v>2972</v>
      </c>
      <c r="F1745" s="1115" t="n">
        <v>63120</v>
      </c>
      <c r="G1745" s="1115" t="n">
        <v>46910</v>
      </c>
      <c r="H1745" s="1115" t="s">
        <v>896</v>
      </c>
      <c r="I1745" s="1115" t="n">
        <v>45007</v>
      </c>
      <c r="J1745" s="1115" t="s">
        <v>1110</v>
      </c>
    </row>
    <row r="1746" customFormat="false" ht="14.1" hidden="false" customHeight="true" outlineLevel="0" collapsed="false">
      <c r="A1746" s="1115" t="n">
        <v>44990</v>
      </c>
      <c r="B1746" s="1115" t="s">
        <v>168</v>
      </c>
      <c r="C1746" s="1115" t="n">
        <v>44990</v>
      </c>
      <c r="D1746" s="1115" t="s">
        <v>2437</v>
      </c>
      <c r="E1746" s="1115" t="s">
        <v>2973</v>
      </c>
      <c r="F1746" s="1115" t="n">
        <v>79290</v>
      </c>
      <c r="G1746" s="1115" t="n">
        <v>46930</v>
      </c>
      <c r="H1746" s="1115" t="s">
        <v>1823</v>
      </c>
      <c r="I1746" s="1115" t="n">
        <v>45100</v>
      </c>
      <c r="J1746" s="1115" t="s">
        <v>1110</v>
      </c>
    </row>
    <row r="1747" customFormat="false" ht="14.1" hidden="false" customHeight="true" outlineLevel="0" collapsed="false">
      <c r="A1747" s="1115" t="n">
        <v>45007</v>
      </c>
      <c r="B1747" s="1115" t="s">
        <v>162</v>
      </c>
      <c r="C1747" s="1115" t="n">
        <v>45007</v>
      </c>
      <c r="D1747" s="1115" t="s">
        <v>1110</v>
      </c>
      <c r="E1747" s="1115" t="s">
        <v>2751</v>
      </c>
      <c r="F1747" s="1115" t="n">
        <v>41310</v>
      </c>
      <c r="G1747" s="1115" t="n">
        <v>46950</v>
      </c>
      <c r="H1747" s="1115" t="s">
        <v>785</v>
      </c>
      <c r="I1747" s="1115" t="n">
        <v>45120</v>
      </c>
      <c r="J1747" s="1115" t="s">
        <v>1110</v>
      </c>
    </row>
    <row r="1748" customFormat="false" ht="14.1" hidden="false" customHeight="true" outlineLevel="0" collapsed="false">
      <c r="A1748" s="1115" t="n">
        <v>45100</v>
      </c>
      <c r="B1748" s="1115" t="s">
        <v>162</v>
      </c>
      <c r="C1748" s="1115" t="n">
        <v>45100</v>
      </c>
      <c r="D1748" s="1115" t="s">
        <v>1110</v>
      </c>
      <c r="E1748" s="1115" t="s">
        <v>1165</v>
      </c>
      <c r="F1748" s="1115" t="n">
        <v>79100</v>
      </c>
      <c r="G1748" s="1115" t="n">
        <v>46960</v>
      </c>
      <c r="H1748" s="1115" t="s">
        <v>2974</v>
      </c>
      <c r="I1748" s="1115" t="n">
        <v>45130</v>
      </c>
      <c r="J1748" s="1115" t="s">
        <v>1110</v>
      </c>
    </row>
    <row r="1749" customFormat="false" ht="14.1" hidden="false" customHeight="true" outlineLevel="0" collapsed="false">
      <c r="A1749" s="1115" t="n">
        <v>45120</v>
      </c>
      <c r="B1749" s="1115" t="s">
        <v>162</v>
      </c>
      <c r="C1749" s="1115" t="n">
        <v>45120</v>
      </c>
      <c r="D1749" s="1115" t="s">
        <v>1110</v>
      </c>
      <c r="E1749" s="1115" t="s">
        <v>1868</v>
      </c>
      <c r="F1749" s="1115" t="n">
        <v>19510</v>
      </c>
      <c r="G1749" s="1115" t="n">
        <v>47110</v>
      </c>
      <c r="H1749" s="1115" t="s">
        <v>2975</v>
      </c>
      <c r="I1749" s="1115" t="n">
        <v>45140</v>
      </c>
      <c r="J1749" s="1115" t="s">
        <v>1110</v>
      </c>
    </row>
    <row r="1750" customFormat="false" ht="14.1" hidden="false" customHeight="true" outlineLevel="0" collapsed="false">
      <c r="A1750" s="1115" t="n">
        <v>45130</v>
      </c>
      <c r="B1750" s="1115" t="s">
        <v>162</v>
      </c>
      <c r="C1750" s="1115" t="n">
        <v>45130</v>
      </c>
      <c r="D1750" s="1115" t="s">
        <v>1110</v>
      </c>
      <c r="E1750" s="1115" t="s">
        <v>1074</v>
      </c>
      <c r="F1750" s="1115" t="n">
        <v>1830</v>
      </c>
      <c r="G1750" s="1115" t="n">
        <v>47150</v>
      </c>
      <c r="H1750" s="1115" t="s">
        <v>2976</v>
      </c>
      <c r="I1750" s="1115" t="n">
        <v>45150</v>
      </c>
      <c r="J1750" s="1115" t="s">
        <v>1110</v>
      </c>
    </row>
    <row r="1751" customFormat="false" ht="14.1" hidden="false" customHeight="true" outlineLevel="0" collapsed="false">
      <c r="A1751" s="1115" t="n">
        <v>45140</v>
      </c>
      <c r="B1751" s="1115" t="s">
        <v>162</v>
      </c>
      <c r="C1751" s="1115" t="n">
        <v>45140</v>
      </c>
      <c r="D1751" s="1115" t="s">
        <v>1110</v>
      </c>
      <c r="E1751" s="1115" t="s">
        <v>2977</v>
      </c>
      <c r="F1751" s="1115" t="n">
        <v>92640</v>
      </c>
      <c r="G1751" s="1115" t="n">
        <v>47200</v>
      </c>
      <c r="H1751" s="1115" t="s">
        <v>756</v>
      </c>
      <c r="I1751" s="1115" t="n">
        <v>45160</v>
      </c>
      <c r="J1751" s="1115" t="s">
        <v>1110</v>
      </c>
    </row>
    <row r="1752" customFormat="false" ht="14.1" hidden="false" customHeight="true" outlineLevel="0" collapsed="false">
      <c r="A1752" s="1115" t="n">
        <v>45150</v>
      </c>
      <c r="B1752" s="1115" t="s">
        <v>162</v>
      </c>
      <c r="C1752" s="1115" t="n">
        <v>45150</v>
      </c>
      <c r="D1752" s="1115" t="s">
        <v>1110</v>
      </c>
      <c r="E1752" s="1115" t="s">
        <v>1167</v>
      </c>
      <c r="F1752" s="1115" t="n">
        <v>69440</v>
      </c>
      <c r="G1752" s="1115" t="n">
        <v>47210</v>
      </c>
      <c r="H1752" s="1115" t="s">
        <v>2978</v>
      </c>
      <c r="I1752" s="1115" t="n">
        <v>45200</v>
      </c>
      <c r="J1752" s="1115" t="s">
        <v>1110</v>
      </c>
    </row>
    <row r="1753" customFormat="false" ht="14.1" hidden="false" customHeight="true" outlineLevel="0" collapsed="false">
      <c r="A1753" s="1115" t="n">
        <v>45160</v>
      </c>
      <c r="B1753" s="1115" t="s">
        <v>162</v>
      </c>
      <c r="C1753" s="1115" t="n">
        <v>45160</v>
      </c>
      <c r="D1753" s="1115" t="s">
        <v>1110</v>
      </c>
      <c r="E1753" s="1115" t="s">
        <v>1659</v>
      </c>
      <c r="F1753" s="1115" t="n">
        <v>14530</v>
      </c>
      <c r="G1753" s="1115" t="n">
        <v>47230</v>
      </c>
      <c r="H1753" s="1115" t="s">
        <v>2979</v>
      </c>
      <c r="I1753" s="1115" t="n">
        <v>45270</v>
      </c>
      <c r="J1753" s="1115" t="s">
        <v>1110</v>
      </c>
    </row>
    <row r="1754" customFormat="false" ht="14.1" hidden="false" customHeight="true" outlineLevel="0" collapsed="false">
      <c r="A1754" s="1115" t="n">
        <v>45200</v>
      </c>
      <c r="B1754" s="1115" t="s">
        <v>162</v>
      </c>
      <c r="C1754" s="1115" t="n">
        <v>45200</v>
      </c>
      <c r="D1754" s="1115" t="s">
        <v>1110</v>
      </c>
      <c r="E1754" s="1115" t="s">
        <v>2314</v>
      </c>
      <c r="F1754" s="1115" t="n">
        <v>30940</v>
      </c>
      <c r="G1754" s="1115" t="n">
        <v>47240</v>
      </c>
      <c r="H1754" s="1115" t="s">
        <v>2877</v>
      </c>
      <c r="I1754" s="1115" t="n">
        <v>45330</v>
      </c>
      <c r="J1754" s="1115" t="s">
        <v>1110</v>
      </c>
    </row>
    <row r="1755" customFormat="false" ht="14.1" hidden="false" customHeight="true" outlineLevel="0" collapsed="false">
      <c r="A1755" s="1115" t="n">
        <v>45270</v>
      </c>
      <c r="B1755" s="1115" t="s">
        <v>162</v>
      </c>
      <c r="C1755" s="1115" t="n">
        <v>45270</v>
      </c>
      <c r="D1755" s="1115" t="s">
        <v>807</v>
      </c>
      <c r="E1755" s="1115" t="s">
        <v>2256</v>
      </c>
      <c r="F1755" s="1115" t="n">
        <v>29330</v>
      </c>
      <c r="G1755" s="1115" t="n">
        <v>47250</v>
      </c>
      <c r="H1755" s="1115" t="s">
        <v>2980</v>
      </c>
      <c r="I1755" s="1115" t="n">
        <v>45360</v>
      </c>
      <c r="J1755" s="1115" t="s">
        <v>1110</v>
      </c>
    </row>
    <row r="1756" customFormat="false" ht="14.1" hidden="false" customHeight="true" outlineLevel="0" collapsed="false">
      <c r="A1756" s="1115" t="n">
        <v>45330</v>
      </c>
      <c r="B1756" s="1115" t="s">
        <v>162</v>
      </c>
      <c r="C1756" s="1115" t="n">
        <v>45330</v>
      </c>
      <c r="D1756" s="1115" t="s">
        <v>1412</v>
      </c>
      <c r="E1756" s="1115" t="s">
        <v>1283</v>
      </c>
      <c r="F1756" s="1115" t="n">
        <v>4940</v>
      </c>
      <c r="G1756" s="1115" t="n">
        <v>47260</v>
      </c>
      <c r="H1756" s="1115" t="s">
        <v>2981</v>
      </c>
      <c r="I1756" s="1115" t="n">
        <v>45370</v>
      </c>
      <c r="J1756" s="1115" t="s">
        <v>1593</v>
      </c>
    </row>
    <row r="1757" customFormat="false" ht="14.1" hidden="false" customHeight="true" outlineLevel="0" collapsed="false">
      <c r="A1757" s="1115" t="n">
        <v>45360</v>
      </c>
      <c r="B1757" s="1115" t="s">
        <v>162</v>
      </c>
      <c r="C1757" s="1115" t="n">
        <v>45360</v>
      </c>
      <c r="D1757" s="1115" t="s">
        <v>953</v>
      </c>
      <c r="E1757" s="1115" t="s">
        <v>2982</v>
      </c>
      <c r="F1757" s="1115" t="n">
        <v>62920</v>
      </c>
      <c r="G1757" s="1115" t="n">
        <v>47310</v>
      </c>
      <c r="H1757" s="1115" t="s">
        <v>1259</v>
      </c>
      <c r="I1757" s="1115" t="n">
        <v>45410</v>
      </c>
      <c r="J1757" s="1115" t="s">
        <v>1593</v>
      </c>
    </row>
    <row r="1758" customFormat="false" ht="14.1" hidden="false" customHeight="true" outlineLevel="0" collapsed="false">
      <c r="A1758" s="1115" t="n">
        <v>45370</v>
      </c>
      <c r="B1758" s="1115" t="s">
        <v>162</v>
      </c>
      <c r="C1758" s="1115" t="n">
        <v>45370</v>
      </c>
      <c r="D1758" s="1115" t="s">
        <v>1593</v>
      </c>
      <c r="E1758" s="1115" t="s">
        <v>2983</v>
      </c>
      <c r="F1758" s="1115" t="n">
        <v>85960</v>
      </c>
      <c r="G1758" s="1115" t="n">
        <v>47350</v>
      </c>
      <c r="H1758" s="1115" t="s">
        <v>2429</v>
      </c>
      <c r="I1758" s="1115" t="n">
        <v>45430</v>
      </c>
      <c r="J1758" s="1115" t="s">
        <v>1593</v>
      </c>
    </row>
    <row r="1759" customFormat="false" ht="14.1" hidden="false" customHeight="true" outlineLevel="0" collapsed="false">
      <c r="A1759" s="1115" t="n">
        <v>45410</v>
      </c>
      <c r="B1759" s="1115" t="s">
        <v>162</v>
      </c>
      <c r="C1759" s="1115" t="n">
        <v>45410</v>
      </c>
      <c r="D1759" s="1115" t="s">
        <v>2943</v>
      </c>
      <c r="E1759" s="1115" t="s">
        <v>2984</v>
      </c>
      <c r="F1759" s="1115" t="n">
        <v>51310</v>
      </c>
      <c r="G1759" s="1115" t="n">
        <v>47400</v>
      </c>
      <c r="H1759" s="1115" t="s">
        <v>2332</v>
      </c>
      <c r="I1759" s="1115" t="n">
        <v>45460</v>
      </c>
      <c r="J1759" s="1115" t="s">
        <v>1593</v>
      </c>
    </row>
    <row r="1760" customFormat="false" ht="14.1" hidden="false" customHeight="true" outlineLevel="0" collapsed="false">
      <c r="A1760" s="1115" t="n">
        <v>45430</v>
      </c>
      <c r="B1760" s="1115" t="s">
        <v>162</v>
      </c>
      <c r="C1760" s="1115" t="n">
        <v>45430</v>
      </c>
      <c r="D1760" s="1115" t="s">
        <v>2662</v>
      </c>
      <c r="E1760" s="1115" t="s">
        <v>2985</v>
      </c>
      <c r="F1760" s="1115" t="n">
        <v>71290</v>
      </c>
      <c r="G1760" s="1115" t="n">
        <v>47440</v>
      </c>
      <c r="H1760" s="1115" t="s">
        <v>2986</v>
      </c>
      <c r="I1760" s="1115" t="n">
        <v>45550</v>
      </c>
      <c r="J1760" s="1115" t="s">
        <v>1593</v>
      </c>
    </row>
    <row r="1761" customFormat="false" ht="14.1" hidden="false" customHeight="true" outlineLevel="0" collapsed="false">
      <c r="A1761" s="1115" t="n">
        <v>45460</v>
      </c>
      <c r="B1761" s="1115" t="s">
        <v>162</v>
      </c>
      <c r="C1761" s="1115" t="n">
        <v>45460</v>
      </c>
      <c r="D1761" s="1115" t="s">
        <v>2946</v>
      </c>
      <c r="E1761" s="1115" t="s">
        <v>2987</v>
      </c>
      <c r="F1761" s="1115" t="n">
        <v>54930</v>
      </c>
      <c r="G1761" s="1115" t="n">
        <v>47450</v>
      </c>
      <c r="H1761" s="1115" t="s">
        <v>1105</v>
      </c>
      <c r="I1761" s="1115" t="n">
        <v>45610</v>
      </c>
      <c r="J1761" s="1115" t="s">
        <v>1593</v>
      </c>
    </row>
    <row r="1762" customFormat="false" ht="14.1" hidden="false" customHeight="true" outlineLevel="0" collapsed="false">
      <c r="A1762" s="1115" t="n">
        <v>45550</v>
      </c>
      <c r="B1762" s="1115" t="s">
        <v>162</v>
      </c>
      <c r="C1762" s="1115" t="n">
        <v>45550</v>
      </c>
      <c r="D1762" s="1115" t="s">
        <v>2156</v>
      </c>
      <c r="E1762" s="1115" t="s">
        <v>2293</v>
      </c>
      <c r="F1762" s="1115" t="n">
        <v>29880</v>
      </c>
      <c r="G1762" s="1115" t="n">
        <v>47460</v>
      </c>
      <c r="H1762" s="1115" t="s">
        <v>1698</v>
      </c>
      <c r="I1762" s="1115" t="n">
        <v>45700</v>
      </c>
      <c r="J1762" s="1115" t="s">
        <v>1131</v>
      </c>
    </row>
    <row r="1763" customFormat="false" ht="14.1" hidden="false" customHeight="true" outlineLevel="0" collapsed="false">
      <c r="A1763" s="1115" t="n">
        <v>45610</v>
      </c>
      <c r="B1763" s="1115" t="s">
        <v>162</v>
      </c>
      <c r="C1763" s="1115" t="n">
        <v>45610</v>
      </c>
      <c r="D1763" s="1115" t="s">
        <v>2560</v>
      </c>
      <c r="E1763" s="1115" t="s">
        <v>2988</v>
      </c>
      <c r="F1763" s="1115" t="n">
        <v>95310</v>
      </c>
      <c r="G1763" s="1115" t="n">
        <v>47490</v>
      </c>
      <c r="H1763" s="1115" t="s">
        <v>2989</v>
      </c>
      <c r="I1763" s="1115" t="n">
        <v>45720</v>
      </c>
      <c r="J1763" s="1115" t="s">
        <v>1131</v>
      </c>
    </row>
    <row r="1764" customFormat="false" ht="14.1" hidden="false" customHeight="true" outlineLevel="0" collapsed="false">
      <c r="A1764" s="1115" t="n">
        <v>45700</v>
      </c>
      <c r="B1764" s="1115" t="s">
        <v>162</v>
      </c>
      <c r="C1764" s="1115" t="n">
        <v>45700</v>
      </c>
      <c r="D1764" s="1115" t="s">
        <v>1131</v>
      </c>
      <c r="E1764" s="1115" t="s">
        <v>2504</v>
      </c>
      <c r="F1764" s="1115" t="n">
        <v>34930</v>
      </c>
      <c r="G1764" s="1115" t="n">
        <v>47510</v>
      </c>
      <c r="H1764" s="1115" t="s">
        <v>2990</v>
      </c>
      <c r="I1764" s="1115" t="n">
        <v>45730</v>
      </c>
      <c r="J1764" s="1115" t="s">
        <v>1131</v>
      </c>
    </row>
    <row r="1765" customFormat="false" ht="14.1" hidden="false" customHeight="true" outlineLevel="0" collapsed="false">
      <c r="A1765" s="1115" t="n">
        <v>45720</v>
      </c>
      <c r="B1765" s="1115" t="s">
        <v>162</v>
      </c>
      <c r="C1765" s="1115" t="n">
        <v>45720</v>
      </c>
      <c r="D1765" s="1115" t="s">
        <v>1131</v>
      </c>
      <c r="E1765" s="1115" t="s">
        <v>1168</v>
      </c>
      <c r="F1765" s="1115" t="n">
        <v>81700</v>
      </c>
      <c r="G1765" s="1115" t="n">
        <v>47540</v>
      </c>
      <c r="H1765" s="1115" t="s">
        <v>2991</v>
      </c>
      <c r="I1765" s="1115" t="n">
        <v>45740</v>
      </c>
      <c r="J1765" s="1115" t="s">
        <v>1131</v>
      </c>
    </row>
    <row r="1766" customFormat="false" ht="14.1" hidden="false" customHeight="true" outlineLevel="0" collapsed="false">
      <c r="A1766" s="1115" t="n">
        <v>45730</v>
      </c>
      <c r="B1766" s="1115" t="s">
        <v>162</v>
      </c>
      <c r="C1766" s="1115" t="n">
        <v>45730</v>
      </c>
      <c r="D1766" s="1115" t="s">
        <v>1131</v>
      </c>
      <c r="E1766" s="1115" t="s">
        <v>1168</v>
      </c>
      <c r="F1766" s="1115" t="n">
        <v>81720</v>
      </c>
      <c r="G1766" s="1115" t="n">
        <v>47570</v>
      </c>
      <c r="H1766" s="1115" t="s">
        <v>875</v>
      </c>
      <c r="I1766" s="1115" t="n">
        <v>45750</v>
      </c>
      <c r="J1766" s="1115" t="s">
        <v>1131</v>
      </c>
    </row>
    <row r="1767" customFormat="false" ht="14.1" hidden="false" customHeight="true" outlineLevel="0" collapsed="false">
      <c r="A1767" s="1115" t="n">
        <v>45740</v>
      </c>
      <c r="B1767" s="1115" t="s">
        <v>162</v>
      </c>
      <c r="C1767" s="1115" t="n">
        <v>45740</v>
      </c>
      <c r="D1767" s="1115" t="s">
        <v>1131</v>
      </c>
      <c r="E1767" s="1115" t="s">
        <v>1168</v>
      </c>
      <c r="F1767" s="1115" t="n">
        <v>81730</v>
      </c>
      <c r="G1767" s="1115" t="n">
        <v>47610</v>
      </c>
      <c r="H1767" s="1115" t="s">
        <v>2779</v>
      </c>
      <c r="I1767" s="1115" t="n">
        <v>45790</v>
      </c>
      <c r="J1767" s="1115" t="s">
        <v>1131</v>
      </c>
    </row>
    <row r="1768" customFormat="false" ht="14.1" hidden="false" customHeight="true" outlineLevel="0" collapsed="false">
      <c r="A1768" s="1115" t="n">
        <v>45750</v>
      </c>
      <c r="B1768" s="1115" t="s">
        <v>162</v>
      </c>
      <c r="C1768" s="1115" t="n">
        <v>45750</v>
      </c>
      <c r="D1768" s="1115" t="s">
        <v>2949</v>
      </c>
      <c r="E1768" s="1115" t="s">
        <v>1979</v>
      </c>
      <c r="F1768" s="1115" t="n">
        <v>21630</v>
      </c>
      <c r="G1768" s="1115" t="n">
        <v>47650</v>
      </c>
      <c r="H1768" s="1115" t="s">
        <v>2428</v>
      </c>
      <c r="I1768" s="1115" t="n">
        <v>45810</v>
      </c>
      <c r="J1768" s="1115" t="s">
        <v>1131</v>
      </c>
    </row>
    <row r="1769" customFormat="false" ht="14.1" hidden="false" customHeight="true" outlineLevel="0" collapsed="false">
      <c r="A1769" s="1115" t="n">
        <v>45790</v>
      </c>
      <c r="B1769" s="1115" t="s">
        <v>162</v>
      </c>
      <c r="C1769" s="1115" t="n">
        <v>45790</v>
      </c>
      <c r="D1769" s="1115" t="s">
        <v>2361</v>
      </c>
      <c r="E1769" s="1115" t="s">
        <v>2839</v>
      </c>
      <c r="F1769" s="1115" t="n">
        <v>42790</v>
      </c>
      <c r="G1769" s="1115" t="n">
        <v>47650</v>
      </c>
      <c r="H1769" s="1115" t="s">
        <v>2428</v>
      </c>
      <c r="I1769" s="1115" t="n">
        <v>45910</v>
      </c>
      <c r="J1769" s="1115" t="s">
        <v>1131</v>
      </c>
    </row>
    <row r="1770" customFormat="false" ht="14.1" hidden="false" customHeight="true" outlineLevel="0" collapsed="false">
      <c r="A1770" s="1115" t="n">
        <v>45810</v>
      </c>
      <c r="B1770" s="1115" t="s">
        <v>162</v>
      </c>
      <c r="C1770" s="1115" t="n">
        <v>45810</v>
      </c>
      <c r="D1770" s="1115" t="s">
        <v>2951</v>
      </c>
      <c r="E1770" s="1115" t="s">
        <v>1781</v>
      </c>
      <c r="F1770" s="1115" t="n">
        <v>16940</v>
      </c>
      <c r="G1770" s="1115" t="n">
        <v>47710</v>
      </c>
      <c r="H1770" s="1115" t="s">
        <v>894</v>
      </c>
      <c r="I1770" s="1115" t="n">
        <v>45940</v>
      </c>
      <c r="J1770" s="1115" t="s">
        <v>1131</v>
      </c>
    </row>
    <row r="1771" customFormat="false" ht="14.1" hidden="false" customHeight="true" outlineLevel="0" collapsed="false">
      <c r="A1771" s="1115" t="n">
        <v>45910</v>
      </c>
      <c r="B1771" s="1115" t="s">
        <v>162</v>
      </c>
      <c r="C1771" s="1115" t="n">
        <v>45910</v>
      </c>
      <c r="D1771" s="1115" t="s">
        <v>2952</v>
      </c>
      <c r="E1771" s="1115" t="s">
        <v>1170</v>
      </c>
      <c r="F1771" s="1115" t="n">
        <v>21360</v>
      </c>
      <c r="G1771" s="1115" t="n">
        <v>47730</v>
      </c>
      <c r="H1771" s="1115" t="s">
        <v>2992</v>
      </c>
      <c r="I1771" s="1115" t="n">
        <v>46110</v>
      </c>
      <c r="J1771" s="1115" t="s">
        <v>1131</v>
      </c>
    </row>
    <row r="1772" customFormat="false" ht="14.1" hidden="false" customHeight="true" outlineLevel="0" collapsed="false">
      <c r="A1772" s="1115" t="n">
        <v>45940</v>
      </c>
      <c r="B1772" s="1115" t="s">
        <v>162</v>
      </c>
      <c r="C1772" s="1115" t="n">
        <v>45940</v>
      </c>
      <c r="D1772" s="1115" t="s">
        <v>2953</v>
      </c>
      <c r="E1772" s="1115" t="s">
        <v>1170</v>
      </c>
      <c r="F1772" s="1115" t="n">
        <v>21420</v>
      </c>
      <c r="G1772" s="1115" t="n">
        <v>47760</v>
      </c>
      <c r="H1772" s="1115" t="s">
        <v>1784</v>
      </c>
      <c r="I1772" s="1115" t="n">
        <v>46130</v>
      </c>
      <c r="J1772" s="1115" t="s">
        <v>1131</v>
      </c>
    </row>
    <row r="1773" customFormat="false" ht="14.1" hidden="false" customHeight="true" outlineLevel="0" collapsed="false">
      <c r="A1773" s="1115" t="n">
        <v>46110</v>
      </c>
      <c r="B1773" s="1115" t="s">
        <v>162</v>
      </c>
      <c r="C1773" s="1115" t="n">
        <v>46110</v>
      </c>
      <c r="D1773" s="1115" t="s">
        <v>2954</v>
      </c>
      <c r="E1773" s="1115" t="s">
        <v>2768</v>
      </c>
      <c r="F1773" s="1115" t="n">
        <v>41400</v>
      </c>
      <c r="G1773" s="1115" t="n">
        <v>47810</v>
      </c>
      <c r="H1773" s="1115" t="s">
        <v>2993</v>
      </c>
      <c r="I1773" s="1115" t="n">
        <v>46140</v>
      </c>
      <c r="J1773" s="1115" t="s">
        <v>1131</v>
      </c>
    </row>
    <row r="1774" customFormat="false" ht="14.1" hidden="false" customHeight="true" outlineLevel="0" collapsed="false">
      <c r="A1774" s="1115" t="n">
        <v>46130</v>
      </c>
      <c r="B1774" s="1115" t="s">
        <v>162</v>
      </c>
      <c r="C1774" s="1115" t="n">
        <v>46130</v>
      </c>
      <c r="D1774" s="1115" t="s">
        <v>2826</v>
      </c>
      <c r="E1774" s="1115" t="s">
        <v>2994</v>
      </c>
      <c r="F1774" s="1115" t="n">
        <v>58640</v>
      </c>
      <c r="G1774" s="1115" t="n">
        <v>47830</v>
      </c>
      <c r="H1774" s="1115" t="s">
        <v>1446</v>
      </c>
      <c r="I1774" s="1115" t="n">
        <v>46230</v>
      </c>
      <c r="J1774" s="1115" t="s">
        <v>1131</v>
      </c>
    </row>
    <row r="1775" customFormat="false" ht="14.1" hidden="false" customHeight="true" outlineLevel="0" collapsed="false">
      <c r="A1775" s="1115" t="n">
        <v>46140</v>
      </c>
      <c r="B1775" s="1115" t="s">
        <v>162</v>
      </c>
      <c r="C1775" s="1115" t="n">
        <v>46140</v>
      </c>
      <c r="D1775" s="1115" t="s">
        <v>2955</v>
      </c>
      <c r="E1775" s="1115" t="s">
        <v>1866</v>
      </c>
      <c r="F1775" s="1115" t="n">
        <v>19470</v>
      </c>
      <c r="G1775" s="1115" t="n">
        <v>47850</v>
      </c>
      <c r="H1775" s="1115" t="s">
        <v>2995</v>
      </c>
      <c r="I1775" s="1115" t="n">
        <v>46250</v>
      </c>
      <c r="J1775" s="1115" t="s">
        <v>1131</v>
      </c>
    </row>
    <row r="1776" customFormat="false" ht="14.1" hidden="false" customHeight="true" outlineLevel="0" collapsed="false">
      <c r="A1776" s="1115" t="n">
        <v>46230</v>
      </c>
      <c r="B1776" s="1115" t="s">
        <v>162</v>
      </c>
      <c r="C1776" s="1115" t="n">
        <v>46230</v>
      </c>
      <c r="D1776" s="1115" t="s">
        <v>915</v>
      </c>
      <c r="E1776" s="1115" t="s">
        <v>2996</v>
      </c>
      <c r="F1776" s="1115" t="n">
        <v>52480</v>
      </c>
      <c r="G1776" s="1115" t="n">
        <v>47900</v>
      </c>
      <c r="H1776" s="1115" t="s">
        <v>2997</v>
      </c>
      <c r="I1776" s="1115" t="n">
        <v>46310</v>
      </c>
      <c r="J1776" s="1115" t="s">
        <v>1131</v>
      </c>
    </row>
    <row r="1777" customFormat="false" ht="14.1" hidden="false" customHeight="true" outlineLevel="0" collapsed="false">
      <c r="A1777" s="1115" t="n">
        <v>46250</v>
      </c>
      <c r="B1777" s="1115" t="s">
        <v>162</v>
      </c>
      <c r="C1777" s="1115" t="n">
        <v>46250</v>
      </c>
      <c r="D1777" s="1115" t="s">
        <v>1510</v>
      </c>
      <c r="E1777" s="1115" t="s">
        <v>2998</v>
      </c>
      <c r="F1777" s="1115" t="n">
        <v>93855</v>
      </c>
      <c r="G1777" s="1115" t="n">
        <v>47920</v>
      </c>
      <c r="H1777" s="1115" t="s">
        <v>2999</v>
      </c>
      <c r="I1777" s="1115" t="n">
        <v>46350</v>
      </c>
      <c r="J1777" s="1115" t="s">
        <v>1131</v>
      </c>
    </row>
    <row r="1778" customFormat="false" ht="14.1" hidden="false" customHeight="true" outlineLevel="0" collapsed="false">
      <c r="A1778" s="1115" t="n">
        <v>46310</v>
      </c>
      <c r="B1778" s="1115" t="s">
        <v>162</v>
      </c>
      <c r="C1778" s="1115" t="n">
        <v>46310</v>
      </c>
      <c r="D1778" s="1115" t="s">
        <v>2958</v>
      </c>
      <c r="E1778" s="1115" t="s">
        <v>2969</v>
      </c>
      <c r="F1778" s="1115" t="n">
        <v>46750</v>
      </c>
      <c r="G1778" s="1115" t="n">
        <v>48007</v>
      </c>
      <c r="H1778" s="1115" t="s">
        <v>1108</v>
      </c>
      <c r="I1778" s="1115" t="n">
        <v>46400</v>
      </c>
      <c r="J1778" s="1115" t="s">
        <v>1131</v>
      </c>
    </row>
    <row r="1779" customFormat="false" ht="14.1" hidden="false" customHeight="true" outlineLevel="0" collapsed="false">
      <c r="A1779" s="1115" t="n">
        <v>46350</v>
      </c>
      <c r="B1779" s="1115" t="s">
        <v>162</v>
      </c>
      <c r="C1779" s="1115" t="n">
        <v>46350</v>
      </c>
      <c r="D1779" s="1115" t="s">
        <v>1945</v>
      </c>
      <c r="E1779" s="1115" t="s">
        <v>1885</v>
      </c>
      <c r="F1779" s="1115" t="n">
        <v>19740</v>
      </c>
      <c r="G1779" s="1115" t="n">
        <v>48100</v>
      </c>
      <c r="H1779" s="1115" t="s">
        <v>1108</v>
      </c>
      <c r="I1779" s="1115" t="n">
        <v>46430</v>
      </c>
      <c r="J1779" s="1115" t="s">
        <v>1131</v>
      </c>
    </row>
    <row r="1780" customFormat="false" ht="14.1" hidden="false" customHeight="true" outlineLevel="0" collapsed="false">
      <c r="A1780" s="1115" t="n">
        <v>46400</v>
      </c>
      <c r="B1780" s="1115" t="s">
        <v>162</v>
      </c>
      <c r="C1780" s="1115" t="n">
        <v>46400</v>
      </c>
      <c r="D1780" s="1115" t="s">
        <v>2144</v>
      </c>
      <c r="E1780" s="1115" t="s">
        <v>2909</v>
      </c>
      <c r="F1780" s="1115" t="n">
        <v>44420</v>
      </c>
      <c r="G1780" s="1115" t="n">
        <v>48130</v>
      </c>
      <c r="H1780" s="1115" t="s">
        <v>1108</v>
      </c>
      <c r="I1780" s="1115" t="n">
        <v>46450</v>
      </c>
      <c r="J1780" s="1115" t="s">
        <v>1131</v>
      </c>
    </row>
    <row r="1781" customFormat="false" ht="14.1" hidden="false" customHeight="true" outlineLevel="0" collapsed="false">
      <c r="A1781" s="1115" t="n">
        <v>46430</v>
      </c>
      <c r="B1781" s="1115" t="s">
        <v>162</v>
      </c>
      <c r="C1781" s="1115" t="n">
        <v>46430</v>
      </c>
      <c r="D1781" s="1115" t="s">
        <v>2960</v>
      </c>
      <c r="E1781" s="1115" t="s">
        <v>2933</v>
      </c>
      <c r="F1781" s="1115" t="n">
        <v>44930</v>
      </c>
      <c r="G1781" s="1115" t="n">
        <v>48180</v>
      </c>
      <c r="H1781" s="1115" t="s">
        <v>2764</v>
      </c>
      <c r="I1781" s="1115" t="n">
        <v>46530</v>
      </c>
      <c r="J1781" s="1115" t="s">
        <v>1201</v>
      </c>
    </row>
    <row r="1782" customFormat="false" ht="14.1" hidden="false" customHeight="true" outlineLevel="0" collapsed="false">
      <c r="A1782" s="1115" t="n">
        <v>46450</v>
      </c>
      <c r="B1782" s="1115" t="s">
        <v>162</v>
      </c>
      <c r="C1782" s="1115" t="n">
        <v>46450</v>
      </c>
      <c r="D1782" s="1115" t="s">
        <v>1099</v>
      </c>
      <c r="E1782" s="1115" t="s">
        <v>2375</v>
      </c>
      <c r="F1782" s="1115" t="n">
        <v>31820</v>
      </c>
      <c r="G1782" s="1115" t="n">
        <v>48200</v>
      </c>
      <c r="H1782" s="1115" t="s">
        <v>1108</v>
      </c>
      <c r="I1782" s="1115" t="n">
        <v>46570</v>
      </c>
      <c r="J1782" s="1115" t="s">
        <v>1201</v>
      </c>
    </row>
    <row r="1783" customFormat="false" ht="14.1" hidden="false" customHeight="true" outlineLevel="0" collapsed="false">
      <c r="A1783" s="1115" t="n">
        <v>46530</v>
      </c>
      <c r="B1783" s="1115" t="s">
        <v>162</v>
      </c>
      <c r="C1783" s="1115" t="n">
        <v>46530</v>
      </c>
      <c r="D1783" s="1115" t="s">
        <v>2231</v>
      </c>
      <c r="E1783" s="1115" t="s">
        <v>1173</v>
      </c>
      <c r="F1783" s="1115" t="n">
        <v>7880</v>
      </c>
      <c r="G1783" s="1115" t="n">
        <v>48210</v>
      </c>
      <c r="H1783" s="1115" t="s">
        <v>1108</v>
      </c>
      <c r="I1783" s="1115" t="n">
        <v>46610</v>
      </c>
      <c r="J1783" s="1115" t="s">
        <v>1201</v>
      </c>
    </row>
    <row r="1784" customFormat="false" ht="14.1" hidden="false" customHeight="true" outlineLevel="0" collapsed="false">
      <c r="A1784" s="1115" t="n">
        <v>46570</v>
      </c>
      <c r="B1784" s="1115" t="s">
        <v>162</v>
      </c>
      <c r="C1784" s="1115" t="n">
        <v>46570</v>
      </c>
      <c r="D1784" s="1115" t="s">
        <v>2963</v>
      </c>
      <c r="E1784" s="1115" t="s">
        <v>1981</v>
      </c>
      <c r="F1784" s="1115" t="n">
        <v>21650</v>
      </c>
      <c r="G1784" s="1115" t="n">
        <v>48220</v>
      </c>
      <c r="H1784" s="1115" t="s">
        <v>1108</v>
      </c>
      <c r="I1784" s="1115" t="n">
        <v>46710</v>
      </c>
      <c r="J1784" s="1115" t="s">
        <v>1201</v>
      </c>
    </row>
    <row r="1785" customFormat="false" ht="14.1" hidden="false" customHeight="true" outlineLevel="0" collapsed="false">
      <c r="A1785" s="1115" t="n">
        <v>46610</v>
      </c>
      <c r="B1785" s="1115" t="s">
        <v>162</v>
      </c>
      <c r="C1785" s="1115" t="n">
        <v>46610</v>
      </c>
      <c r="D1785" s="1115" t="s">
        <v>1721</v>
      </c>
      <c r="E1785" s="1115" t="s">
        <v>3000</v>
      </c>
      <c r="F1785" s="1115" t="n">
        <v>68940</v>
      </c>
      <c r="G1785" s="1115" t="n">
        <v>48230</v>
      </c>
      <c r="H1785" s="1115" t="s">
        <v>1108</v>
      </c>
      <c r="I1785" s="1115" t="n">
        <v>46730</v>
      </c>
      <c r="J1785" s="1115" t="s">
        <v>1201</v>
      </c>
    </row>
    <row r="1786" customFormat="false" ht="14.1" hidden="false" customHeight="true" outlineLevel="0" collapsed="false">
      <c r="A1786" s="1115" t="n">
        <v>46710</v>
      </c>
      <c r="B1786" s="1115" t="s">
        <v>162</v>
      </c>
      <c r="C1786" s="1115" t="n">
        <v>46710</v>
      </c>
      <c r="D1786" s="1115" t="s">
        <v>2966</v>
      </c>
      <c r="E1786" s="1115" t="s">
        <v>3001</v>
      </c>
      <c r="F1786" s="1115" t="n">
        <v>86130</v>
      </c>
      <c r="G1786" s="1115" t="n">
        <v>48300</v>
      </c>
      <c r="H1786" s="1115" t="s">
        <v>1108</v>
      </c>
      <c r="I1786" s="1115" t="n">
        <v>46750</v>
      </c>
      <c r="J1786" s="1115" t="s">
        <v>1201</v>
      </c>
    </row>
    <row r="1787" customFormat="false" ht="14.1" hidden="false" customHeight="true" outlineLevel="0" collapsed="false">
      <c r="A1787" s="1115" t="n">
        <v>46730</v>
      </c>
      <c r="B1787" s="1115" t="s">
        <v>162</v>
      </c>
      <c r="C1787" s="1115" t="n">
        <v>46730</v>
      </c>
      <c r="D1787" s="1115" t="s">
        <v>2968</v>
      </c>
      <c r="E1787" s="1115" t="s">
        <v>1176</v>
      </c>
      <c r="F1787" s="1115" t="n">
        <v>91900</v>
      </c>
      <c r="G1787" s="1115" t="n">
        <v>48310</v>
      </c>
      <c r="H1787" s="1115" t="s">
        <v>1108</v>
      </c>
      <c r="I1787" s="1115" t="n">
        <v>46800</v>
      </c>
      <c r="J1787" s="1115" t="s">
        <v>1201</v>
      </c>
    </row>
    <row r="1788" customFormat="false" ht="14.1" hidden="false" customHeight="true" outlineLevel="0" collapsed="false">
      <c r="A1788" s="1115" t="n">
        <v>46750</v>
      </c>
      <c r="B1788" s="1115" t="s">
        <v>162</v>
      </c>
      <c r="C1788" s="1115" t="n">
        <v>46750</v>
      </c>
      <c r="D1788" s="1115" t="s">
        <v>2969</v>
      </c>
      <c r="E1788" s="1115" t="s">
        <v>3002</v>
      </c>
      <c r="F1788" s="1115" t="n">
        <v>91750</v>
      </c>
      <c r="G1788" s="1115" t="n">
        <v>48350</v>
      </c>
      <c r="H1788" s="1115" t="s">
        <v>1108</v>
      </c>
      <c r="I1788" s="1115" t="n">
        <v>46810</v>
      </c>
      <c r="J1788" s="1115" t="s">
        <v>1201</v>
      </c>
    </row>
    <row r="1789" customFormat="false" ht="14.1" hidden="false" customHeight="true" outlineLevel="0" collapsed="false">
      <c r="A1789" s="1115" t="n">
        <v>46800</v>
      </c>
      <c r="B1789" s="1115" t="s">
        <v>162</v>
      </c>
      <c r="C1789" s="1115" t="n">
        <v>46800</v>
      </c>
      <c r="D1789" s="1115" t="s">
        <v>2970</v>
      </c>
      <c r="E1789" s="1115" t="s">
        <v>1460</v>
      </c>
      <c r="F1789" s="1115" t="n">
        <v>7840</v>
      </c>
      <c r="G1789" s="1115" t="n">
        <v>48400</v>
      </c>
      <c r="H1789" s="1115" t="s">
        <v>1108</v>
      </c>
      <c r="I1789" s="1115" t="n">
        <v>46900</v>
      </c>
      <c r="J1789" s="1115" t="s">
        <v>1201</v>
      </c>
    </row>
    <row r="1790" customFormat="false" ht="14.1" hidden="false" customHeight="true" outlineLevel="0" collapsed="false">
      <c r="A1790" s="1115" t="n">
        <v>46810</v>
      </c>
      <c r="B1790" s="1115" t="s">
        <v>162</v>
      </c>
      <c r="C1790" s="1115" t="n">
        <v>46810</v>
      </c>
      <c r="D1790" s="1115" t="s">
        <v>2971</v>
      </c>
      <c r="E1790" s="1115" t="s">
        <v>2856</v>
      </c>
      <c r="F1790" s="1115" t="n">
        <v>43150</v>
      </c>
      <c r="G1790" s="1115" t="n">
        <v>48600</v>
      </c>
      <c r="H1790" s="1115" t="s">
        <v>1108</v>
      </c>
      <c r="I1790" s="1115" t="n">
        <v>46910</v>
      </c>
      <c r="J1790" s="1115" t="s">
        <v>1201</v>
      </c>
    </row>
    <row r="1791" customFormat="false" ht="14.1" hidden="false" customHeight="true" outlineLevel="0" collapsed="false">
      <c r="A1791" s="1115" t="n">
        <v>46900</v>
      </c>
      <c r="B1791" s="1115" t="s">
        <v>162</v>
      </c>
      <c r="C1791" s="1115" t="n">
        <v>46900</v>
      </c>
      <c r="D1791" s="1115" t="s">
        <v>1946</v>
      </c>
      <c r="E1791" s="1115" t="s">
        <v>2714</v>
      </c>
      <c r="F1791" s="1115" t="n">
        <v>39810</v>
      </c>
      <c r="G1791" s="1115" t="n">
        <v>48700</v>
      </c>
      <c r="H1791" s="1115" t="s">
        <v>1108</v>
      </c>
      <c r="I1791" s="1115" t="n">
        <v>46930</v>
      </c>
      <c r="J1791" s="1115" t="s">
        <v>1108</v>
      </c>
    </row>
    <row r="1792" customFormat="false" ht="14.1" hidden="false" customHeight="true" outlineLevel="0" collapsed="false">
      <c r="A1792" s="1115" t="n">
        <v>46910</v>
      </c>
      <c r="B1792" s="1115" t="s">
        <v>162</v>
      </c>
      <c r="C1792" s="1115" t="n">
        <v>46910</v>
      </c>
      <c r="D1792" s="1115" t="s">
        <v>896</v>
      </c>
      <c r="E1792" s="1115" t="s">
        <v>2588</v>
      </c>
      <c r="F1792" s="1115" t="n">
        <v>37240</v>
      </c>
      <c r="G1792" s="1115" t="n">
        <v>48710</v>
      </c>
      <c r="H1792" s="1115" t="s">
        <v>1108</v>
      </c>
      <c r="I1792" s="1115" t="n">
        <v>46950</v>
      </c>
      <c r="J1792" s="1115" t="s">
        <v>1108</v>
      </c>
    </row>
    <row r="1793" customFormat="false" ht="14.1" hidden="false" customHeight="true" outlineLevel="0" collapsed="false">
      <c r="A1793" s="1115" t="n">
        <v>46930</v>
      </c>
      <c r="B1793" s="1115" t="s">
        <v>162</v>
      </c>
      <c r="C1793" s="1115" t="n">
        <v>46930</v>
      </c>
      <c r="D1793" s="1115" t="s">
        <v>1823</v>
      </c>
      <c r="E1793" s="1115" t="s">
        <v>3003</v>
      </c>
      <c r="F1793" s="1115" t="n">
        <v>99260</v>
      </c>
      <c r="G1793" s="1115" t="n">
        <v>48720</v>
      </c>
      <c r="H1793" s="1115" t="s">
        <v>1108</v>
      </c>
      <c r="I1793" s="1115" t="n">
        <v>46960</v>
      </c>
      <c r="J1793" s="1115" t="s">
        <v>1108</v>
      </c>
    </row>
    <row r="1794" customFormat="false" ht="14.1" hidden="false" customHeight="true" outlineLevel="0" collapsed="false">
      <c r="A1794" s="1115" t="n">
        <v>46950</v>
      </c>
      <c r="B1794" s="1115" t="s">
        <v>162</v>
      </c>
      <c r="C1794" s="1115" t="n">
        <v>46950</v>
      </c>
      <c r="D1794" s="1115" t="s">
        <v>785</v>
      </c>
      <c r="E1794" s="1115" t="s">
        <v>1179</v>
      </c>
      <c r="F1794" s="1115" t="n">
        <v>83100</v>
      </c>
      <c r="G1794" s="1115" t="n">
        <v>48750</v>
      </c>
      <c r="H1794" s="1115" t="s">
        <v>1108</v>
      </c>
      <c r="I1794" s="1115" t="n">
        <v>47110</v>
      </c>
      <c r="J1794" s="1115" t="s">
        <v>1108</v>
      </c>
    </row>
    <row r="1795" customFormat="false" ht="14.1" hidden="false" customHeight="true" outlineLevel="0" collapsed="false">
      <c r="A1795" s="1115" t="n">
        <v>46960</v>
      </c>
      <c r="B1795" s="1115" t="s">
        <v>162</v>
      </c>
      <c r="C1795" s="1115" t="n">
        <v>46960</v>
      </c>
      <c r="D1795" s="1115" t="s">
        <v>2974</v>
      </c>
      <c r="E1795" s="1115" t="s">
        <v>3004</v>
      </c>
      <c r="F1795" s="1115" t="n">
        <v>83210</v>
      </c>
      <c r="G1795" s="1115" t="n">
        <v>48770</v>
      </c>
      <c r="H1795" s="1115" t="s">
        <v>1108</v>
      </c>
      <c r="I1795" s="1115" t="n">
        <v>47150</v>
      </c>
      <c r="J1795" s="1115" t="s">
        <v>1108</v>
      </c>
    </row>
    <row r="1796" customFormat="false" ht="14.1" hidden="false" customHeight="true" outlineLevel="0" collapsed="false">
      <c r="A1796" s="1115" t="n">
        <v>47110</v>
      </c>
      <c r="B1796" s="1115" t="s">
        <v>162</v>
      </c>
      <c r="C1796" s="1115" t="n">
        <v>47110</v>
      </c>
      <c r="D1796" s="1115" t="s">
        <v>2975</v>
      </c>
      <c r="E1796" s="1115" t="s">
        <v>1427</v>
      </c>
      <c r="F1796" s="1115" t="n">
        <v>7630</v>
      </c>
      <c r="G1796" s="1115" t="n">
        <v>48800</v>
      </c>
      <c r="H1796" s="1115" t="s">
        <v>1108</v>
      </c>
      <c r="I1796" s="1115" t="n">
        <v>47200</v>
      </c>
      <c r="J1796" s="1115" t="s">
        <v>1108</v>
      </c>
    </row>
    <row r="1797" customFormat="false" ht="14.1" hidden="false" customHeight="true" outlineLevel="0" collapsed="false">
      <c r="A1797" s="1115" t="n">
        <v>47150</v>
      </c>
      <c r="B1797" s="1115" t="s">
        <v>162</v>
      </c>
      <c r="C1797" s="1115" t="n">
        <v>47150</v>
      </c>
      <c r="D1797" s="1115" t="s">
        <v>2976</v>
      </c>
      <c r="E1797" s="1115" t="s">
        <v>3005</v>
      </c>
      <c r="F1797" s="1115" t="n">
        <v>99890</v>
      </c>
      <c r="G1797" s="1115" t="n">
        <v>48810</v>
      </c>
      <c r="H1797" s="1115" t="s">
        <v>1108</v>
      </c>
      <c r="I1797" s="1115" t="n">
        <v>47210</v>
      </c>
      <c r="J1797" s="1115" t="s">
        <v>1108</v>
      </c>
    </row>
    <row r="1798" customFormat="false" ht="14.1" hidden="false" customHeight="true" outlineLevel="0" collapsed="false">
      <c r="A1798" s="1115" t="n">
        <v>47200</v>
      </c>
      <c r="B1798" s="1115" t="s">
        <v>162</v>
      </c>
      <c r="C1798" s="1115" t="n">
        <v>47200</v>
      </c>
      <c r="D1798" s="1115" t="s">
        <v>756</v>
      </c>
      <c r="E1798" s="1115" t="s">
        <v>3006</v>
      </c>
      <c r="F1798" s="1115" t="n">
        <v>71360</v>
      </c>
      <c r="G1798" s="1115" t="n">
        <v>48900</v>
      </c>
      <c r="H1798" s="1115" t="s">
        <v>1108</v>
      </c>
      <c r="I1798" s="1115" t="n">
        <v>47230</v>
      </c>
      <c r="J1798" s="1115" t="s">
        <v>1108</v>
      </c>
    </row>
    <row r="1799" customFormat="false" ht="14.1" hidden="false" customHeight="true" outlineLevel="0" collapsed="false">
      <c r="A1799" s="1115" t="n">
        <v>47210</v>
      </c>
      <c r="B1799" s="1115" t="s">
        <v>162</v>
      </c>
      <c r="C1799" s="1115" t="n">
        <v>47210</v>
      </c>
      <c r="D1799" s="1115" t="s">
        <v>2978</v>
      </c>
      <c r="E1799" s="1115" t="s">
        <v>3007</v>
      </c>
      <c r="F1799" s="1115" t="n">
        <v>82685</v>
      </c>
      <c r="G1799" s="1115" t="n">
        <v>48910</v>
      </c>
      <c r="H1799" s="1115" t="s">
        <v>1108</v>
      </c>
      <c r="I1799" s="1115" t="n">
        <v>47240</v>
      </c>
      <c r="J1799" s="1115" t="s">
        <v>1108</v>
      </c>
    </row>
    <row r="1800" customFormat="false" ht="14.1" hidden="false" customHeight="true" outlineLevel="0" collapsed="false">
      <c r="A1800" s="1115" t="n">
        <v>47230</v>
      </c>
      <c r="B1800" s="1115" t="s">
        <v>162</v>
      </c>
      <c r="C1800" s="1115" t="n">
        <v>47230</v>
      </c>
      <c r="D1800" s="1115" t="s">
        <v>2979</v>
      </c>
      <c r="E1800" s="1115" t="s">
        <v>1917</v>
      </c>
      <c r="F1800" s="1115" t="n">
        <v>20660</v>
      </c>
      <c r="G1800" s="1115" t="n">
        <v>48920</v>
      </c>
      <c r="H1800" s="1115" t="s">
        <v>1108</v>
      </c>
      <c r="I1800" s="1115" t="n">
        <v>47250</v>
      </c>
      <c r="J1800" s="1115" t="s">
        <v>1108</v>
      </c>
    </row>
    <row r="1801" customFormat="false" ht="14.1" hidden="false" customHeight="true" outlineLevel="0" collapsed="false">
      <c r="A1801" s="1115" t="n">
        <v>47240</v>
      </c>
      <c r="B1801" s="1115" t="s">
        <v>162</v>
      </c>
      <c r="C1801" s="1115" t="n">
        <v>47240</v>
      </c>
      <c r="D1801" s="1115" t="s">
        <v>2877</v>
      </c>
      <c r="E1801" s="1115" t="s">
        <v>1917</v>
      </c>
      <c r="F1801" s="1115" t="n">
        <v>20660</v>
      </c>
      <c r="G1801" s="1115" t="n">
        <v>48930</v>
      </c>
      <c r="H1801" s="1115" t="s">
        <v>1108</v>
      </c>
      <c r="I1801" s="1115" t="n">
        <v>47260</v>
      </c>
      <c r="J1801" s="1115" t="s">
        <v>1108</v>
      </c>
    </row>
    <row r="1802" customFormat="false" ht="14.1" hidden="false" customHeight="true" outlineLevel="0" collapsed="false">
      <c r="A1802" s="1115" t="n">
        <v>47250</v>
      </c>
      <c r="B1802" s="1115" t="s">
        <v>162</v>
      </c>
      <c r="C1802" s="1115" t="n">
        <v>47250</v>
      </c>
      <c r="D1802" s="1115" t="s">
        <v>2980</v>
      </c>
      <c r="E1802" s="1115" t="s">
        <v>3008</v>
      </c>
      <c r="F1802" s="1115" t="n">
        <v>93220</v>
      </c>
      <c r="G1802" s="1115" t="n">
        <v>49200</v>
      </c>
      <c r="H1802" s="1115" t="s">
        <v>1513</v>
      </c>
      <c r="I1802" s="1115" t="n">
        <v>47310</v>
      </c>
      <c r="J1802" s="1115" t="s">
        <v>1108</v>
      </c>
    </row>
    <row r="1803" customFormat="false" ht="14.1" hidden="false" customHeight="true" outlineLevel="0" collapsed="false">
      <c r="A1803" s="1115" t="n">
        <v>47260</v>
      </c>
      <c r="B1803" s="1115" t="s">
        <v>162</v>
      </c>
      <c r="C1803" s="1115" t="n">
        <v>47260</v>
      </c>
      <c r="D1803" s="1115" t="s">
        <v>2981</v>
      </c>
      <c r="E1803" s="1115" t="s">
        <v>1935</v>
      </c>
      <c r="F1803" s="1115" t="n">
        <v>21180</v>
      </c>
      <c r="G1803" s="1115" t="n">
        <v>49210</v>
      </c>
      <c r="H1803" s="1115" t="s">
        <v>1834</v>
      </c>
      <c r="I1803" s="1115" t="n">
        <v>47350</v>
      </c>
      <c r="J1803" s="1115" t="s">
        <v>1108</v>
      </c>
    </row>
    <row r="1804" customFormat="false" ht="14.1" hidden="false" customHeight="true" outlineLevel="0" collapsed="false">
      <c r="A1804" s="1115" t="n">
        <v>47310</v>
      </c>
      <c r="B1804" s="1115" t="s">
        <v>162</v>
      </c>
      <c r="C1804" s="1115" t="n">
        <v>47310</v>
      </c>
      <c r="D1804" s="1115" t="s">
        <v>1259</v>
      </c>
      <c r="E1804" s="1115" t="s">
        <v>3009</v>
      </c>
      <c r="F1804" s="1115" t="n">
        <v>95680</v>
      </c>
      <c r="G1804" s="1115" t="n">
        <v>49220</v>
      </c>
      <c r="H1804" s="1115" t="s">
        <v>3010</v>
      </c>
      <c r="I1804" s="1115" t="n">
        <v>47400</v>
      </c>
      <c r="J1804" s="1115" t="s">
        <v>1108</v>
      </c>
    </row>
    <row r="1805" customFormat="false" ht="14.1" hidden="false" customHeight="true" outlineLevel="0" collapsed="false">
      <c r="A1805" s="1115" t="n">
        <v>47350</v>
      </c>
      <c r="B1805" s="1115" t="s">
        <v>162</v>
      </c>
      <c r="C1805" s="1115" t="n">
        <v>47350</v>
      </c>
      <c r="D1805" s="1115" t="s">
        <v>2429</v>
      </c>
      <c r="E1805" s="1115" t="s">
        <v>2661</v>
      </c>
      <c r="F1805" s="1115" t="n">
        <v>38770</v>
      </c>
      <c r="G1805" s="1115" t="n">
        <v>49240</v>
      </c>
      <c r="H1805" s="1115" t="s">
        <v>3011</v>
      </c>
      <c r="I1805" s="1115" t="n">
        <v>47440</v>
      </c>
      <c r="J1805" s="1115" t="s">
        <v>1108</v>
      </c>
    </row>
    <row r="1806" customFormat="false" ht="14.1" hidden="false" customHeight="true" outlineLevel="0" collapsed="false">
      <c r="A1806" s="1115" t="n">
        <v>47400</v>
      </c>
      <c r="B1806" s="1115" t="s">
        <v>162</v>
      </c>
      <c r="C1806" s="1115" t="n">
        <v>47400</v>
      </c>
      <c r="D1806" s="1115" t="s">
        <v>2332</v>
      </c>
      <c r="E1806" s="1115" t="s">
        <v>3012</v>
      </c>
      <c r="F1806" s="1115" t="n">
        <v>58620</v>
      </c>
      <c r="G1806" s="1115" t="n">
        <v>49270</v>
      </c>
      <c r="H1806" s="1115" t="s">
        <v>1386</v>
      </c>
      <c r="I1806" s="1115" t="n">
        <v>47450</v>
      </c>
      <c r="J1806" s="1115" t="s">
        <v>1108</v>
      </c>
    </row>
    <row r="1807" customFormat="false" ht="14.1" hidden="false" customHeight="true" outlineLevel="0" collapsed="false">
      <c r="A1807" s="1115" t="n">
        <v>47440</v>
      </c>
      <c r="B1807" s="1115" t="s">
        <v>162</v>
      </c>
      <c r="C1807" s="1115" t="n">
        <v>47440</v>
      </c>
      <c r="D1807" s="1115" t="s">
        <v>2986</v>
      </c>
      <c r="E1807" s="1115" t="s">
        <v>3013</v>
      </c>
      <c r="F1807" s="1115" t="n">
        <v>61370</v>
      </c>
      <c r="G1807" s="1115" t="n">
        <v>49290</v>
      </c>
      <c r="H1807" s="1115" t="s">
        <v>3014</v>
      </c>
      <c r="I1807" s="1115" t="n">
        <v>47460</v>
      </c>
      <c r="J1807" s="1115" t="s">
        <v>1108</v>
      </c>
    </row>
    <row r="1808" customFormat="false" ht="14.1" hidden="false" customHeight="true" outlineLevel="0" collapsed="false">
      <c r="A1808" s="1115" t="n">
        <v>47450</v>
      </c>
      <c r="B1808" s="1115" t="s">
        <v>162</v>
      </c>
      <c r="C1808" s="1115" t="n">
        <v>47450</v>
      </c>
      <c r="D1808" s="1115" t="s">
        <v>1105</v>
      </c>
      <c r="E1808" s="1115" t="s">
        <v>3015</v>
      </c>
      <c r="F1808" s="1115" t="n">
        <v>97420</v>
      </c>
      <c r="G1808" s="1115" t="n">
        <v>49300</v>
      </c>
      <c r="H1808" s="1115" t="s">
        <v>3016</v>
      </c>
      <c r="I1808" s="1115" t="n">
        <v>47490</v>
      </c>
      <c r="J1808" s="1115" t="s">
        <v>1108</v>
      </c>
    </row>
    <row r="1809" customFormat="false" ht="14.1" hidden="false" customHeight="true" outlineLevel="0" collapsed="false">
      <c r="A1809" s="1115" t="n">
        <v>47460</v>
      </c>
      <c r="B1809" s="1115" t="s">
        <v>162</v>
      </c>
      <c r="C1809" s="1115" t="n">
        <v>47460</v>
      </c>
      <c r="D1809" s="1115" t="s">
        <v>1698</v>
      </c>
      <c r="E1809" s="1115" t="s">
        <v>3017</v>
      </c>
      <c r="F1809" s="1115" t="n">
        <v>97940</v>
      </c>
      <c r="G1809" s="1115" t="n">
        <v>49340</v>
      </c>
      <c r="H1809" s="1115" t="s">
        <v>2068</v>
      </c>
      <c r="I1809" s="1115" t="n">
        <v>47510</v>
      </c>
      <c r="J1809" s="1115" t="s">
        <v>1108</v>
      </c>
    </row>
    <row r="1810" customFormat="false" ht="14.1" hidden="false" customHeight="true" outlineLevel="0" collapsed="false">
      <c r="A1810" s="1115" t="n">
        <v>47490</v>
      </c>
      <c r="B1810" s="1115" t="s">
        <v>162</v>
      </c>
      <c r="C1810" s="1115" t="n">
        <v>47490</v>
      </c>
      <c r="D1810" s="1115" t="s">
        <v>2989</v>
      </c>
      <c r="E1810" s="1115" t="s">
        <v>1182</v>
      </c>
      <c r="F1810" s="1115" t="n">
        <v>8100</v>
      </c>
      <c r="G1810" s="1115" t="n">
        <v>49400</v>
      </c>
      <c r="H1810" s="1115" t="s">
        <v>821</v>
      </c>
      <c r="I1810" s="1115" t="n">
        <v>47540</v>
      </c>
      <c r="J1810" s="1115" t="s">
        <v>1108</v>
      </c>
    </row>
    <row r="1811" customFormat="false" ht="14.1" hidden="false" customHeight="true" outlineLevel="0" collapsed="false">
      <c r="A1811" s="1115" t="n">
        <v>47510</v>
      </c>
      <c r="B1811" s="1115" t="s">
        <v>162</v>
      </c>
      <c r="C1811" s="1115" t="n">
        <v>47510</v>
      </c>
      <c r="D1811" s="1115" t="s">
        <v>2990</v>
      </c>
      <c r="E1811" s="1115" t="s">
        <v>1182</v>
      </c>
      <c r="F1811" s="1115" t="n">
        <v>8150</v>
      </c>
      <c r="G1811" s="1115" t="n">
        <v>49410</v>
      </c>
      <c r="H1811" s="1115" t="s">
        <v>3018</v>
      </c>
      <c r="I1811" s="1115" t="n">
        <v>47570</v>
      </c>
      <c r="J1811" s="1115" t="s">
        <v>875</v>
      </c>
    </row>
    <row r="1812" customFormat="false" ht="14.1" hidden="false" customHeight="true" outlineLevel="0" collapsed="false">
      <c r="A1812" s="1115" t="n">
        <v>47540</v>
      </c>
      <c r="B1812" s="1115" t="s">
        <v>162</v>
      </c>
      <c r="C1812" s="1115" t="n">
        <v>47540</v>
      </c>
      <c r="D1812" s="1115" t="s">
        <v>2991</v>
      </c>
      <c r="E1812" s="1115" t="s">
        <v>1182</v>
      </c>
      <c r="F1812" s="1115" t="n">
        <v>8200</v>
      </c>
      <c r="G1812" s="1115" t="n">
        <v>49420</v>
      </c>
      <c r="H1812" s="1115" t="s">
        <v>821</v>
      </c>
      <c r="I1812" s="1115" t="n">
        <v>47610</v>
      </c>
      <c r="J1812" s="1115" t="s">
        <v>875</v>
      </c>
    </row>
    <row r="1813" customFormat="false" ht="14.1" hidden="false" customHeight="true" outlineLevel="0" collapsed="false">
      <c r="A1813" s="1115" t="n">
        <v>47570</v>
      </c>
      <c r="B1813" s="1115" t="s">
        <v>162</v>
      </c>
      <c r="C1813" s="1115" t="n">
        <v>47570</v>
      </c>
      <c r="D1813" s="1115" t="s">
        <v>875</v>
      </c>
      <c r="E1813" s="1115" t="s">
        <v>1182</v>
      </c>
      <c r="F1813" s="1115" t="n">
        <v>8350</v>
      </c>
      <c r="G1813" s="1115" t="n">
        <v>49460</v>
      </c>
      <c r="H1813" s="1115" t="s">
        <v>1703</v>
      </c>
      <c r="I1813" s="1115" t="n">
        <v>47650</v>
      </c>
      <c r="J1813" s="1115" t="s">
        <v>875</v>
      </c>
    </row>
    <row r="1814" customFormat="false" ht="14.1" hidden="false" customHeight="true" outlineLevel="0" collapsed="false">
      <c r="A1814" s="1115" t="n">
        <v>47610</v>
      </c>
      <c r="B1814" s="1115" t="s">
        <v>162</v>
      </c>
      <c r="C1814" s="1115" t="n">
        <v>47610</v>
      </c>
      <c r="D1814" s="1115" t="s">
        <v>2779</v>
      </c>
      <c r="E1814" s="1115" t="s">
        <v>1182</v>
      </c>
      <c r="F1814" s="1115" t="n">
        <v>8360</v>
      </c>
      <c r="G1814" s="1115" t="n">
        <v>49470</v>
      </c>
      <c r="H1814" s="1115" t="s">
        <v>2448</v>
      </c>
      <c r="I1814" s="1115" t="n">
        <v>47650</v>
      </c>
      <c r="J1814" s="1115" t="s">
        <v>875</v>
      </c>
    </row>
    <row r="1815" customFormat="false" ht="14.1" hidden="false" customHeight="true" outlineLevel="0" collapsed="false">
      <c r="A1815" s="1115" t="n">
        <v>47650</v>
      </c>
      <c r="B1815" s="1115" t="s">
        <v>162</v>
      </c>
      <c r="C1815" s="1115" t="n">
        <v>47650</v>
      </c>
      <c r="D1815" s="1115" t="s">
        <v>2428</v>
      </c>
      <c r="E1815" s="1115" t="s">
        <v>1182</v>
      </c>
      <c r="F1815" s="1115" t="n">
        <v>8450</v>
      </c>
      <c r="G1815" s="1115" t="n">
        <v>49480</v>
      </c>
      <c r="H1815" s="1115" t="s">
        <v>612</v>
      </c>
      <c r="I1815" s="1115" t="n">
        <v>47710</v>
      </c>
      <c r="J1815" s="1115" t="s">
        <v>875</v>
      </c>
    </row>
    <row r="1816" customFormat="false" ht="14.1" hidden="false" customHeight="true" outlineLevel="0" collapsed="false">
      <c r="A1816" s="1115" t="n">
        <v>47650</v>
      </c>
      <c r="B1816" s="1115" t="s">
        <v>162</v>
      </c>
      <c r="C1816" s="1115" t="n">
        <v>47650</v>
      </c>
      <c r="D1816" s="1115" t="s">
        <v>2428</v>
      </c>
      <c r="E1816" s="1115" t="s">
        <v>1182</v>
      </c>
      <c r="F1816" s="1115" t="n">
        <v>8480</v>
      </c>
      <c r="G1816" s="1115" t="n">
        <v>49490</v>
      </c>
      <c r="H1816" s="1115" t="s">
        <v>3019</v>
      </c>
      <c r="I1816" s="1115" t="n">
        <v>47730</v>
      </c>
      <c r="J1816" s="1115" t="s">
        <v>875</v>
      </c>
    </row>
    <row r="1817" customFormat="false" ht="14.1" hidden="false" customHeight="true" outlineLevel="0" collapsed="false">
      <c r="A1817" s="1115" t="n">
        <v>47710</v>
      </c>
      <c r="B1817" s="1115" t="s">
        <v>162</v>
      </c>
      <c r="C1817" s="1115" t="n">
        <v>47710</v>
      </c>
      <c r="D1817" s="1115" t="s">
        <v>894</v>
      </c>
      <c r="E1817" s="1115" t="s">
        <v>1182</v>
      </c>
      <c r="F1817" s="1115" t="n">
        <v>8500</v>
      </c>
      <c r="G1817" s="1115" t="n">
        <v>49510</v>
      </c>
      <c r="H1817" s="1115" t="s">
        <v>1825</v>
      </c>
      <c r="I1817" s="1115" t="n">
        <v>47760</v>
      </c>
      <c r="J1817" s="1115" t="s">
        <v>875</v>
      </c>
    </row>
    <row r="1818" customFormat="false" ht="14.1" hidden="false" customHeight="true" outlineLevel="0" collapsed="false">
      <c r="A1818" s="1115" t="n">
        <v>47730</v>
      </c>
      <c r="B1818" s="1115" t="s">
        <v>162</v>
      </c>
      <c r="C1818" s="1115" t="n">
        <v>47730</v>
      </c>
      <c r="D1818" s="1115" t="s">
        <v>2992</v>
      </c>
      <c r="E1818" s="1115" t="s">
        <v>1182</v>
      </c>
      <c r="F1818" s="1115" t="n">
        <v>8680</v>
      </c>
      <c r="G1818" s="1115" t="n">
        <v>49520</v>
      </c>
      <c r="H1818" s="1115" t="s">
        <v>3020</v>
      </c>
      <c r="I1818" s="1115" t="n">
        <v>47810</v>
      </c>
      <c r="J1818" s="1115" t="s">
        <v>875</v>
      </c>
    </row>
    <row r="1819" customFormat="false" ht="14.1" hidden="false" customHeight="true" outlineLevel="0" collapsed="false">
      <c r="A1819" s="1115" t="n">
        <v>47760</v>
      </c>
      <c r="B1819" s="1115" t="s">
        <v>162</v>
      </c>
      <c r="C1819" s="1115" t="n">
        <v>47760</v>
      </c>
      <c r="D1819" s="1115" t="s">
        <v>1784</v>
      </c>
      <c r="E1819" s="1115" t="s">
        <v>1182</v>
      </c>
      <c r="F1819" s="1115" t="n">
        <v>8700</v>
      </c>
      <c r="G1819" s="1115" t="n">
        <v>49540</v>
      </c>
      <c r="H1819" s="1115" t="s">
        <v>3021</v>
      </c>
      <c r="I1819" s="1115" t="n">
        <v>47830</v>
      </c>
      <c r="J1819" s="1115" t="s">
        <v>875</v>
      </c>
    </row>
    <row r="1820" customFormat="false" ht="14.1" hidden="false" customHeight="true" outlineLevel="0" collapsed="false">
      <c r="A1820" s="1115" t="n">
        <v>47810</v>
      </c>
      <c r="B1820" s="1115" t="s">
        <v>162</v>
      </c>
      <c r="C1820" s="1115" t="n">
        <v>47810</v>
      </c>
      <c r="D1820" s="1115" t="s">
        <v>2993</v>
      </c>
      <c r="E1820" s="1115" t="s">
        <v>1182</v>
      </c>
      <c r="F1820" s="1115" t="n">
        <v>8800</v>
      </c>
      <c r="G1820" s="1115" t="n">
        <v>49570</v>
      </c>
      <c r="H1820" s="1115" t="s">
        <v>2230</v>
      </c>
      <c r="I1820" s="1115" t="n">
        <v>47850</v>
      </c>
      <c r="J1820" s="1115" t="s">
        <v>875</v>
      </c>
    </row>
    <row r="1821" customFormat="false" ht="14.1" hidden="false" customHeight="true" outlineLevel="0" collapsed="false">
      <c r="A1821" s="1115" t="n">
        <v>47830</v>
      </c>
      <c r="B1821" s="1115" t="s">
        <v>162</v>
      </c>
      <c r="C1821" s="1115" t="n">
        <v>47830</v>
      </c>
      <c r="D1821" s="1115" t="s">
        <v>1446</v>
      </c>
      <c r="E1821" s="1115" t="s">
        <v>1185</v>
      </c>
      <c r="F1821" s="1115" t="n">
        <v>68230</v>
      </c>
      <c r="G1821" s="1115" t="n">
        <v>49590</v>
      </c>
      <c r="H1821" s="1115" t="s">
        <v>3022</v>
      </c>
      <c r="I1821" s="1115" t="n">
        <v>47900</v>
      </c>
      <c r="J1821" s="1115" t="s">
        <v>875</v>
      </c>
    </row>
    <row r="1822" customFormat="false" ht="14.1" hidden="false" customHeight="true" outlineLevel="0" collapsed="false">
      <c r="A1822" s="1115" t="n">
        <v>47850</v>
      </c>
      <c r="B1822" s="1115" t="s">
        <v>162</v>
      </c>
      <c r="C1822" s="1115" t="n">
        <v>47850</v>
      </c>
      <c r="D1822" s="1115" t="s">
        <v>2995</v>
      </c>
      <c r="E1822" s="1115" t="s">
        <v>1187</v>
      </c>
      <c r="F1822" s="1115" t="n">
        <v>32200</v>
      </c>
      <c r="G1822" s="1115" t="n">
        <v>49610</v>
      </c>
      <c r="H1822" s="1115" t="s">
        <v>3023</v>
      </c>
      <c r="I1822" s="1115" t="n">
        <v>47920</v>
      </c>
      <c r="J1822" s="1115" t="s">
        <v>875</v>
      </c>
    </row>
    <row r="1823" customFormat="false" ht="14.1" hidden="false" customHeight="true" outlineLevel="0" collapsed="false">
      <c r="A1823" s="1115" t="n">
        <v>47900</v>
      </c>
      <c r="B1823" s="1115" t="s">
        <v>162</v>
      </c>
      <c r="C1823" s="1115" t="n">
        <v>47900</v>
      </c>
      <c r="D1823" s="1115" t="s">
        <v>2997</v>
      </c>
      <c r="E1823" s="1115" t="s">
        <v>1187</v>
      </c>
      <c r="F1823" s="1115" t="n">
        <v>32210</v>
      </c>
      <c r="G1823" s="1115" t="n">
        <v>49630</v>
      </c>
      <c r="H1823" s="1115" t="s">
        <v>3024</v>
      </c>
      <c r="I1823" s="1115" t="n">
        <v>48007</v>
      </c>
      <c r="J1823" s="1115" t="s">
        <v>1108</v>
      </c>
    </row>
    <row r="1824" customFormat="false" ht="14.1" hidden="false" customHeight="true" outlineLevel="0" collapsed="false">
      <c r="A1824" s="1115" t="n">
        <v>47920</v>
      </c>
      <c r="B1824" s="1115" t="s">
        <v>162</v>
      </c>
      <c r="C1824" s="1115" t="n">
        <v>47920</v>
      </c>
      <c r="D1824" s="1115" t="s">
        <v>2999</v>
      </c>
      <c r="E1824" s="1115" t="s">
        <v>2862</v>
      </c>
      <c r="F1824" s="1115" t="n">
        <v>43390</v>
      </c>
      <c r="G1824" s="1115" t="n">
        <v>49640</v>
      </c>
      <c r="H1824" s="1115" t="s">
        <v>3025</v>
      </c>
      <c r="I1824" s="1115" t="n">
        <v>48100</v>
      </c>
      <c r="J1824" s="1115" t="s">
        <v>1108</v>
      </c>
    </row>
    <row r="1825" customFormat="false" ht="14.1" hidden="false" customHeight="true" outlineLevel="0" collapsed="false">
      <c r="A1825" s="1115" t="n">
        <v>48007</v>
      </c>
      <c r="B1825" s="1115" t="s">
        <v>157</v>
      </c>
      <c r="C1825" s="1115" t="n">
        <v>48007</v>
      </c>
      <c r="D1825" s="1115" t="s">
        <v>1108</v>
      </c>
      <c r="E1825" s="1115" t="s">
        <v>2064</v>
      </c>
      <c r="F1825" s="1115" t="n">
        <v>23450</v>
      </c>
      <c r="G1825" s="1115" t="n">
        <v>49660</v>
      </c>
      <c r="H1825" s="1115" t="s">
        <v>3026</v>
      </c>
      <c r="I1825" s="1115" t="n">
        <v>48130</v>
      </c>
      <c r="J1825" s="1115" t="s">
        <v>1108</v>
      </c>
    </row>
    <row r="1826" customFormat="false" ht="14.1" hidden="false" customHeight="true" outlineLevel="0" collapsed="false">
      <c r="A1826" s="1115" t="n">
        <v>48100</v>
      </c>
      <c r="B1826" s="1115" t="s">
        <v>157</v>
      </c>
      <c r="C1826" s="1115" t="n">
        <v>48100</v>
      </c>
      <c r="D1826" s="1115" t="s">
        <v>1108</v>
      </c>
      <c r="E1826" s="1115" t="s">
        <v>3027</v>
      </c>
      <c r="F1826" s="1115" t="n">
        <v>99645</v>
      </c>
      <c r="G1826" s="1115" t="n">
        <v>49680</v>
      </c>
      <c r="H1826" s="1115" t="s">
        <v>3028</v>
      </c>
      <c r="I1826" s="1115" t="n">
        <v>48180</v>
      </c>
      <c r="J1826" s="1115" t="s">
        <v>1108</v>
      </c>
    </row>
    <row r="1827" customFormat="false" ht="14.1" hidden="false" customHeight="true" outlineLevel="0" collapsed="false">
      <c r="A1827" s="1115" t="n">
        <v>48130</v>
      </c>
      <c r="B1827" s="1115" t="s">
        <v>157</v>
      </c>
      <c r="C1827" s="1115" t="n">
        <v>48130</v>
      </c>
      <c r="D1827" s="1115" t="s">
        <v>1108</v>
      </c>
      <c r="E1827" s="1115" t="s">
        <v>3029</v>
      </c>
      <c r="F1827" s="1115" t="n">
        <v>83965</v>
      </c>
      <c r="G1827" s="1115" t="n">
        <v>49700</v>
      </c>
      <c r="H1827" s="1115" t="s">
        <v>1230</v>
      </c>
      <c r="I1827" s="1115" t="n">
        <v>48200</v>
      </c>
      <c r="J1827" s="1115" t="s">
        <v>1108</v>
      </c>
    </row>
    <row r="1828" customFormat="false" ht="14.1" hidden="false" customHeight="true" outlineLevel="0" collapsed="false">
      <c r="A1828" s="1115" t="n">
        <v>48180</v>
      </c>
      <c r="B1828" s="1115" t="s">
        <v>157</v>
      </c>
      <c r="C1828" s="1115" t="n">
        <v>48180</v>
      </c>
      <c r="D1828" s="1115" t="s">
        <v>2764</v>
      </c>
      <c r="E1828" s="1115" t="s">
        <v>3030</v>
      </c>
      <c r="F1828" s="1115" t="n">
        <v>99160</v>
      </c>
      <c r="G1828" s="1115" t="n">
        <v>49720</v>
      </c>
      <c r="H1828" s="1115" t="s">
        <v>1821</v>
      </c>
      <c r="I1828" s="1115" t="n">
        <v>48210</v>
      </c>
      <c r="J1828" s="1115" t="s">
        <v>1108</v>
      </c>
    </row>
    <row r="1829" customFormat="false" ht="14.1" hidden="false" customHeight="true" outlineLevel="0" collapsed="false">
      <c r="A1829" s="1115" t="n">
        <v>48200</v>
      </c>
      <c r="B1829" s="1115" t="s">
        <v>157</v>
      </c>
      <c r="C1829" s="1115" t="n">
        <v>48200</v>
      </c>
      <c r="D1829" s="1115" t="s">
        <v>1108</v>
      </c>
      <c r="E1829" s="1115" t="s">
        <v>1190</v>
      </c>
      <c r="F1829" s="1115" t="n">
        <v>12700</v>
      </c>
      <c r="G1829" s="1115" t="n">
        <v>49730</v>
      </c>
      <c r="H1829" s="1115" t="s">
        <v>3031</v>
      </c>
      <c r="I1829" s="1115" t="n">
        <v>48220</v>
      </c>
      <c r="J1829" s="1115" t="s">
        <v>1108</v>
      </c>
    </row>
    <row r="1830" customFormat="false" ht="14.1" hidden="false" customHeight="true" outlineLevel="0" collapsed="false">
      <c r="A1830" s="1115" t="n">
        <v>48210</v>
      </c>
      <c r="B1830" s="1115" t="s">
        <v>157</v>
      </c>
      <c r="C1830" s="1115" t="n">
        <v>48210</v>
      </c>
      <c r="D1830" s="1115" t="s">
        <v>1108</v>
      </c>
      <c r="E1830" s="1115" t="s">
        <v>3032</v>
      </c>
      <c r="F1830" s="1115" t="n">
        <v>73730</v>
      </c>
      <c r="G1830" s="1115" t="n">
        <v>49750</v>
      </c>
      <c r="H1830" s="1115" t="s">
        <v>2190</v>
      </c>
      <c r="I1830" s="1115" t="n">
        <v>48230</v>
      </c>
      <c r="J1830" s="1115" t="s">
        <v>1108</v>
      </c>
    </row>
    <row r="1831" customFormat="false" ht="14.1" hidden="false" customHeight="true" outlineLevel="0" collapsed="false">
      <c r="A1831" s="1115" t="n">
        <v>48220</v>
      </c>
      <c r="B1831" s="1115" t="s">
        <v>157</v>
      </c>
      <c r="C1831" s="1115" t="n">
        <v>48220</v>
      </c>
      <c r="D1831" s="1115" t="s">
        <v>1108</v>
      </c>
      <c r="E1831" s="1115" t="s">
        <v>3033</v>
      </c>
      <c r="F1831" s="1115" t="n">
        <v>66620</v>
      </c>
      <c r="G1831" s="1115" t="n">
        <v>49760</v>
      </c>
      <c r="H1831" s="1115" t="s">
        <v>3034</v>
      </c>
      <c r="I1831" s="1115" t="n">
        <v>48300</v>
      </c>
      <c r="J1831" s="1115" t="s">
        <v>1108</v>
      </c>
    </row>
    <row r="1832" customFormat="false" ht="14.1" hidden="false" customHeight="true" outlineLevel="0" collapsed="false">
      <c r="A1832" s="1115" t="n">
        <v>48230</v>
      </c>
      <c r="B1832" s="1115" t="s">
        <v>157</v>
      </c>
      <c r="C1832" s="1115" t="n">
        <v>48230</v>
      </c>
      <c r="D1832" s="1115" t="s">
        <v>1108</v>
      </c>
      <c r="E1832" s="1115" t="s">
        <v>3035</v>
      </c>
      <c r="F1832" s="1115" t="n">
        <v>95340</v>
      </c>
      <c r="G1832" s="1115" t="n">
        <v>49770</v>
      </c>
      <c r="H1832" s="1115" t="s">
        <v>3036</v>
      </c>
      <c r="I1832" s="1115" t="n">
        <v>48310</v>
      </c>
      <c r="J1832" s="1115" t="s">
        <v>1108</v>
      </c>
    </row>
    <row r="1833" customFormat="false" ht="14.1" hidden="false" customHeight="true" outlineLevel="0" collapsed="false">
      <c r="A1833" s="1115" t="n">
        <v>48300</v>
      </c>
      <c r="B1833" s="1115" t="s">
        <v>157</v>
      </c>
      <c r="C1833" s="1115" t="n">
        <v>48300</v>
      </c>
      <c r="D1833" s="1115" t="s">
        <v>1108</v>
      </c>
      <c r="E1833" s="1115" t="s">
        <v>3037</v>
      </c>
      <c r="F1833" s="1115" t="n">
        <v>58220</v>
      </c>
      <c r="G1833" s="1115" t="n">
        <v>49780</v>
      </c>
      <c r="H1833" s="1115" t="s">
        <v>3038</v>
      </c>
      <c r="I1833" s="1115" t="n">
        <v>48350</v>
      </c>
      <c r="J1833" s="1115" t="s">
        <v>1108</v>
      </c>
    </row>
    <row r="1834" customFormat="false" ht="14.1" hidden="false" customHeight="true" outlineLevel="0" collapsed="false">
      <c r="A1834" s="1115" t="n">
        <v>48310</v>
      </c>
      <c r="B1834" s="1115" t="s">
        <v>157</v>
      </c>
      <c r="C1834" s="1115" t="n">
        <v>48310</v>
      </c>
      <c r="D1834" s="1115" t="s">
        <v>1108</v>
      </c>
      <c r="E1834" s="1115" t="s">
        <v>3039</v>
      </c>
      <c r="F1834" s="1115" t="n">
        <v>61120</v>
      </c>
      <c r="G1834" s="1115" t="n">
        <v>49840</v>
      </c>
      <c r="H1834" s="1115" t="s">
        <v>3040</v>
      </c>
      <c r="I1834" s="1115" t="n">
        <v>48400</v>
      </c>
      <c r="J1834" s="1115" t="s">
        <v>1108</v>
      </c>
    </row>
    <row r="1835" customFormat="false" ht="14.1" hidden="false" customHeight="true" outlineLevel="0" collapsed="false">
      <c r="A1835" s="1115" t="n">
        <v>48350</v>
      </c>
      <c r="B1835" s="1115" t="s">
        <v>157</v>
      </c>
      <c r="C1835" s="1115" t="n">
        <v>48350</v>
      </c>
      <c r="D1835" s="1115" t="s">
        <v>1108</v>
      </c>
      <c r="E1835" s="1115" t="s">
        <v>3041</v>
      </c>
      <c r="F1835" s="1115" t="n">
        <v>77370</v>
      </c>
      <c r="G1835" s="1115" t="n">
        <v>49860</v>
      </c>
      <c r="H1835" s="1115" t="s">
        <v>2457</v>
      </c>
      <c r="I1835" s="1115" t="n">
        <v>48600</v>
      </c>
      <c r="J1835" s="1115" t="s">
        <v>1108</v>
      </c>
    </row>
    <row r="1836" customFormat="false" ht="14.1" hidden="false" customHeight="true" outlineLevel="0" collapsed="false">
      <c r="A1836" s="1115" t="n">
        <v>48400</v>
      </c>
      <c r="B1836" s="1115" t="s">
        <v>157</v>
      </c>
      <c r="C1836" s="1115" t="n">
        <v>48400</v>
      </c>
      <c r="D1836" s="1115" t="s">
        <v>1108</v>
      </c>
      <c r="E1836" s="1115" t="s">
        <v>3042</v>
      </c>
      <c r="F1836" s="1115" t="n">
        <v>82545</v>
      </c>
      <c r="G1836" s="1115" t="n">
        <v>49880</v>
      </c>
      <c r="H1836" s="1115" t="s">
        <v>2308</v>
      </c>
      <c r="I1836" s="1115" t="n">
        <v>48700</v>
      </c>
      <c r="J1836" s="1115" t="s">
        <v>1108</v>
      </c>
    </row>
    <row r="1837" customFormat="false" ht="14.1" hidden="false" customHeight="true" outlineLevel="0" collapsed="false">
      <c r="A1837" s="1115" t="n">
        <v>48600</v>
      </c>
      <c r="B1837" s="1115" t="s">
        <v>157</v>
      </c>
      <c r="C1837" s="1115" t="n">
        <v>48600</v>
      </c>
      <c r="D1837" s="1115" t="s">
        <v>1108</v>
      </c>
      <c r="E1837" s="1115" t="s">
        <v>3043</v>
      </c>
      <c r="F1837" s="1115" t="n">
        <v>93440</v>
      </c>
      <c r="G1837" s="1115" t="n">
        <v>49900</v>
      </c>
      <c r="H1837" s="1115" t="s">
        <v>1626</v>
      </c>
      <c r="I1837" s="1115" t="n">
        <v>48710</v>
      </c>
      <c r="J1837" s="1115" t="s">
        <v>1108</v>
      </c>
    </row>
    <row r="1838" customFormat="false" ht="14.1" hidden="false" customHeight="true" outlineLevel="0" collapsed="false">
      <c r="A1838" s="1115" t="n">
        <v>48700</v>
      </c>
      <c r="B1838" s="1115" t="s">
        <v>157</v>
      </c>
      <c r="C1838" s="1115" t="n">
        <v>48700</v>
      </c>
      <c r="D1838" s="1115" t="s">
        <v>1108</v>
      </c>
      <c r="E1838" s="1115" t="s">
        <v>1192</v>
      </c>
      <c r="F1838" s="1115" t="n">
        <v>7900</v>
      </c>
      <c r="G1838" s="1115" t="n">
        <v>49920</v>
      </c>
      <c r="H1838" s="1115" t="s">
        <v>1555</v>
      </c>
      <c r="I1838" s="1115" t="n">
        <v>48720</v>
      </c>
      <c r="J1838" s="1115" t="s">
        <v>1108</v>
      </c>
    </row>
    <row r="1839" customFormat="false" ht="14.1" hidden="false" customHeight="true" outlineLevel="0" collapsed="false">
      <c r="A1839" s="1115" t="n">
        <v>48710</v>
      </c>
      <c r="B1839" s="1115" t="s">
        <v>157</v>
      </c>
      <c r="C1839" s="1115" t="n">
        <v>48710</v>
      </c>
      <c r="D1839" s="1115" t="s">
        <v>1108</v>
      </c>
      <c r="E1839" s="1115" t="s">
        <v>1192</v>
      </c>
      <c r="F1839" s="1115" t="n">
        <v>7920</v>
      </c>
      <c r="G1839" s="1115" t="n">
        <v>49930</v>
      </c>
      <c r="H1839" s="1115" t="s">
        <v>3044</v>
      </c>
      <c r="I1839" s="1115" t="n">
        <v>48750</v>
      </c>
      <c r="J1839" s="1115" t="s">
        <v>1108</v>
      </c>
    </row>
    <row r="1840" customFormat="false" ht="14.1" hidden="false" customHeight="true" outlineLevel="0" collapsed="false">
      <c r="A1840" s="1115" t="n">
        <v>48720</v>
      </c>
      <c r="B1840" s="1115" t="s">
        <v>157</v>
      </c>
      <c r="C1840" s="1115" t="n">
        <v>48720</v>
      </c>
      <c r="D1840" s="1115" t="s">
        <v>1108</v>
      </c>
      <c r="E1840" s="1115" t="s">
        <v>2691</v>
      </c>
      <c r="F1840" s="1115" t="n">
        <v>39410</v>
      </c>
      <c r="G1840" s="1115" t="n">
        <v>49950</v>
      </c>
      <c r="H1840" s="1115" t="s">
        <v>1626</v>
      </c>
      <c r="I1840" s="1115" t="n">
        <v>48770</v>
      </c>
      <c r="J1840" s="1115" t="s">
        <v>1108</v>
      </c>
    </row>
    <row r="1841" customFormat="false" ht="14.1" hidden="false" customHeight="true" outlineLevel="0" collapsed="false">
      <c r="A1841" s="1115" t="n">
        <v>48750</v>
      </c>
      <c r="B1841" s="1115" t="s">
        <v>157</v>
      </c>
      <c r="C1841" s="1115" t="n">
        <v>48750</v>
      </c>
      <c r="D1841" s="1115" t="s">
        <v>1108</v>
      </c>
      <c r="E1841" s="1115" t="s">
        <v>1194</v>
      </c>
      <c r="F1841" s="1115" t="n">
        <v>19950</v>
      </c>
      <c r="G1841" s="1115" t="n">
        <v>49960</v>
      </c>
      <c r="H1841" s="1115" t="s">
        <v>844</v>
      </c>
      <c r="I1841" s="1115" t="n">
        <v>48800</v>
      </c>
      <c r="J1841" s="1115" t="s">
        <v>1108</v>
      </c>
    </row>
    <row r="1842" customFormat="false" ht="14.1" hidden="false" customHeight="true" outlineLevel="0" collapsed="false">
      <c r="A1842" s="1115" t="n">
        <v>48770</v>
      </c>
      <c r="B1842" s="1115" t="s">
        <v>157</v>
      </c>
      <c r="C1842" s="1115" t="n">
        <v>48770</v>
      </c>
      <c r="D1842" s="1115" t="s">
        <v>1108</v>
      </c>
      <c r="E1842" s="1115" t="s">
        <v>1693</v>
      </c>
      <c r="F1842" s="1115" t="n">
        <v>15480</v>
      </c>
      <c r="G1842" s="1115" t="n">
        <v>49980</v>
      </c>
      <c r="H1842" s="1115" t="s">
        <v>3045</v>
      </c>
      <c r="I1842" s="1115" t="n">
        <v>48810</v>
      </c>
      <c r="J1842" s="1115" t="s">
        <v>1108</v>
      </c>
    </row>
    <row r="1843" customFormat="false" ht="14.1" hidden="false" customHeight="true" outlineLevel="0" collapsed="false">
      <c r="A1843" s="1115" t="n">
        <v>48800</v>
      </c>
      <c r="B1843" s="1115" t="s">
        <v>157</v>
      </c>
      <c r="C1843" s="1115" t="n">
        <v>48800</v>
      </c>
      <c r="D1843" s="1115" t="s">
        <v>1108</v>
      </c>
      <c r="E1843" s="1115" t="s">
        <v>1070</v>
      </c>
      <c r="F1843" s="1115" t="n">
        <v>1810</v>
      </c>
      <c r="G1843" s="1115" t="n">
        <v>50007</v>
      </c>
      <c r="H1843" s="1115" t="s">
        <v>1232</v>
      </c>
      <c r="I1843" s="1115" t="n">
        <v>48900</v>
      </c>
      <c r="J1843" s="1115" t="s">
        <v>1108</v>
      </c>
    </row>
    <row r="1844" customFormat="false" ht="14.1" hidden="false" customHeight="true" outlineLevel="0" collapsed="false">
      <c r="A1844" s="1115" t="n">
        <v>48810</v>
      </c>
      <c r="B1844" s="1115" t="s">
        <v>157</v>
      </c>
      <c r="C1844" s="1115" t="n">
        <v>48810</v>
      </c>
      <c r="D1844" s="1115" t="s">
        <v>1108</v>
      </c>
      <c r="E1844" s="1115" t="s">
        <v>3046</v>
      </c>
      <c r="F1844" s="1115" t="n">
        <v>81330</v>
      </c>
      <c r="G1844" s="1115" t="n">
        <v>50100</v>
      </c>
      <c r="H1844" s="1115" t="s">
        <v>1232</v>
      </c>
      <c r="I1844" s="1115" t="n">
        <v>48910</v>
      </c>
      <c r="J1844" s="1115" t="s">
        <v>1108</v>
      </c>
    </row>
    <row r="1845" customFormat="false" ht="14.1" hidden="false" customHeight="true" outlineLevel="0" collapsed="false">
      <c r="A1845" s="1115" t="n">
        <v>48900</v>
      </c>
      <c r="B1845" s="1115" t="s">
        <v>157</v>
      </c>
      <c r="C1845" s="1115" t="n">
        <v>48900</v>
      </c>
      <c r="D1845" s="1115" t="s">
        <v>1108</v>
      </c>
      <c r="E1845" s="1115" t="s">
        <v>1748</v>
      </c>
      <c r="F1845" s="1115" t="n">
        <v>16510</v>
      </c>
      <c r="G1845" s="1115" t="n">
        <v>50120</v>
      </c>
      <c r="H1845" s="1115" t="s">
        <v>1232</v>
      </c>
      <c r="I1845" s="1115" t="n">
        <v>48920</v>
      </c>
      <c r="J1845" s="1115" t="s">
        <v>1108</v>
      </c>
    </row>
    <row r="1846" customFormat="false" ht="14.1" hidden="false" customHeight="true" outlineLevel="0" collapsed="false">
      <c r="A1846" s="1115" t="n">
        <v>48910</v>
      </c>
      <c r="B1846" s="1115" t="s">
        <v>157</v>
      </c>
      <c r="C1846" s="1115" t="n">
        <v>48910</v>
      </c>
      <c r="D1846" s="1115" t="s">
        <v>1108</v>
      </c>
      <c r="E1846" s="1115" t="s">
        <v>2563</v>
      </c>
      <c r="F1846" s="1115" t="n">
        <v>36460</v>
      </c>
      <c r="G1846" s="1115" t="n">
        <v>50130</v>
      </c>
      <c r="H1846" s="1115" t="s">
        <v>1232</v>
      </c>
      <c r="I1846" s="1115" t="n">
        <v>48930</v>
      </c>
      <c r="J1846" s="1115" t="s">
        <v>1108</v>
      </c>
    </row>
    <row r="1847" customFormat="false" ht="14.1" hidden="false" customHeight="true" outlineLevel="0" collapsed="false">
      <c r="A1847" s="1115" t="n">
        <v>48920</v>
      </c>
      <c r="B1847" s="1115" t="s">
        <v>157</v>
      </c>
      <c r="C1847" s="1115" t="n">
        <v>48920</v>
      </c>
      <c r="D1847" s="1115" t="s">
        <v>1108</v>
      </c>
      <c r="E1847" s="1115" t="s">
        <v>3047</v>
      </c>
      <c r="F1847" s="1115" t="n">
        <v>73670</v>
      </c>
      <c r="G1847" s="1115" t="n">
        <v>50150</v>
      </c>
      <c r="H1847" s="1115" t="s">
        <v>1232</v>
      </c>
      <c r="I1847" s="1115" t="n">
        <v>49200</v>
      </c>
      <c r="J1847" s="1115" t="s">
        <v>1386</v>
      </c>
    </row>
    <row r="1848" customFormat="false" ht="14.1" hidden="false" customHeight="true" outlineLevel="0" collapsed="false">
      <c r="A1848" s="1115" t="n">
        <v>48930</v>
      </c>
      <c r="B1848" s="1115" t="s">
        <v>157</v>
      </c>
      <c r="C1848" s="1115" t="n">
        <v>48930</v>
      </c>
      <c r="D1848" s="1115" t="s">
        <v>1108</v>
      </c>
      <c r="E1848" s="1115" t="s">
        <v>3048</v>
      </c>
      <c r="F1848" s="1115" t="n">
        <v>98580</v>
      </c>
      <c r="G1848" s="1115" t="n">
        <v>50170</v>
      </c>
      <c r="H1848" s="1115" t="s">
        <v>1232</v>
      </c>
      <c r="I1848" s="1115" t="n">
        <v>49210</v>
      </c>
      <c r="J1848" s="1115" t="s">
        <v>1386</v>
      </c>
    </row>
    <row r="1849" customFormat="false" ht="14.1" hidden="false" customHeight="true" outlineLevel="0" collapsed="false">
      <c r="A1849" s="1115" t="n">
        <v>49200</v>
      </c>
      <c r="B1849" s="1115" t="s">
        <v>157</v>
      </c>
      <c r="C1849" s="1115" t="n">
        <v>49200</v>
      </c>
      <c r="D1849" s="1115" t="s">
        <v>1513</v>
      </c>
      <c r="E1849" s="1115" t="s">
        <v>1655</v>
      </c>
      <c r="F1849" s="1115" t="n">
        <v>14370</v>
      </c>
      <c r="G1849" s="1115" t="n">
        <v>50180</v>
      </c>
      <c r="H1849" s="1115" t="s">
        <v>1232</v>
      </c>
      <c r="I1849" s="1115" t="n">
        <v>49220</v>
      </c>
      <c r="J1849" s="1115" t="s">
        <v>1386</v>
      </c>
    </row>
    <row r="1850" customFormat="false" ht="14.1" hidden="false" customHeight="true" outlineLevel="0" collapsed="false">
      <c r="A1850" s="1115" t="n">
        <v>49210</v>
      </c>
      <c r="B1850" s="1115" t="s">
        <v>157</v>
      </c>
      <c r="C1850" s="1115" t="n">
        <v>49210</v>
      </c>
      <c r="D1850" s="1115" t="s">
        <v>1834</v>
      </c>
      <c r="E1850" s="1115" t="s">
        <v>3049</v>
      </c>
      <c r="F1850" s="1115" t="n">
        <v>71960</v>
      </c>
      <c r="G1850" s="1115" t="n">
        <v>50350</v>
      </c>
      <c r="H1850" s="1115" t="s">
        <v>3050</v>
      </c>
      <c r="I1850" s="1115" t="n">
        <v>49240</v>
      </c>
      <c r="J1850" s="1115" t="s">
        <v>1386</v>
      </c>
    </row>
    <row r="1851" customFormat="false" ht="14.1" hidden="false" customHeight="true" outlineLevel="0" collapsed="false">
      <c r="A1851" s="1115" t="n">
        <v>49220</v>
      </c>
      <c r="B1851" s="1115" t="s">
        <v>157</v>
      </c>
      <c r="C1851" s="1115" t="n">
        <v>49220</v>
      </c>
      <c r="D1851" s="1115" t="s">
        <v>3010</v>
      </c>
      <c r="E1851" s="1115" t="s">
        <v>1195</v>
      </c>
      <c r="F1851" s="1115" t="n">
        <v>91980</v>
      </c>
      <c r="G1851" s="1115" t="n">
        <v>50500</v>
      </c>
      <c r="H1851" s="1115" t="s">
        <v>1232</v>
      </c>
      <c r="I1851" s="1115" t="n">
        <v>49270</v>
      </c>
      <c r="J1851" s="1115" t="s">
        <v>1386</v>
      </c>
    </row>
    <row r="1852" customFormat="false" ht="14.1" hidden="false" customHeight="true" outlineLevel="0" collapsed="false">
      <c r="A1852" s="1115" t="n">
        <v>49240</v>
      </c>
      <c r="B1852" s="1115" t="s">
        <v>157</v>
      </c>
      <c r="C1852" s="1115" t="n">
        <v>49240</v>
      </c>
      <c r="D1852" s="1115" t="s">
        <v>3011</v>
      </c>
      <c r="E1852" s="1115" t="s">
        <v>3051</v>
      </c>
      <c r="F1852" s="1115" t="n">
        <v>86470</v>
      </c>
      <c r="G1852" s="1115" t="n">
        <v>50520</v>
      </c>
      <c r="H1852" s="1115" t="s">
        <v>1232</v>
      </c>
      <c r="I1852" s="1115" t="n">
        <v>49290</v>
      </c>
      <c r="J1852" s="1115" t="s">
        <v>1386</v>
      </c>
    </row>
    <row r="1853" customFormat="false" ht="14.1" hidden="false" customHeight="true" outlineLevel="0" collapsed="false">
      <c r="A1853" s="1115" t="n">
        <v>49270</v>
      </c>
      <c r="B1853" s="1115" t="s">
        <v>157</v>
      </c>
      <c r="C1853" s="1115" t="n">
        <v>49270</v>
      </c>
      <c r="D1853" s="1115" t="s">
        <v>1386</v>
      </c>
      <c r="E1853" s="1115" t="s">
        <v>3052</v>
      </c>
      <c r="F1853" s="1115" t="n">
        <v>93550</v>
      </c>
      <c r="G1853" s="1115" t="n">
        <v>50600</v>
      </c>
      <c r="H1853" s="1115" t="s">
        <v>1232</v>
      </c>
      <c r="I1853" s="1115" t="n">
        <v>49300</v>
      </c>
      <c r="J1853" s="1115" t="s">
        <v>1386</v>
      </c>
    </row>
    <row r="1854" customFormat="false" ht="14.1" hidden="false" customHeight="true" outlineLevel="0" collapsed="false">
      <c r="A1854" s="1115" t="n">
        <v>49290</v>
      </c>
      <c r="B1854" s="1115" t="s">
        <v>157</v>
      </c>
      <c r="C1854" s="1115" t="n">
        <v>49290</v>
      </c>
      <c r="D1854" s="1115" t="s">
        <v>3014</v>
      </c>
      <c r="E1854" s="1115" t="s">
        <v>1196</v>
      </c>
      <c r="F1854" s="1115" t="n">
        <v>22630</v>
      </c>
      <c r="G1854" s="1115" t="n">
        <v>50670</v>
      </c>
      <c r="H1854" s="1115" t="s">
        <v>3053</v>
      </c>
      <c r="I1854" s="1115" t="n">
        <v>49340</v>
      </c>
      <c r="J1854" s="1115" t="s">
        <v>1386</v>
      </c>
    </row>
    <row r="1855" customFormat="false" ht="14.1" hidden="false" customHeight="true" outlineLevel="0" collapsed="false">
      <c r="A1855" s="1115" t="n">
        <v>49300</v>
      </c>
      <c r="B1855" s="1115" t="s">
        <v>157</v>
      </c>
      <c r="C1855" s="1115" t="n">
        <v>49300</v>
      </c>
      <c r="D1855" s="1115" t="s">
        <v>3016</v>
      </c>
      <c r="E1855" s="1115" t="s">
        <v>1196</v>
      </c>
      <c r="F1855" s="1115" t="n">
        <v>22630</v>
      </c>
      <c r="G1855" s="1115" t="n">
        <v>50770</v>
      </c>
      <c r="H1855" s="1115" t="s">
        <v>2567</v>
      </c>
      <c r="I1855" s="1115" t="n">
        <v>49400</v>
      </c>
      <c r="J1855" s="1115" t="s">
        <v>821</v>
      </c>
    </row>
    <row r="1856" customFormat="false" ht="14.1" hidden="false" customHeight="true" outlineLevel="0" collapsed="false">
      <c r="A1856" s="1115" t="n">
        <v>49340</v>
      </c>
      <c r="B1856" s="1115" t="s">
        <v>157</v>
      </c>
      <c r="C1856" s="1115" t="n">
        <v>49340</v>
      </c>
      <c r="D1856" s="1115" t="s">
        <v>2068</v>
      </c>
      <c r="E1856" s="1115" t="s">
        <v>1196</v>
      </c>
      <c r="F1856" s="1115" t="n">
        <v>22630</v>
      </c>
      <c r="G1856" s="1115" t="n">
        <v>50970</v>
      </c>
      <c r="H1856" s="1115" t="s">
        <v>1910</v>
      </c>
      <c r="I1856" s="1115" t="n">
        <v>49410</v>
      </c>
      <c r="J1856" s="1115" t="s">
        <v>821</v>
      </c>
    </row>
    <row r="1857" customFormat="false" ht="14.1" hidden="false" customHeight="true" outlineLevel="0" collapsed="false">
      <c r="A1857" s="1115" t="n">
        <v>49400</v>
      </c>
      <c r="B1857" s="1115" t="s">
        <v>157</v>
      </c>
      <c r="C1857" s="1115" t="n">
        <v>49400</v>
      </c>
      <c r="D1857" s="1115" t="s">
        <v>821</v>
      </c>
      <c r="E1857" s="1115" t="s">
        <v>1196</v>
      </c>
      <c r="F1857" s="1115" t="n">
        <v>22630</v>
      </c>
      <c r="G1857" s="1115" t="n">
        <v>51120</v>
      </c>
      <c r="H1857" s="1115" t="s">
        <v>2535</v>
      </c>
      <c r="I1857" s="1115" t="n">
        <v>49420</v>
      </c>
      <c r="J1857" s="1115" t="s">
        <v>821</v>
      </c>
    </row>
    <row r="1858" customFormat="false" ht="14.1" hidden="false" customHeight="true" outlineLevel="0" collapsed="false">
      <c r="A1858" s="1115" t="n">
        <v>49410</v>
      </c>
      <c r="B1858" s="1115" t="s">
        <v>157</v>
      </c>
      <c r="C1858" s="1115" t="n">
        <v>49410</v>
      </c>
      <c r="D1858" s="1115" t="s">
        <v>3018</v>
      </c>
      <c r="E1858" s="1115" t="s">
        <v>3054</v>
      </c>
      <c r="F1858" s="1115" t="n">
        <v>98810</v>
      </c>
      <c r="G1858" s="1115" t="n">
        <v>51130</v>
      </c>
      <c r="H1858" s="1115" t="s">
        <v>3055</v>
      </c>
      <c r="I1858" s="1115" t="n">
        <v>49460</v>
      </c>
      <c r="J1858" s="1115" t="s">
        <v>821</v>
      </c>
    </row>
    <row r="1859" customFormat="false" ht="14.1" hidden="false" customHeight="true" outlineLevel="0" collapsed="false">
      <c r="A1859" s="1115" t="n">
        <v>49420</v>
      </c>
      <c r="B1859" s="1115" t="s">
        <v>157</v>
      </c>
      <c r="C1859" s="1115" t="n">
        <v>49420</v>
      </c>
      <c r="D1859" s="1115" t="s">
        <v>821</v>
      </c>
      <c r="E1859" s="1115" t="s">
        <v>2482</v>
      </c>
      <c r="F1859" s="1115" t="n">
        <v>34510</v>
      </c>
      <c r="G1859" s="1115" t="n">
        <v>51200</v>
      </c>
      <c r="H1859" s="1115" t="s">
        <v>974</v>
      </c>
      <c r="I1859" s="1115" t="n">
        <v>49470</v>
      </c>
      <c r="J1859" s="1115" t="s">
        <v>821</v>
      </c>
    </row>
    <row r="1860" customFormat="false" ht="14.1" hidden="false" customHeight="true" outlineLevel="0" collapsed="false">
      <c r="A1860" s="1115" t="n">
        <v>49460</v>
      </c>
      <c r="B1860" s="1115" t="s">
        <v>157</v>
      </c>
      <c r="C1860" s="1115" t="n">
        <v>49460</v>
      </c>
      <c r="D1860" s="1115" t="s">
        <v>1703</v>
      </c>
      <c r="E1860" s="1115" t="s">
        <v>3056</v>
      </c>
      <c r="F1860" s="1115" t="n">
        <v>92450</v>
      </c>
      <c r="G1860" s="1115" t="n">
        <v>51220</v>
      </c>
      <c r="H1860" s="1115" t="s">
        <v>2817</v>
      </c>
      <c r="I1860" s="1115" t="n">
        <v>49480</v>
      </c>
      <c r="J1860" s="1115" t="s">
        <v>821</v>
      </c>
    </row>
    <row r="1861" customFormat="false" ht="14.1" hidden="false" customHeight="true" outlineLevel="0" collapsed="false">
      <c r="A1861" s="1115" t="n">
        <v>49470</v>
      </c>
      <c r="B1861" s="1115" t="s">
        <v>157</v>
      </c>
      <c r="C1861" s="1115" t="n">
        <v>49470</v>
      </c>
      <c r="D1861" s="1115" t="s">
        <v>2448</v>
      </c>
      <c r="E1861" s="1115" t="s">
        <v>1125</v>
      </c>
      <c r="F1861" s="1115" t="n">
        <v>2440</v>
      </c>
      <c r="G1861" s="1115" t="n">
        <v>51260</v>
      </c>
      <c r="H1861" s="1115" t="s">
        <v>3057</v>
      </c>
      <c r="I1861" s="1115" t="n">
        <v>49490</v>
      </c>
      <c r="J1861" s="1115" t="s">
        <v>821</v>
      </c>
    </row>
    <row r="1862" customFormat="false" ht="14.1" hidden="false" customHeight="true" outlineLevel="0" collapsed="false">
      <c r="A1862" s="1115" t="n">
        <v>49480</v>
      </c>
      <c r="B1862" s="1115" t="s">
        <v>157</v>
      </c>
      <c r="C1862" s="1115" t="n">
        <v>49480</v>
      </c>
      <c r="D1862" s="1115" t="s">
        <v>612</v>
      </c>
      <c r="E1862" s="1115" t="s">
        <v>3058</v>
      </c>
      <c r="F1862" s="1115" t="n">
        <v>62830</v>
      </c>
      <c r="G1862" s="1115" t="n">
        <v>51270</v>
      </c>
      <c r="H1862" s="1115" t="s">
        <v>2740</v>
      </c>
      <c r="I1862" s="1115" t="n">
        <v>49510</v>
      </c>
      <c r="J1862" s="1115" t="s">
        <v>821</v>
      </c>
    </row>
    <row r="1863" customFormat="false" ht="14.1" hidden="false" customHeight="true" outlineLevel="0" collapsed="false">
      <c r="A1863" s="1115" t="n">
        <v>49490</v>
      </c>
      <c r="B1863" s="1115" t="s">
        <v>157</v>
      </c>
      <c r="C1863" s="1115" t="n">
        <v>49490</v>
      </c>
      <c r="D1863" s="1115" t="s">
        <v>3019</v>
      </c>
      <c r="E1863" s="1115" t="s">
        <v>3059</v>
      </c>
      <c r="F1863" s="1115" t="n">
        <v>86770</v>
      </c>
      <c r="G1863" s="1115" t="n">
        <v>51310</v>
      </c>
      <c r="H1863" s="1115" t="s">
        <v>2984</v>
      </c>
      <c r="I1863" s="1115" t="n">
        <v>49520</v>
      </c>
      <c r="J1863" s="1115" t="s">
        <v>821</v>
      </c>
    </row>
    <row r="1864" customFormat="false" ht="14.1" hidden="false" customHeight="true" outlineLevel="0" collapsed="false">
      <c r="A1864" s="1115" t="n">
        <v>49510</v>
      </c>
      <c r="B1864" s="1115" t="s">
        <v>157</v>
      </c>
      <c r="C1864" s="1115" t="n">
        <v>49510</v>
      </c>
      <c r="D1864" s="1115" t="s">
        <v>1825</v>
      </c>
      <c r="E1864" s="1115" t="s">
        <v>3060</v>
      </c>
      <c r="F1864" s="1115" t="n">
        <v>61810</v>
      </c>
      <c r="G1864" s="1115" t="n">
        <v>51330</v>
      </c>
      <c r="H1864" s="1115" t="s">
        <v>2577</v>
      </c>
      <c r="I1864" s="1115" t="n">
        <v>49540</v>
      </c>
      <c r="J1864" s="1115" t="s">
        <v>821</v>
      </c>
    </row>
    <row r="1865" customFormat="false" ht="14.1" hidden="false" customHeight="true" outlineLevel="0" collapsed="false">
      <c r="A1865" s="1115" t="n">
        <v>49520</v>
      </c>
      <c r="B1865" s="1115" t="s">
        <v>157</v>
      </c>
      <c r="C1865" s="1115" t="n">
        <v>49520</v>
      </c>
      <c r="D1865" s="1115" t="s">
        <v>3020</v>
      </c>
      <c r="E1865" s="1115" t="s">
        <v>3061</v>
      </c>
      <c r="F1865" s="1115" t="n">
        <v>61230</v>
      </c>
      <c r="G1865" s="1115" t="n">
        <v>51335</v>
      </c>
      <c r="H1865" s="1115" t="s">
        <v>2138</v>
      </c>
      <c r="I1865" s="1115" t="n">
        <v>49570</v>
      </c>
      <c r="J1865" s="1115" t="s">
        <v>821</v>
      </c>
    </row>
    <row r="1866" customFormat="false" ht="14.1" hidden="false" customHeight="true" outlineLevel="0" collapsed="false">
      <c r="A1866" s="1115" t="n">
        <v>49540</v>
      </c>
      <c r="B1866" s="1115" t="s">
        <v>157</v>
      </c>
      <c r="C1866" s="1115" t="n">
        <v>49540</v>
      </c>
      <c r="D1866" s="1115" t="s">
        <v>3021</v>
      </c>
      <c r="E1866" s="1115" t="s">
        <v>3062</v>
      </c>
      <c r="F1866" s="1115" t="n">
        <v>61270</v>
      </c>
      <c r="G1866" s="1115" t="n">
        <v>51340</v>
      </c>
      <c r="H1866" s="1115" t="s">
        <v>1890</v>
      </c>
      <c r="I1866" s="1115" t="n">
        <v>49590</v>
      </c>
      <c r="J1866" s="1115" t="s">
        <v>1230</v>
      </c>
    </row>
    <row r="1867" customFormat="false" ht="14.1" hidden="false" customHeight="true" outlineLevel="0" collapsed="false">
      <c r="A1867" s="1115" t="n">
        <v>49570</v>
      </c>
      <c r="B1867" s="1115" t="s">
        <v>157</v>
      </c>
      <c r="C1867" s="1115" t="n">
        <v>49570</v>
      </c>
      <c r="D1867" s="1115" t="s">
        <v>2230</v>
      </c>
      <c r="E1867" s="1115" t="s">
        <v>1199</v>
      </c>
      <c r="F1867" s="1115" t="n">
        <v>36760</v>
      </c>
      <c r="G1867" s="1115" t="n">
        <v>51350</v>
      </c>
      <c r="H1867" s="1115" t="s">
        <v>3063</v>
      </c>
      <c r="I1867" s="1115" t="n">
        <v>49610</v>
      </c>
      <c r="J1867" s="1115" t="s">
        <v>1230</v>
      </c>
    </row>
    <row r="1868" customFormat="false" ht="14.1" hidden="false" customHeight="true" outlineLevel="0" collapsed="false">
      <c r="A1868" s="1115" t="n">
        <v>49590</v>
      </c>
      <c r="B1868" s="1115" t="s">
        <v>157</v>
      </c>
      <c r="C1868" s="1115" t="n">
        <v>49590</v>
      </c>
      <c r="D1868" s="1115" t="s">
        <v>3022</v>
      </c>
      <c r="E1868" s="1115" t="s">
        <v>3064</v>
      </c>
      <c r="F1868" s="1115" t="n">
        <v>75690</v>
      </c>
      <c r="G1868" s="1115" t="n">
        <v>51360</v>
      </c>
      <c r="H1868" s="1115" t="s">
        <v>2485</v>
      </c>
      <c r="I1868" s="1115" t="n">
        <v>49630</v>
      </c>
      <c r="J1868" s="1115" t="s">
        <v>1230</v>
      </c>
    </row>
    <row r="1869" customFormat="false" ht="14.1" hidden="false" customHeight="true" outlineLevel="0" collapsed="false">
      <c r="A1869" s="1115" t="n">
        <v>49610</v>
      </c>
      <c r="B1869" s="1115" t="s">
        <v>157</v>
      </c>
      <c r="C1869" s="1115" t="n">
        <v>49610</v>
      </c>
      <c r="D1869" s="1115" t="s">
        <v>3023</v>
      </c>
      <c r="E1869" s="1115" t="s">
        <v>3065</v>
      </c>
      <c r="F1869" s="1115" t="n">
        <v>59910</v>
      </c>
      <c r="G1869" s="1115" t="n">
        <v>51365</v>
      </c>
      <c r="H1869" s="1115" t="s">
        <v>3066</v>
      </c>
      <c r="I1869" s="1115" t="n">
        <v>49640</v>
      </c>
      <c r="J1869" s="1115" t="s">
        <v>1230</v>
      </c>
    </row>
    <row r="1870" customFormat="false" ht="14.1" hidden="false" customHeight="true" outlineLevel="0" collapsed="false">
      <c r="A1870" s="1115" t="n">
        <v>49630</v>
      </c>
      <c r="B1870" s="1115" t="s">
        <v>157</v>
      </c>
      <c r="C1870" s="1115" t="n">
        <v>49630</v>
      </c>
      <c r="D1870" s="1115" t="s">
        <v>3024</v>
      </c>
      <c r="E1870" s="1115" t="s">
        <v>3067</v>
      </c>
      <c r="F1870" s="1115" t="n">
        <v>68570</v>
      </c>
      <c r="G1870" s="1115" t="n">
        <v>51380</v>
      </c>
      <c r="H1870" s="1115" t="s">
        <v>3068</v>
      </c>
      <c r="I1870" s="1115" t="n">
        <v>49660</v>
      </c>
      <c r="J1870" s="1115" t="s">
        <v>1230</v>
      </c>
    </row>
    <row r="1871" customFormat="false" ht="14.1" hidden="false" customHeight="true" outlineLevel="0" collapsed="false">
      <c r="A1871" s="1115" t="n">
        <v>49640</v>
      </c>
      <c r="B1871" s="1115" t="s">
        <v>157</v>
      </c>
      <c r="C1871" s="1115" t="n">
        <v>49640</v>
      </c>
      <c r="D1871" s="1115" t="s">
        <v>3025</v>
      </c>
      <c r="E1871" s="1115" t="s">
        <v>3069</v>
      </c>
      <c r="F1871" s="1115" t="n">
        <v>52840</v>
      </c>
      <c r="G1871" s="1115" t="n">
        <v>51390</v>
      </c>
      <c r="H1871" s="1115" t="s">
        <v>3070</v>
      </c>
      <c r="I1871" s="1115" t="n">
        <v>49680</v>
      </c>
      <c r="J1871" s="1115" t="s">
        <v>1230</v>
      </c>
    </row>
    <row r="1872" customFormat="false" ht="14.1" hidden="false" customHeight="true" outlineLevel="0" collapsed="false">
      <c r="A1872" s="1115" t="n">
        <v>49660</v>
      </c>
      <c r="B1872" s="1115" t="s">
        <v>157</v>
      </c>
      <c r="C1872" s="1115" t="n">
        <v>49660</v>
      </c>
      <c r="D1872" s="1115" t="s">
        <v>3026</v>
      </c>
      <c r="E1872" s="1115" t="s">
        <v>1851</v>
      </c>
      <c r="F1872" s="1115" t="n">
        <v>19210</v>
      </c>
      <c r="G1872" s="1115" t="n">
        <v>51420</v>
      </c>
      <c r="H1872" s="1115" t="s">
        <v>1417</v>
      </c>
      <c r="I1872" s="1115" t="n">
        <v>49700</v>
      </c>
      <c r="J1872" s="1115" t="s">
        <v>1230</v>
      </c>
    </row>
    <row r="1873" customFormat="false" ht="14.1" hidden="false" customHeight="true" outlineLevel="0" collapsed="false">
      <c r="A1873" s="1115" t="n">
        <v>49680</v>
      </c>
      <c r="B1873" s="1115" t="s">
        <v>157</v>
      </c>
      <c r="C1873" s="1115" t="n">
        <v>49680</v>
      </c>
      <c r="D1873" s="1115" t="s">
        <v>3028</v>
      </c>
      <c r="E1873" s="1115" t="s">
        <v>1201</v>
      </c>
      <c r="F1873" s="1115" t="n">
        <v>54530</v>
      </c>
      <c r="G1873" s="1115" t="n">
        <v>51430</v>
      </c>
      <c r="H1873" s="1115" t="s">
        <v>3071</v>
      </c>
      <c r="I1873" s="1115" t="n">
        <v>49720</v>
      </c>
      <c r="J1873" s="1115" t="s">
        <v>1230</v>
      </c>
    </row>
    <row r="1874" customFormat="false" ht="14.1" hidden="false" customHeight="true" outlineLevel="0" collapsed="false">
      <c r="A1874" s="1115" t="n">
        <v>49700</v>
      </c>
      <c r="B1874" s="1115" t="s">
        <v>157</v>
      </c>
      <c r="C1874" s="1115" t="n">
        <v>49700</v>
      </c>
      <c r="D1874" s="1115" t="s">
        <v>1230</v>
      </c>
      <c r="E1874" s="1115" t="s">
        <v>3072</v>
      </c>
      <c r="F1874" s="1115" t="n">
        <v>51460</v>
      </c>
      <c r="G1874" s="1115" t="n">
        <v>51440</v>
      </c>
      <c r="H1874" s="1115" t="s">
        <v>3073</v>
      </c>
      <c r="I1874" s="1115" t="n">
        <v>49730</v>
      </c>
      <c r="J1874" s="1115" t="s">
        <v>1230</v>
      </c>
    </row>
    <row r="1875" customFormat="false" ht="14.1" hidden="false" customHeight="true" outlineLevel="0" collapsed="false">
      <c r="A1875" s="1115" t="n">
        <v>49720</v>
      </c>
      <c r="B1875" s="1115" t="s">
        <v>157</v>
      </c>
      <c r="C1875" s="1115" t="n">
        <v>49720</v>
      </c>
      <c r="D1875" s="1115" t="s">
        <v>1821</v>
      </c>
      <c r="E1875" s="1115" t="s">
        <v>3074</v>
      </c>
      <c r="F1875" s="1115" t="n">
        <v>98230</v>
      </c>
      <c r="G1875" s="1115" t="n">
        <v>51450</v>
      </c>
      <c r="H1875" s="1115" t="s">
        <v>3075</v>
      </c>
      <c r="I1875" s="1115" t="n">
        <v>49750</v>
      </c>
      <c r="J1875" s="1115" t="s">
        <v>1230</v>
      </c>
    </row>
    <row r="1876" customFormat="false" ht="14.1" hidden="false" customHeight="true" outlineLevel="0" collapsed="false">
      <c r="A1876" s="1115" t="n">
        <v>49730</v>
      </c>
      <c r="B1876" s="1115" t="s">
        <v>157</v>
      </c>
      <c r="C1876" s="1115" t="n">
        <v>49730</v>
      </c>
      <c r="D1876" s="1115" t="s">
        <v>3031</v>
      </c>
      <c r="E1876" s="1115" t="s">
        <v>3076</v>
      </c>
      <c r="F1876" s="1115" t="n">
        <v>82870</v>
      </c>
      <c r="G1876" s="1115" t="n">
        <v>51460</v>
      </c>
      <c r="H1876" s="1115" t="s">
        <v>3072</v>
      </c>
      <c r="I1876" s="1115" t="n">
        <v>49760</v>
      </c>
      <c r="J1876" s="1115" t="s">
        <v>1230</v>
      </c>
    </row>
    <row r="1877" customFormat="false" ht="14.1" hidden="false" customHeight="true" outlineLevel="0" collapsed="false">
      <c r="A1877" s="1115" t="n">
        <v>49750</v>
      </c>
      <c r="B1877" s="1115" t="s">
        <v>157</v>
      </c>
      <c r="C1877" s="1115" t="n">
        <v>49750</v>
      </c>
      <c r="D1877" s="1115" t="s">
        <v>2190</v>
      </c>
      <c r="E1877" s="1115" t="s">
        <v>1204</v>
      </c>
      <c r="F1877" s="1115" t="n">
        <v>29100</v>
      </c>
      <c r="G1877" s="1115" t="n">
        <v>51480</v>
      </c>
      <c r="H1877" s="1115" t="s">
        <v>3077</v>
      </c>
      <c r="I1877" s="1115" t="n">
        <v>49770</v>
      </c>
      <c r="J1877" s="1115" t="s">
        <v>1230</v>
      </c>
    </row>
    <row r="1878" customFormat="false" ht="14.1" hidden="false" customHeight="true" outlineLevel="0" collapsed="false">
      <c r="A1878" s="1115" t="n">
        <v>49760</v>
      </c>
      <c r="B1878" s="1115" t="s">
        <v>157</v>
      </c>
      <c r="C1878" s="1115" t="n">
        <v>49760</v>
      </c>
      <c r="D1878" s="1115" t="s">
        <v>3034</v>
      </c>
      <c r="E1878" s="1115" t="s">
        <v>2527</v>
      </c>
      <c r="F1878" s="1115" t="n">
        <v>35530</v>
      </c>
      <c r="G1878" s="1115" t="n">
        <v>51520</v>
      </c>
      <c r="H1878" s="1115" t="s">
        <v>1694</v>
      </c>
      <c r="I1878" s="1115" t="n">
        <v>49780</v>
      </c>
      <c r="J1878" s="1115" t="s">
        <v>1230</v>
      </c>
    </row>
    <row r="1879" customFormat="false" ht="14.1" hidden="false" customHeight="true" outlineLevel="0" collapsed="false">
      <c r="A1879" s="1115" t="n">
        <v>49770</v>
      </c>
      <c r="B1879" s="1115" t="s">
        <v>157</v>
      </c>
      <c r="C1879" s="1115" t="n">
        <v>49770</v>
      </c>
      <c r="D1879" s="1115" t="s">
        <v>3036</v>
      </c>
      <c r="E1879" s="1115" t="s">
        <v>3078</v>
      </c>
      <c r="F1879" s="1115" t="n">
        <v>89350</v>
      </c>
      <c r="G1879" s="1115" t="n">
        <v>51540</v>
      </c>
      <c r="H1879" s="1115" t="s">
        <v>2204</v>
      </c>
      <c r="I1879" s="1115" t="n">
        <v>49840</v>
      </c>
      <c r="J1879" s="1115" t="s">
        <v>1230</v>
      </c>
    </row>
    <row r="1880" customFormat="false" ht="14.1" hidden="false" customHeight="true" outlineLevel="0" collapsed="false">
      <c r="A1880" s="1115" t="n">
        <v>49780</v>
      </c>
      <c r="B1880" s="1115" t="s">
        <v>157</v>
      </c>
      <c r="C1880" s="1115" t="n">
        <v>49780</v>
      </c>
      <c r="D1880" s="1115" t="s">
        <v>3038</v>
      </c>
      <c r="E1880" s="1115" t="s">
        <v>3079</v>
      </c>
      <c r="F1880" s="1115" t="n">
        <v>79240</v>
      </c>
      <c r="G1880" s="1115" t="n">
        <v>51550</v>
      </c>
      <c r="H1880" s="1115" t="s">
        <v>1692</v>
      </c>
      <c r="I1880" s="1115" t="n">
        <v>49860</v>
      </c>
      <c r="J1880" s="1115" t="s">
        <v>1626</v>
      </c>
    </row>
    <row r="1881" customFormat="false" ht="14.1" hidden="false" customHeight="true" outlineLevel="0" collapsed="false">
      <c r="A1881" s="1115" t="n">
        <v>49840</v>
      </c>
      <c r="B1881" s="1115" t="s">
        <v>157</v>
      </c>
      <c r="C1881" s="1115" t="n">
        <v>49840</v>
      </c>
      <c r="D1881" s="1115" t="s">
        <v>3040</v>
      </c>
      <c r="E1881" s="1115" t="s">
        <v>3080</v>
      </c>
      <c r="F1881" s="1115" t="n">
        <v>82930</v>
      </c>
      <c r="G1881" s="1115" t="n">
        <v>51600</v>
      </c>
      <c r="H1881" s="1115" t="s">
        <v>838</v>
      </c>
      <c r="I1881" s="1115" t="n">
        <v>49880</v>
      </c>
      <c r="J1881" s="1115" t="s">
        <v>1626</v>
      </c>
    </row>
    <row r="1882" customFormat="false" ht="14.1" hidden="false" customHeight="true" outlineLevel="0" collapsed="false">
      <c r="A1882" s="1115" t="n">
        <v>49860</v>
      </c>
      <c r="B1882" s="1115" t="s">
        <v>157</v>
      </c>
      <c r="C1882" s="1115" t="n">
        <v>49860</v>
      </c>
      <c r="D1882" s="1115" t="s">
        <v>2457</v>
      </c>
      <c r="E1882" s="1115" t="s">
        <v>2991</v>
      </c>
      <c r="F1882" s="1115" t="n">
        <v>47540</v>
      </c>
      <c r="G1882" s="1115" t="n">
        <v>51610</v>
      </c>
      <c r="H1882" s="1115" t="s">
        <v>3081</v>
      </c>
      <c r="I1882" s="1115" t="n">
        <v>49900</v>
      </c>
      <c r="J1882" s="1115" t="s">
        <v>1626</v>
      </c>
    </row>
    <row r="1883" customFormat="false" ht="14.1" hidden="false" customHeight="true" outlineLevel="0" collapsed="false">
      <c r="A1883" s="1115" t="n">
        <v>49880</v>
      </c>
      <c r="B1883" s="1115" t="s">
        <v>157</v>
      </c>
      <c r="C1883" s="1115" t="n">
        <v>49880</v>
      </c>
      <c r="D1883" s="1115" t="s">
        <v>2308</v>
      </c>
      <c r="E1883" s="1115" t="s">
        <v>3082</v>
      </c>
      <c r="F1883" s="1115" t="n">
        <v>64170</v>
      </c>
      <c r="G1883" s="1115" t="n">
        <v>51620</v>
      </c>
      <c r="H1883" s="1115" t="s">
        <v>3083</v>
      </c>
      <c r="I1883" s="1115" t="n">
        <v>49920</v>
      </c>
      <c r="J1883" s="1115" t="s">
        <v>1626</v>
      </c>
    </row>
    <row r="1884" customFormat="false" ht="14.1" hidden="false" customHeight="true" outlineLevel="0" collapsed="false">
      <c r="A1884" s="1115" t="n">
        <v>49900</v>
      </c>
      <c r="B1884" s="1115" t="s">
        <v>157</v>
      </c>
      <c r="C1884" s="1115" t="n">
        <v>49900</v>
      </c>
      <c r="D1884" s="1115" t="s">
        <v>1626</v>
      </c>
      <c r="E1884" s="1115" t="s">
        <v>3084</v>
      </c>
      <c r="F1884" s="1115" t="n">
        <v>66160</v>
      </c>
      <c r="G1884" s="1115" t="n">
        <v>51650</v>
      </c>
      <c r="H1884" s="1115" t="s">
        <v>3085</v>
      </c>
      <c r="I1884" s="1115" t="n">
        <v>49930</v>
      </c>
      <c r="J1884" s="1115" t="s">
        <v>1626</v>
      </c>
    </row>
    <row r="1885" customFormat="false" ht="14.1" hidden="false" customHeight="true" outlineLevel="0" collapsed="false">
      <c r="A1885" s="1115" t="n">
        <v>49920</v>
      </c>
      <c r="B1885" s="1115" t="s">
        <v>157</v>
      </c>
      <c r="C1885" s="1115" t="n">
        <v>49920</v>
      </c>
      <c r="D1885" s="1115" t="s">
        <v>1555</v>
      </c>
      <c r="E1885" s="1115" t="s">
        <v>3086</v>
      </c>
      <c r="F1885" s="1115" t="n">
        <v>93725</v>
      </c>
      <c r="G1885" s="1115" t="n">
        <v>51660</v>
      </c>
      <c r="H1885" s="1115" t="s">
        <v>2514</v>
      </c>
      <c r="I1885" s="1115" t="n">
        <v>49950</v>
      </c>
      <c r="J1885" s="1115" t="s">
        <v>1626</v>
      </c>
    </row>
    <row r="1886" customFormat="false" ht="14.1" hidden="false" customHeight="true" outlineLevel="0" collapsed="false">
      <c r="A1886" s="1115" t="n">
        <v>49930</v>
      </c>
      <c r="B1886" s="1115" t="s">
        <v>157</v>
      </c>
      <c r="C1886" s="1115" t="n">
        <v>49930</v>
      </c>
      <c r="D1886" s="1115" t="s">
        <v>3044</v>
      </c>
      <c r="E1886" s="1115" t="s">
        <v>1207</v>
      </c>
      <c r="F1886" s="1115" t="n">
        <v>35480</v>
      </c>
      <c r="G1886" s="1115" t="n">
        <v>51670</v>
      </c>
      <c r="H1886" s="1115" t="s">
        <v>3087</v>
      </c>
      <c r="I1886" s="1115" t="n">
        <v>49960</v>
      </c>
      <c r="J1886" s="1115" t="s">
        <v>1626</v>
      </c>
    </row>
    <row r="1887" customFormat="false" ht="14.1" hidden="false" customHeight="true" outlineLevel="0" collapsed="false">
      <c r="A1887" s="1115" t="n">
        <v>49950</v>
      </c>
      <c r="B1887" s="1115" t="s">
        <v>157</v>
      </c>
      <c r="C1887" s="1115" t="n">
        <v>49950</v>
      </c>
      <c r="D1887" s="1115" t="s">
        <v>1626</v>
      </c>
      <c r="E1887" s="1115" t="s">
        <v>2519</v>
      </c>
      <c r="F1887" s="1115" t="n">
        <v>35400</v>
      </c>
      <c r="G1887" s="1115" t="n">
        <v>51720</v>
      </c>
      <c r="H1887" s="1115" t="s">
        <v>3088</v>
      </c>
      <c r="I1887" s="1115" t="n">
        <v>49980</v>
      </c>
      <c r="J1887" s="1115" t="s">
        <v>1626</v>
      </c>
    </row>
    <row r="1888" customFormat="false" ht="14.1" hidden="false" customHeight="true" outlineLevel="0" collapsed="false">
      <c r="A1888" s="1115" t="n">
        <v>49960</v>
      </c>
      <c r="B1888" s="1115" t="s">
        <v>157</v>
      </c>
      <c r="C1888" s="1115" t="n">
        <v>49960</v>
      </c>
      <c r="D1888" s="1115" t="s">
        <v>844</v>
      </c>
      <c r="E1888" s="1115" t="s">
        <v>2484</v>
      </c>
      <c r="F1888" s="1115" t="n">
        <v>34530</v>
      </c>
      <c r="G1888" s="1115" t="n">
        <v>51730</v>
      </c>
      <c r="H1888" s="1115" t="s">
        <v>929</v>
      </c>
      <c r="I1888" s="1115" t="n">
        <v>50007</v>
      </c>
      <c r="J1888" s="1115" t="s">
        <v>1232</v>
      </c>
    </row>
    <row r="1889" customFormat="false" ht="14.1" hidden="false" customHeight="true" outlineLevel="0" collapsed="false">
      <c r="A1889" s="1115" t="n">
        <v>49980</v>
      </c>
      <c r="B1889" s="1115" t="s">
        <v>157</v>
      </c>
      <c r="C1889" s="1115" t="n">
        <v>49980</v>
      </c>
      <c r="D1889" s="1115" t="s">
        <v>3045</v>
      </c>
      <c r="E1889" s="1115" t="s">
        <v>2464</v>
      </c>
      <c r="F1889" s="1115" t="n">
        <v>34180</v>
      </c>
      <c r="G1889" s="1115" t="n">
        <v>51740</v>
      </c>
      <c r="H1889" s="1115" t="s">
        <v>1830</v>
      </c>
      <c r="I1889" s="1115" t="n">
        <v>50100</v>
      </c>
      <c r="J1889" s="1115" t="s">
        <v>1232</v>
      </c>
    </row>
    <row r="1890" customFormat="false" ht="14.1" hidden="false" customHeight="true" outlineLevel="0" collapsed="false">
      <c r="A1890" s="1115" t="n">
        <v>50007</v>
      </c>
      <c r="B1890" s="1115" t="s">
        <v>163</v>
      </c>
      <c r="C1890" s="1115" t="n">
        <v>50007</v>
      </c>
      <c r="D1890" s="1115" t="s">
        <v>1232</v>
      </c>
      <c r="E1890" s="1115" t="s">
        <v>3089</v>
      </c>
      <c r="F1890" s="1115" t="n">
        <v>95320</v>
      </c>
      <c r="G1890" s="1115" t="n">
        <v>51760</v>
      </c>
      <c r="H1890" s="1115" t="s">
        <v>3090</v>
      </c>
      <c r="I1890" s="1115" t="n">
        <v>50120</v>
      </c>
      <c r="J1890" s="1115" t="s">
        <v>1232</v>
      </c>
    </row>
    <row r="1891" customFormat="false" ht="14.1" hidden="false" customHeight="true" outlineLevel="0" collapsed="false">
      <c r="A1891" s="1115" t="n">
        <v>50100</v>
      </c>
      <c r="B1891" s="1115" t="s">
        <v>163</v>
      </c>
      <c r="C1891" s="1115" t="n">
        <v>50100</v>
      </c>
      <c r="D1891" s="1115" t="s">
        <v>1232</v>
      </c>
      <c r="E1891" s="1115" t="s">
        <v>3091</v>
      </c>
      <c r="F1891" s="1115" t="n">
        <v>63530</v>
      </c>
      <c r="G1891" s="1115" t="n">
        <v>51770</v>
      </c>
      <c r="H1891" s="1115" t="s">
        <v>3092</v>
      </c>
      <c r="I1891" s="1115" t="n">
        <v>50130</v>
      </c>
      <c r="J1891" s="1115" t="s">
        <v>1232</v>
      </c>
    </row>
    <row r="1892" customFormat="false" ht="14.1" hidden="false" customHeight="true" outlineLevel="0" collapsed="false">
      <c r="A1892" s="1115" t="n">
        <v>50120</v>
      </c>
      <c r="B1892" s="1115" t="s">
        <v>163</v>
      </c>
      <c r="C1892" s="1115" t="n">
        <v>50120</v>
      </c>
      <c r="D1892" s="1115" t="s">
        <v>1232</v>
      </c>
      <c r="E1892" s="1115" t="s">
        <v>3071</v>
      </c>
      <c r="F1892" s="1115" t="n">
        <v>51430</v>
      </c>
      <c r="G1892" s="1115" t="n">
        <v>51780</v>
      </c>
      <c r="H1892" s="1115" t="s">
        <v>2727</v>
      </c>
      <c r="I1892" s="1115" t="n">
        <v>50150</v>
      </c>
      <c r="J1892" s="1115" t="s">
        <v>1232</v>
      </c>
    </row>
    <row r="1893" customFormat="false" ht="14.1" hidden="false" customHeight="true" outlineLevel="0" collapsed="false">
      <c r="A1893" s="1115" t="n">
        <v>50130</v>
      </c>
      <c r="B1893" s="1115" t="s">
        <v>163</v>
      </c>
      <c r="C1893" s="1115" t="n">
        <v>50130</v>
      </c>
      <c r="D1893" s="1115" t="s">
        <v>1232</v>
      </c>
      <c r="E1893" s="1115" t="s">
        <v>1609</v>
      </c>
      <c r="F1893" s="1115" t="n">
        <v>12600</v>
      </c>
      <c r="G1893" s="1115" t="n">
        <v>51810</v>
      </c>
      <c r="H1893" s="1115" t="s">
        <v>3093</v>
      </c>
      <c r="I1893" s="1115" t="n">
        <v>50170</v>
      </c>
      <c r="J1893" s="1115" t="s">
        <v>1232</v>
      </c>
    </row>
    <row r="1894" customFormat="false" ht="14.1" hidden="false" customHeight="true" outlineLevel="0" collapsed="false">
      <c r="A1894" s="1115" t="n">
        <v>50150</v>
      </c>
      <c r="B1894" s="1115" t="s">
        <v>163</v>
      </c>
      <c r="C1894" s="1115" t="n">
        <v>50150</v>
      </c>
      <c r="D1894" s="1115" t="s">
        <v>1232</v>
      </c>
      <c r="E1894" s="1115" t="s">
        <v>2975</v>
      </c>
      <c r="F1894" s="1115" t="n">
        <v>47110</v>
      </c>
      <c r="G1894" s="1115" t="n">
        <v>51820</v>
      </c>
      <c r="H1894" s="1115" t="s">
        <v>1450</v>
      </c>
      <c r="I1894" s="1115" t="n">
        <v>50180</v>
      </c>
      <c r="J1894" s="1115" t="s">
        <v>1232</v>
      </c>
    </row>
    <row r="1895" customFormat="false" ht="14.1" hidden="false" customHeight="true" outlineLevel="0" collapsed="false">
      <c r="A1895" s="1115" t="n">
        <v>50170</v>
      </c>
      <c r="B1895" s="1115" t="s">
        <v>163</v>
      </c>
      <c r="C1895" s="1115" t="n">
        <v>50170</v>
      </c>
      <c r="D1895" s="1115" t="s">
        <v>1232</v>
      </c>
      <c r="E1895" s="1115" t="s">
        <v>2921</v>
      </c>
      <c r="F1895" s="1115" t="n">
        <v>44730</v>
      </c>
      <c r="G1895" s="1115" t="n">
        <v>51830</v>
      </c>
      <c r="H1895" s="1115" t="s">
        <v>3094</v>
      </c>
      <c r="I1895" s="1115" t="n">
        <v>50350</v>
      </c>
      <c r="J1895" s="1115" t="s">
        <v>1232</v>
      </c>
    </row>
    <row r="1896" customFormat="false" ht="14.1" hidden="false" customHeight="true" outlineLevel="0" collapsed="false">
      <c r="A1896" s="1115" t="n">
        <v>50180</v>
      </c>
      <c r="B1896" s="1115" t="s">
        <v>163</v>
      </c>
      <c r="C1896" s="1115" t="n">
        <v>50180</v>
      </c>
      <c r="D1896" s="1115" t="s">
        <v>1232</v>
      </c>
      <c r="E1896" s="1115" t="s">
        <v>3095</v>
      </c>
      <c r="F1896" s="1115" t="n">
        <v>52310</v>
      </c>
      <c r="G1896" s="1115" t="n">
        <v>51840</v>
      </c>
      <c r="H1896" s="1115" t="s">
        <v>3096</v>
      </c>
      <c r="I1896" s="1115" t="n">
        <v>50500</v>
      </c>
      <c r="J1896" s="1115" t="s">
        <v>1232</v>
      </c>
    </row>
    <row r="1897" customFormat="false" ht="14.1" hidden="false" customHeight="true" outlineLevel="0" collapsed="false">
      <c r="A1897" s="1115" t="n">
        <v>50350</v>
      </c>
      <c r="B1897" s="1115" t="s">
        <v>163</v>
      </c>
      <c r="C1897" s="1115" t="n">
        <v>50350</v>
      </c>
      <c r="D1897" s="1115" t="s">
        <v>3050</v>
      </c>
      <c r="E1897" s="1115" t="s">
        <v>3097</v>
      </c>
      <c r="F1897" s="1115" t="n">
        <v>63450</v>
      </c>
      <c r="G1897" s="1115" t="n">
        <v>51850</v>
      </c>
      <c r="H1897" s="1115" t="s">
        <v>3098</v>
      </c>
      <c r="I1897" s="1115" t="n">
        <v>50520</v>
      </c>
      <c r="J1897" s="1115" t="s">
        <v>1232</v>
      </c>
    </row>
    <row r="1898" customFormat="false" ht="14.1" hidden="false" customHeight="true" outlineLevel="0" collapsed="false">
      <c r="A1898" s="1115" t="n">
        <v>50500</v>
      </c>
      <c r="B1898" s="1115" t="s">
        <v>163</v>
      </c>
      <c r="C1898" s="1115" t="n">
        <v>50500</v>
      </c>
      <c r="D1898" s="1115" t="s">
        <v>1232</v>
      </c>
      <c r="E1898" s="1115" t="s">
        <v>1810</v>
      </c>
      <c r="F1898" s="1115" t="n">
        <v>17470</v>
      </c>
      <c r="G1898" s="1115" t="n">
        <v>51860</v>
      </c>
      <c r="H1898" s="1115" t="s">
        <v>3099</v>
      </c>
      <c r="I1898" s="1115" t="n">
        <v>50600</v>
      </c>
      <c r="J1898" s="1115" t="s">
        <v>1232</v>
      </c>
    </row>
    <row r="1899" customFormat="false" ht="14.1" hidden="false" customHeight="true" outlineLevel="0" collapsed="false">
      <c r="A1899" s="1115" t="n">
        <v>50520</v>
      </c>
      <c r="B1899" s="1115" t="s">
        <v>163</v>
      </c>
      <c r="C1899" s="1115" t="n">
        <v>50520</v>
      </c>
      <c r="D1899" s="1115" t="s">
        <v>1232</v>
      </c>
      <c r="E1899" s="1115" t="s">
        <v>3100</v>
      </c>
      <c r="F1899" s="1115" t="n">
        <v>66100</v>
      </c>
      <c r="G1899" s="1115" t="n">
        <v>51880</v>
      </c>
      <c r="H1899" s="1115" t="s">
        <v>2470</v>
      </c>
      <c r="I1899" s="1115" t="n">
        <v>50670</v>
      </c>
      <c r="J1899" s="1115" t="s">
        <v>1232</v>
      </c>
    </row>
    <row r="1900" customFormat="false" ht="14.1" hidden="false" customHeight="true" outlineLevel="0" collapsed="false">
      <c r="A1900" s="1115" t="n">
        <v>50600</v>
      </c>
      <c r="B1900" s="1115" t="s">
        <v>163</v>
      </c>
      <c r="C1900" s="1115" t="n">
        <v>50600</v>
      </c>
      <c r="D1900" s="1115" t="s">
        <v>1232</v>
      </c>
      <c r="E1900" s="1115" t="s">
        <v>1210</v>
      </c>
      <c r="F1900" s="1115" t="n">
        <v>71750</v>
      </c>
      <c r="G1900" s="1115" t="n">
        <v>51890</v>
      </c>
      <c r="H1900" s="1115" t="s">
        <v>3101</v>
      </c>
      <c r="I1900" s="1115" t="n">
        <v>50770</v>
      </c>
      <c r="J1900" s="1115" t="s">
        <v>1232</v>
      </c>
    </row>
    <row r="1901" customFormat="false" ht="14.1" hidden="false" customHeight="true" outlineLevel="0" collapsed="false">
      <c r="A1901" s="1115" t="n">
        <v>50670</v>
      </c>
      <c r="B1901" s="1115" t="s">
        <v>163</v>
      </c>
      <c r="C1901" s="1115" t="n">
        <v>50670</v>
      </c>
      <c r="D1901" s="1115" t="s">
        <v>3053</v>
      </c>
      <c r="E1901" s="1115" t="s">
        <v>3102</v>
      </c>
      <c r="F1901" s="1115" t="n">
        <v>98780</v>
      </c>
      <c r="G1901" s="1115" t="n">
        <v>51900</v>
      </c>
      <c r="H1901" s="1115" t="s">
        <v>927</v>
      </c>
      <c r="I1901" s="1115" t="n">
        <v>50970</v>
      </c>
      <c r="J1901" s="1115" t="s">
        <v>1232</v>
      </c>
    </row>
    <row r="1902" customFormat="false" ht="14.1" hidden="false" customHeight="true" outlineLevel="0" collapsed="false">
      <c r="A1902" s="1115" t="n">
        <v>50770</v>
      </c>
      <c r="B1902" s="1115" t="s">
        <v>163</v>
      </c>
      <c r="C1902" s="1115" t="n">
        <v>50770</v>
      </c>
      <c r="D1902" s="1115" t="s">
        <v>2567</v>
      </c>
      <c r="E1902" s="1115" t="s">
        <v>3103</v>
      </c>
      <c r="F1902" s="1115" t="n">
        <v>88690</v>
      </c>
      <c r="G1902" s="1115" t="n">
        <v>51910</v>
      </c>
      <c r="H1902" s="1115" t="s">
        <v>3104</v>
      </c>
      <c r="I1902" s="1115" t="n">
        <v>51120</v>
      </c>
      <c r="J1902" s="1115" t="s">
        <v>1232</v>
      </c>
    </row>
    <row r="1903" customFormat="false" ht="14.1" hidden="false" customHeight="true" outlineLevel="0" collapsed="false">
      <c r="A1903" s="1115" t="n">
        <v>50970</v>
      </c>
      <c r="B1903" s="1115" t="s">
        <v>163</v>
      </c>
      <c r="C1903" s="1115" t="n">
        <v>50970</v>
      </c>
      <c r="D1903" s="1115" t="s">
        <v>1910</v>
      </c>
      <c r="E1903" s="1115" t="s">
        <v>1020</v>
      </c>
      <c r="F1903" s="1115" t="n">
        <v>1560</v>
      </c>
      <c r="G1903" s="1115" t="n">
        <v>51920</v>
      </c>
      <c r="H1903" s="1115" t="s">
        <v>3105</v>
      </c>
      <c r="I1903" s="1115" t="n">
        <v>51130</v>
      </c>
      <c r="J1903" s="1115" t="s">
        <v>1232</v>
      </c>
    </row>
    <row r="1904" customFormat="false" ht="14.1" hidden="false" customHeight="true" outlineLevel="0" collapsed="false">
      <c r="A1904" s="1115" t="n">
        <v>51120</v>
      </c>
      <c r="B1904" s="1115" t="s">
        <v>163</v>
      </c>
      <c r="C1904" s="1115" t="n">
        <v>51120</v>
      </c>
      <c r="D1904" s="1115" t="s">
        <v>2535</v>
      </c>
      <c r="E1904" s="1115" t="s">
        <v>3106</v>
      </c>
      <c r="F1904" s="1115" t="n">
        <v>83540</v>
      </c>
      <c r="G1904" s="1115" t="n">
        <v>51930</v>
      </c>
      <c r="H1904" s="1115" t="s">
        <v>3107</v>
      </c>
      <c r="I1904" s="1115" t="n">
        <v>51200</v>
      </c>
      <c r="J1904" s="1115" t="s">
        <v>1232</v>
      </c>
    </row>
    <row r="1905" customFormat="false" ht="14.1" hidden="false" customHeight="true" outlineLevel="0" collapsed="false">
      <c r="A1905" s="1115" t="n">
        <v>51130</v>
      </c>
      <c r="B1905" s="1115" t="s">
        <v>163</v>
      </c>
      <c r="C1905" s="1115" t="n">
        <v>51130</v>
      </c>
      <c r="D1905" s="1115" t="s">
        <v>3055</v>
      </c>
      <c r="E1905" s="1115" t="s">
        <v>3108</v>
      </c>
      <c r="F1905" s="1115" t="n">
        <v>77460</v>
      </c>
      <c r="G1905" s="1115" t="n">
        <v>51940</v>
      </c>
      <c r="H1905" s="1115" t="s">
        <v>1896</v>
      </c>
      <c r="I1905" s="1115" t="n">
        <v>51220</v>
      </c>
      <c r="J1905" s="1115" t="s">
        <v>1232</v>
      </c>
    </row>
    <row r="1906" customFormat="false" ht="14.1" hidden="false" customHeight="true" outlineLevel="0" collapsed="false">
      <c r="A1906" s="1115" t="n">
        <v>51200</v>
      </c>
      <c r="B1906" s="1115" t="s">
        <v>163</v>
      </c>
      <c r="C1906" s="1115" t="n">
        <v>51200</v>
      </c>
      <c r="D1906" s="1115" t="s">
        <v>974</v>
      </c>
      <c r="E1906" s="1115" t="s">
        <v>2858</v>
      </c>
      <c r="F1906" s="1115" t="n">
        <v>43220</v>
      </c>
      <c r="G1906" s="1115" t="n">
        <v>51960</v>
      </c>
      <c r="H1906" s="1115" t="s">
        <v>3109</v>
      </c>
      <c r="I1906" s="1115" t="n">
        <v>51260</v>
      </c>
      <c r="J1906" s="1115" t="s">
        <v>1232</v>
      </c>
    </row>
    <row r="1907" customFormat="false" ht="14.1" hidden="false" customHeight="true" outlineLevel="0" collapsed="false">
      <c r="A1907" s="1115" t="n">
        <v>51220</v>
      </c>
      <c r="B1907" s="1115" t="s">
        <v>163</v>
      </c>
      <c r="C1907" s="1115" t="n">
        <v>51220</v>
      </c>
      <c r="D1907" s="1115" t="s">
        <v>2817</v>
      </c>
      <c r="E1907" s="1115" t="s">
        <v>2677</v>
      </c>
      <c r="F1907" s="1115" t="n">
        <v>39120</v>
      </c>
      <c r="G1907" s="1115" t="n">
        <v>51980</v>
      </c>
      <c r="H1907" s="1115" t="s">
        <v>2930</v>
      </c>
      <c r="I1907" s="1115" t="n">
        <v>51270</v>
      </c>
      <c r="J1907" s="1115" t="s">
        <v>1232</v>
      </c>
    </row>
    <row r="1908" customFormat="false" ht="14.1" hidden="false" customHeight="true" outlineLevel="0" collapsed="false">
      <c r="A1908" s="1115" t="n">
        <v>51260</v>
      </c>
      <c r="B1908" s="1115" t="s">
        <v>163</v>
      </c>
      <c r="C1908" s="1115" t="n">
        <v>51260</v>
      </c>
      <c r="D1908" s="1115" t="s">
        <v>3057</v>
      </c>
      <c r="E1908" s="1115" t="s">
        <v>1815</v>
      </c>
      <c r="F1908" s="1115" t="n">
        <v>17540</v>
      </c>
      <c r="G1908" s="1115" t="n">
        <v>51990</v>
      </c>
      <c r="H1908" s="1115" t="s">
        <v>2296</v>
      </c>
      <c r="I1908" s="1115" t="n">
        <v>51310</v>
      </c>
      <c r="J1908" s="1115" t="s">
        <v>1232</v>
      </c>
    </row>
    <row r="1909" customFormat="false" ht="14.1" hidden="false" customHeight="true" outlineLevel="0" collapsed="false">
      <c r="A1909" s="1115" t="n">
        <v>51270</v>
      </c>
      <c r="B1909" s="1115" t="s">
        <v>163</v>
      </c>
      <c r="C1909" s="1115" t="n">
        <v>51270</v>
      </c>
      <c r="D1909" s="1115" t="s">
        <v>2740</v>
      </c>
      <c r="E1909" s="1115" t="s">
        <v>3110</v>
      </c>
      <c r="F1909" s="1115" t="n">
        <v>59510</v>
      </c>
      <c r="G1909" s="1115" t="n">
        <v>52100</v>
      </c>
      <c r="H1909" s="1115" t="s">
        <v>905</v>
      </c>
      <c r="I1909" s="1115" t="n">
        <v>51330</v>
      </c>
      <c r="J1909" s="1115" t="s">
        <v>1232</v>
      </c>
    </row>
    <row r="1910" customFormat="false" ht="14.1" hidden="false" customHeight="true" outlineLevel="0" collapsed="false">
      <c r="A1910" s="1115" t="n">
        <v>51310</v>
      </c>
      <c r="B1910" s="1115" t="s">
        <v>163</v>
      </c>
      <c r="C1910" s="1115" t="n">
        <v>51310</v>
      </c>
      <c r="D1910" s="1115" t="s">
        <v>2984</v>
      </c>
      <c r="E1910" s="1115" t="s">
        <v>1023</v>
      </c>
      <c r="F1910" s="1115" t="n">
        <v>1590</v>
      </c>
      <c r="G1910" s="1115" t="n">
        <v>52110</v>
      </c>
      <c r="H1910" s="1115" t="s">
        <v>3111</v>
      </c>
      <c r="I1910" s="1115" t="n">
        <v>51335</v>
      </c>
      <c r="J1910" s="1115" t="s">
        <v>1232</v>
      </c>
    </row>
    <row r="1911" customFormat="false" ht="14.1" hidden="false" customHeight="true" outlineLevel="0" collapsed="false">
      <c r="A1911" s="1115" t="n">
        <v>51330</v>
      </c>
      <c r="B1911" s="1115" t="s">
        <v>163</v>
      </c>
      <c r="C1911" s="1115" t="n">
        <v>51330</v>
      </c>
      <c r="D1911" s="1115" t="s">
        <v>2577</v>
      </c>
      <c r="E1911" s="1115" t="s">
        <v>3093</v>
      </c>
      <c r="F1911" s="1115" t="n">
        <v>51810</v>
      </c>
      <c r="G1911" s="1115" t="n">
        <v>52140</v>
      </c>
      <c r="H1911" s="1115" t="s">
        <v>3112</v>
      </c>
      <c r="I1911" s="1115" t="n">
        <v>51340</v>
      </c>
      <c r="J1911" s="1115" t="s">
        <v>1232</v>
      </c>
    </row>
    <row r="1912" customFormat="false" ht="14.1" hidden="false" customHeight="true" outlineLevel="0" collapsed="false">
      <c r="A1912" s="1115" t="n">
        <v>51335</v>
      </c>
      <c r="B1912" s="1115" t="s">
        <v>163</v>
      </c>
      <c r="C1912" s="1115" t="n">
        <v>51335</v>
      </c>
      <c r="D1912" s="1115" t="s">
        <v>2138</v>
      </c>
      <c r="E1912" s="1115" t="s">
        <v>3111</v>
      </c>
      <c r="F1912" s="1115" t="n">
        <v>52110</v>
      </c>
      <c r="G1912" s="1115" t="n">
        <v>52150</v>
      </c>
      <c r="H1912" s="1115" t="s">
        <v>1461</v>
      </c>
      <c r="I1912" s="1115" t="n">
        <v>51350</v>
      </c>
      <c r="J1912" s="1115" t="s">
        <v>1232</v>
      </c>
    </row>
    <row r="1913" customFormat="false" ht="14.1" hidden="false" customHeight="true" outlineLevel="0" collapsed="false">
      <c r="A1913" s="1115" t="n">
        <v>51340</v>
      </c>
      <c r="B1913" s="1115" t="s">
        <v>163</v>
      </c>
      <c r="C1913" s="1115" t="n">
        <v>51340</v>
      </c>
      <c r="D1913" s="1115" t="s">
        <v>1890</v>
      </c>
      <c r="E1913" s="1115" t="s">
        <v>2718</v>
      </c>
      <c r="F1913" s="1115" t="n">
        <v>39950</v>
      </c>
      <c r="G1913" s="1115" t="n">
        <v>52200</v>
      </c>
      <c r="H1913" s="1115" t="s">
        <v>1384</v>
      </c>
      <c r="I1913" s="1115" t="n">
        <v>51360</v>
      </c>
      <c r="J1913" s="1115" t="s">
        <v>1232</v>
      </c>
    </row>
    <row r="1914" customFormat="false" ht="14.1" hidden="false" customHeight="true" outlineLevel="0" collapsed="false">
      <c r="A1914" s="1115" t="n">
        <v>51350</v>
      </c>
      <c r="B1914" s="1115" t="s">
        <v>163</v>
      </c>
      <c r="C1914" s="1115" t="n">
        <v>51350</v>
      </c>
      <c r="D1914" s="1115" t="s">
        <v>3063</v>
      </c>
      <c r="E1914" s="1115" t="s">
        <v>3113</v>
      </c>
      <c r="F1914" s="1115" t="n">
        <v>58150</v>
      </c>
      <c r="G1914" s="1115" t="n">
        <v>52230</v>
      </c>
      <c r="H1914" s="1115" t="s">
        <v>1817</v>
      </c>
      <c r="I1914" s="1115" t="n">
        <v>51365</v>
      </c>
      <c r="J1914" s="1115" t="s">
        <v>1232</v>
      </c>
    </row>
    <row r="1915" customFormat="false" ht="14.1" hidden="false" customHeight="true" outlineLevel="0" collapsed="false">
      <c r="A1915" s="1115" t="n">
        <v>51360</v>
      </c>
      <c r="B1915" s="1115" t="s">
        <v>163</v>
      </c>
      <c r="C1915" s="1115" t="n">
        <v>51360</v>
      </c>
      <c r="D1915" s="1115" t="s">
        <v>2485</v>
      </c>
      <c r="E1915" s="1115" t="s">
        <v>3114</v>
      </c>
      <c r="F1915" s="1115" t="n">
        <v>66640</v>
      </c>
      <c r="G1915" s="1115" t="n">
        <v>52240</v>
      </c>
      <c r="H1915" s="1115" t="s">
        <v>3115</v>
      </c>
      <c r="I1915" s="1115" t="n">
        <v>51380</v>
      </c>
      <c r="J1915" s="1115" t="s">
        <v>1232</v>
      </c>
    </row>
    <row r="1916" customFormat="false" ht="14.1" hidden="false" customHeight="true" outlineLevel="0" collapsed="false">
      <c r="A1916" s="1115" t="n">
        <v>51365</v>
      </c>
      <c r="B1916" s="1115" t="s">
        <v>163</v>
      </c>
      <c r="C1916" s="1115" t="n">
        <v>51365</v>
      </c>
      <c r="D1916" s="1115" t="s">
        <v>3066</v>
      </c>
      <c r="E1916" s="1115" t="s">
        <v>3116</v>
      </c>
      <c r="F1916" s="1115" t="n">
        <v>95230</v>
      </c>
      <c r="G1916" s="1115" t="n">
        <v>52250</v>
      </c>
      <c r="H1916" s="1115" t="s">
        <v>3117</v>
      </c>
      <c r="I1916" s="1115" t="n">
        <v>51390</v>
      </c>
      <c r="J1916" s="1115" t="s">
        <v>1232</v>
      </c>
    </row>
    <row r="1917" customFormat="false" ht="14.1" hidden="false" customHeight="true" outlineLevel="0" collapsed="false">
      <c r="A1917" s="1115" t="n">
        <v>51380</v>
      </c>
      <c r="B1917" s="1115" t="s">
        <v>163</v>
      </c>
      <c r="C1917" s="1115" t="n">
        <v>51380</v>
      </c>
      <c r="D1917" s="1115" t="s">
        <v>3068</v>
      </c>
      <c r="E1917" s="1115" t="s">
        <v>3118</v>
      </c>
      <c r="F1917" s="1115" t="n">
        <v>85640</v>
      </c>
      <c r="G1917" s="1115" t="n">
        <v>52270</v>
      </c>
      <c r="H1917" s="1115" t="s">
        <v>3119</v>
      </c>
      <c r="I1917" s="1115" t="n">
        <v>51420</v>
      </c>
      <c r="J1917" s="1115" t="s">
        <v>1232</v>
      </c>
    </row>
    <row r="1918" customFormat="false" ht="14.1" hidden="false" customHeight="true" outlineLevel="0" collapsed="false">
      <c r="A1918" s="1115" t="n">
        <v>51390</v>
      </c>
      <c r="B1918" s="1115" t="s">
        <v>163</v>
      </c>
      <c r="C1918" s="1115" t="n">
        <v>51390</v>
      </c>
      <c r="D1918" s="1115" t="s">
        <v>3070</v>
      </c>
      <c r="E1918" s="1115" t="s">
        <v>1743</v>
      </c>
      <c r="F1918" s="1115" t="n">
        <v>16450</v>
      </c>
      <c r="G1918" s="1115" t="n">
        <v>52300</v>
      </c>
      <c r="H1918" s="1115" t="s">
        <v>1439</v>
      </c>
      <c r="I1918" s="1115" t="n">
        <v>51430</v>
      </c>
      <c r="J1918" s="1115" t="s">
        <v>1232</v>
      </c>
    </row>
    <row r="1919" customFormat="false" ht="14.1" hidden="false" customHeight="true" outlineLevel="0" collapsed="false">
      <c r="A1919" s="1115" t="n">
        <v>51420</v>
      </c>
      <c r="B1919" s="1115" t="s">
        <v>163</v>
      </c>
      <c r="C1919" s="1115" t="n">
        <v>51420</v>
      </c>
      <c r="D1919" s="1115" t="s">
        <v>1417</v>
      </c>
      <c r="E1919" s="1115" t="s">
        <v>1440</v>
      </c>
      <c r="F1919" s="1115" t="n">
        <v>7720</v>
      </c>
      <c r="G1919" s="1115" t="n">
        <v>52310</v>
      </c>
      <c r="H1919" s="1115" t="s">
        <v>3095</v>
      </c>
      <c r="I1919" s="1115" t="n">
        <v>51440</v>
      </c>
      <c r="J1919" s="1115" t="s">
        <v>1232</v>
      </c>
    </row>
    <row r="1920" customFormat="false" ht="14.1" hidden="false" customHeight="true" outlineLevel="0" collapsed="false">
      <c r="A1920" s="1115" t="n">
        <v>51430</v>
      </c>
      <c r="B1920" s="1115" t="s">
        <v>163</v>
      </c>
      <c r="C1920" s="1115" t="n">
        <v>51430</v>
      </c>
      <c r="D1920" s="1115" t="s">
        <v>3071</v>
      </c>
      <c r="E1920" s="1115" t="s">
        <v>3120</v>
      </c>
      <c r="F1920" s="1115" t="n">
        <v>88340</v>
      </c>
      <c r="G1920" s="1115" t="n">
        <v>52320</v>
      </c>
      <c r="H1920" s="1115" t="s">
        <v>3121</v>
      </c>
      <c r="I1920" s="1115" t="n">
        <v>51450</v>
      </c>
      <c r="J1920" s="1115" t="s">
        <v>1232</v>
      </c>
    </row>
    <row r="1921" customFormat="false" ht="14.1" hidden="false" customHeight="true" outlineLevel="0" collapsed="false">
      <c r="A1921" s="1115" t="n">
        <v>51440</v>
      </c>
      <c r="B1921" s="1115" t="s">
        <v>163</v>
      </c>
      <c r="C1921" s="1115" t="n">
        <v>51440</v>
      </c>
      <c r="D1921" s="1115" t="s">
        <v>3073</v>
      </c>
      <c r="E1921" s="1115" t="s">
        <v>2989</v>
      </c>
      <c r="F1921" s="1115" t="n">
        <v>47490</v>
      </c>
      <c r="G1921" s="1115" t="n">
        <v>52330</v>
      </c>
      <c r="H1921" s="1115" t="s">
        <v>1506</v>
      </c>
      <c r="I1921" s="1115" t="n">
        <v>51460</v>
      </c>
      <c r="J1921" s="1115" t="s">
        <v>1232</v>
      </c>
    </row>
    <row r="1922" customFormat="false" ht="14.1" hidden="false" customHeight="true" outlineLevel="0" collapsed="false">
      <c r="A1922" s="1115" t="n">
        <v>51450</v>
      </c>
      <c r="B1922" s="1115" t="s">
        <v>163</v>
      </c>
      <c r="C1922" s="1115" t="n">
        <v>51450</v>
      </c>
      <c r="D1922" s="1115" t="s">
        <v>3075</v>
      </c>
      <c r="E1922" s="1115" t="s">
        <v>3122</v>
      </c>
      <c r="F1922" s="1115" t="n">
        <v>92530</v>
      </c>
      <c r="G1922" s="1115" t="n">
        <v>52340</v>
      </c>
      <c r="H1922" s="1115" t="s">
        <v>1367</v>
      </c>
      <c r="I1922" s="1115" t="n">
        <v>51480</v>
      </c>
      <c r="J1922" s="1115" t="s">
        <v>1232</v>
      </c>
    </row>
    <row r="1923" customFormat="false" ht="14.1" hidden="false" customHeight="true" outlineLevel="0" collapsed="false">
      <c r="A1923" s="1115" t="n">
        <v>51460</v>
      </c>
      <c r="B1923" s="1115" t="s">
        <v>163</v>
      </c>
      <c r="C1923" s="1115" t="n">
        <v>51460</v>
      </c>
      <c r="D1923" s="1115" t="s">
        <v>3072</v>
      </c>
      <c r="E1923" s="1115" t="s">
        <v>3123</v>
      </c>
      <c r="F1923" s="1115" t="n">
        <v>82880</v>
      </c>
      <c r="G1923" s="1115" t="n">
        <v>52350</v>
      </c>
      <c r="H1923" s="1115" t="s">
        <v>2202</v>
      </c>
      <c r="I1923" s="1115" t="n">
        <v>51520</v>
      </c>
      <c r="J1923" s="1115" t="s">
        <v>1232</v>
      </c>
    </row>
    <row r="1924" customFormat="false" ht="14.1" hidden="false" customHeight="true" outlineLevel="0" collapsed="false">
      <c r="A1924" s="1115" t="n">
        <v>51480</v>
      </c>
      <c r="B1924" s="1115" t="s">
        <v>163</v>
      </c>
      <c r="C1924" s="1115" t="n">
        <v>51480</v>
      </c>
      <c r="D1924" s="1115" t="s">
        <v>3077</v>
      </c>
      <c r="E1924" s="1115" t="s">
        <v>2207</v>
      </c>
      <c r="F1924" s="1115" t="n">
        <v>27670</v>
      </c>
      <c r="G1924" s="1115" t="n">
        <v>52360</v>
      </c>
      <c r="H1924" s="1115" t="s">
        <v>3124</v>
      </c>
      <c r="I1924" s="1115" t="n">
        <v>51540</v>
      </c>
      <c r="J1924" s="1115" t="s">
        <v>1232</v>
      </c>
    </row>
    <row r="1925" customFormat="false" ht="14.1" hidden="false" customHeight="true" outlineLevel="0" collapsed="false">
      <c r="A1925" s="1115" t="n">
        <v>51520</v>
      </c>
      <c r="B1925" s="1115" t="s">
        <v>163</v>
      </c>
      <c r="C1925" s="1115" t="n">
        <v>51520</v>
      </c>
      <c r="D1925" s="1115" t="s">
        <v>1694</v>
      </c>
      <c r="E1925" s="1115" t="s">
        <v>1862</v>
      </c>
      <c r="F1925" s="1115" t="n">
        <v>19420</v>
      </c>
      <c r="G1925" s="1115" t="n">
        <v>52370</v>
      </c>
      <c r="H1925" s="1115" t="s">
        <v>3125</v>
      </c>
      <c r="I1925" s="1115" t="n">
        <v>51550</v>
      </c>
      <c r="J1925" s="1115" t="s">
        <v>1232</v>
      </c>
    </row>
    <row r="1926" customFormat="false" ht="14.1" hidden="false" customHeight="true" outlineLevel="0" collapsed="false">
      <c r="A1926" s="1115" t="n">
        <v>51540</v>
      </c>
      <c r="B1926" s="1115" t="s">
        <v>163</v>
      </c>
      <c r="C1926" s="1115" t="n">
        <v>51540</v>
      </c>
      <c r="D1926" s="1115" t="s">
        <v>2204</v>
      </c>
      <c r="E1926" s="1115" t="s">
        <v>1771</v>
      </c>
      <c r="F1926" s="1115" t="n">
        <v>16790</v>
      </c>
      <c r="G1926" s="1115" t="n">
        <v>52410</v>
      </c>
      <c r="H1926" s="1115" t="s">
        <v>2071</v>
      </c>
      <c r="I1926" s="1115" t="n">
        <v>51600</v>
      </c>
      <c r="J1926" s="1115" t="s">
        <v>1232</v>
      </c>
    </row>
    <row r="1927" customFormat="false" ht="14.1" hidden="false" customHeight="true" outlineLevel="0" collapsed="false">
      <c r="A1927" s="1115" t="n">
        <v>51550</v>
      </c>
      <c r="B1927" s="1115" t="s">
        <v>163</v>
      </c>
      <c r="C1927" s="1115" t="n">
        <v>51550</v>
      </c>
      <c r="D1927" s="1115" t="s">
        <v>1692</v>
      </c>
      <c r="E1927" s="1115" t="s">
        <v>3126</v>
      </c>
      <c r="F1927" s="1115" t="n">
        <v>61680</v>
      </c>
      <c r="G1927" s="1115" t="n">
        <v>52420</v>
      </c>
      <c r="H1927" s="1115" t="s">
        <v>3127</v>
      </c>
      <c r="I1927" s="1115" t="n">
        <v>51610</v>
      </c>
      <c r="J1927" s="1115" t="s">
        <v>1232</v>
      </c>
    </row>
    <row r="1928" customFormat="false" ht="14.1" hidden="false" customHeight="true" outlineLevel="0" collapsed="false">
      <c r="A1928" s="1115" t="n">
        <v>51600</v>
      </c>
      <c r="B1928" s="1115" t="s">
        <v>163</v>
      </c>
      <c r="C1928" s="1115" t="n">
        <v>51600</v>
      </c>
      <c r="D1928" s="1115" t="s">
        <v>838</v>
      </c>
      <c r="E1928" s="1115" t="s">
        <v>3126</v>
      </c>
      <c r="F1928" s="1115" t="n">
        <v>61680</v>
      </c>
      <c r="G1928" s="1115" t="n">
        <v>52430</v>
      </c>
      <c r="H1928" s="1115" t="s">
        <v>3128</v>
      </c>
      <c r="I1928" s="1115" t="n">
        <v>51620</v>
      </c>
      <c r="J1928" s="1115" t="s">
        <v>1232</v>
      </c>
    </row>
    <row r="1929" customFormat="false" ht="14.1" hidden="false" customHeight="true" outlineLevel="0" collapsed="false">
      <c r="A1929" s="1115" t="n">
        <v>51610</v>
      </c>
      <c r="B1929" s="1115" t="s">
        <v>163</v>
      </c>
      <c r="C1929" s="1115" t="n">
        <v>51610</v>
      </c>
      <c r="D1929" s="1115" t="s">
        <v>3081</v>
      </c>
      <c r="E1929" s="1115" t="s">
        <v>2012</v>
      </c>
      <c r="F1929" s="1115" t="n">
        <v>22100</v>
      </c>
      <c r="G1929" s="1115" t="n">
        <v>52450</v>
      </c>
      <c r="H1929" s="1115" t="s">
        <v>3129</v>
      </c>
      <c r="I1929" s="1115" t="n">
        <v>51650</v>
      </c>
      <c r="J1929" s="1115" t="s">
        <v>1232</v>
      </c>
    </row>
    <row r="1930" customFormat="false" ht="14.1" hidden="false" customHeight="true" outlineLevel="0" collapsed="false">
      <c r="A1930" s="1115" t="n">
        <v>51620</v>
      </c>
      <c r="B1930" s="1115" t="s">
        <v>163</v>
      </c>
      <c r="C1930" s="1115" t="n">
        <v>51620</v>
      </c>
      <c r="D1930" s="1115" t="s">
        <v>3083</v>
      </c>
      <c r="E1930" s="1115" t="s">
        <v>2012</v>
      </c>
      <c r="F1930" s="1115" t="n">
        <v>22100</v>
      </c>
      <c r="G1930" s="1115" t="n">
        <v>52460</v>
      </c>
      <c r="H1930" s="1115" t="s">
        <v>1708</v>
      </c>
      <c r="I1930" s="1115" t="n">
        <v>51660</v>
      </c>
      <c r="J1930" s="1115" t="s">
        <v>1232</v>
      </c>
    </row>
    <row r="1931" customFormat="false" ht="14.1" hidden="false" customHeight="true" outlineLevel="0" collapsed="false">
      <c r="A1931" s="1115" t="n">
        <v>51650</v>
      </c>
      <c r="B1931" s="1115" t="s">
        <v>163</v>
      </c>
      <c r="C1931" s="1115" t="n">
        <v>51650</v>
      </c>
      <c r="D1931" s="1115" t="s">
        <v>3085</v>
      </c>
      <c r="E1931" s="1115" t="s">
        <v>2012</v>
      </c>
      <c r="F1931" s="1115" t="n">
        <v>22100</v>
      </c>
      <c r="G1931" s="1115" t="n">
        <v>52480</v>
      </c>
      <c r="H1931" s="1115" t="s">
        <v>2996</v>
      </c>
      <c r="I1931" s="1115" t="n">
        <v>51670</v>
      </c>
      <c r="J1931" s="1115" t="s">
        <v>1232</v>
      </c>
    </row>
    <row r="1932" customFormat="false" ht="14.1" hidden="false" customHeight="true" outlineLevel="0" collapsed="false">
      <c r="A1932" s="1115" t="n">
        <v>51660</v>
      </c>
      <c r="B1932" s="1115" t="s">
        <v>163</v>
      </c>
      <c r="C1932" s="1115" t="n">
        <v>51660</v>
      </c>
      <c r="D1932" s="1115" t="s">
        <v>2514</v>
      </c>
      <c r="E1932" s="1115" t="s">
        <v>2012</v>
      </c>
      <c r="F1932" s="1115" t="n">
        <v>22100</v>
      </c>
      <c r="G1932" s="1115" t="n">
        <v>52510</v>
      </c>
      <c r="H1932" s="1115" t="s">
        <v>1687</v>
      </c>
      <c r="I1932" s="1115" t="n">
        <v>51720</v>
      </c>
      <c r="J1932" s="1115" t="s">
        <v>1232</v>
      </c>
    </row>
    <row r="1933" customFormat="false" ht="14.1" hidden="false" customHeight="true" outlineLevel="0" collapsed="false">
      <c r="A1933" s="1115" t="n">
        <v>51670</v>
      </c>
      <c r="B1933" s="1115" t="s">
        <v>163</v>
      </c>
      <c r="C1933" s="1115" t="n">
        <v>51670</v>
      </c>
      <c r="D1933" s="1115" t="s">
        <v>3087</v>
      </c>
      <c r="E1933" s="1115" t="s">
        <v>2012</v>
      </c>
      <c r="F1933" s="1115" t="n">
        <v>22100</v>
      </c>
      <c r="G1933" s="1115" t="n">
        <v>52520</v>
      </c>
      <c r="H1933" s="1115" t="s">
        <v>3130</v>
      </c>
      <c r="I1933" s="1115" t="n">
        <v>51730</v>
      </c>
      <c r="J1933" s="1115" t="s">
        <v>1232</v>
      </c>
    </row>
    <row r="1934" customFormat="false" ht="14.1" hidden="false" customHeight="true" outlineLevel="0" collapsed="false">
      <c r="A1934" s="1115" t="n">
        <v>51720</v>
      </c>
      <c r="B1934" s="1115" t="s">
        <v>163</v>
      </c>
      <c r="C1934" s="1115" t="n">
        <v>51720</v>
      </c>
      <c r="D1934" s="1115" t="s">
        <v>3088</v>
      </c>
      <c r="E1934" s="1115" t="s">
        <v>2012</v>
      </c>
      <c r="F1934" s="1115" t="n">
        <v>22100</v>
      </c>
      <c r="G1934" s="1115" t="n">
        <v>52550</v>
      </c>
      <c r="H1934" s="1115" t="s">
        <v>850</v>
      </c>
      <c r="I1934" s="1115" t="n">
        <v>51740</v>
      </c>
      <c r="J1934" s="1115" t="s">
        <v>1232</v>
      </c>
    </row>
    <row r="1935" customFormat="false" ht="14.1" hidden="false" customHeight="true" outlineLevel="0" collapsed="false">
      <c r="A1935" s="1115" t="n">
        <v>51730</v>
      </c>
      <c r="B1935" s="1115" t="s">
        <v>163</v>
      </c>
      <c r="C1935" s="1115" t="n">
        <v>51730</v>
      </c>
      <c r="D1935" s="1115" t="s">
        <v>929</v>
      </c>
      <c r="E1935" s="1115" t="s">
        <v>2012</v>
      </c>
      <c r="F1935" s="1115" t="n">
        <v>22100</v>
      </c>
      <c r="G1935" s="1115" t="n">
        <v>52560</v>
      </c>
      <c r="H1935" s="1115" t="s">
        <v>3131</v>
      </c>
      <c r="I1935" s="1115" t="n">
        <v>51760</v>
      </c>
      <c r="J1935" s="1115" t="s">
        <v>927</v>
      </c>
    </row>
    <row r="1936" customFormat="false" ht="14.1" hidden="false" customHeight="true" outlineLevel="0" collapsed="false">
      <c r="A1936" s="1115" t="n">
        <v>51740</v>
      </c>
      <c r="B1936" s="1115" t="s">
        <v>163</v>
      </c>
      <c r="C1936" s="1115" t="n">
        <v>51740</v>
      </c>
      <c r="D1936" s="1115" t="s">
        <v>1830</v>
      </c>
      <c r="E1936" s="1115" t="s">
        <v>2012</v>
      </c>
      <c r="F1936" s="1115" t="n">
        <v>22100</v>
      </c>
      <c r="G1936" s="1115" t="n">
        <v>52570</v>
      </c>
      <c r="H1936" s="1115" t="s">
        <v>1508</v>
      </c>
      <c r="I1936" s="1115" t="n">
        <v>51770</v>
      </c>
      <c r="J1936" s="1115" t="s">
        <v>927</v>
      </c>
    </row>
    <row r="1937" customFormat="false" ht="14.1" hidden="false" customHeight="true" outlineLevel="0" collapsed="false">
      <c r="A1937" s="1115" t="n">
        <v>51760</v>
      </c>
      <c r="B1937" s="1115" t="s">
        <v>163</v>
      </c>
      <c r="C1937" s="1115" t="n">
        <v>51760</v>
      </c>
      <c r="D1937" s="1115" t="s">
        <v>3090</v>
      </c>
      <c r="E1937" s="1115" t="s">
        <v>2012</v>
      </c>
      <c r="F1937" s="1115" t="n">
        <v>22100</v>
      </c>
      <c r="G1937" s="1115" t="n">
        <v>52580</v>
      </c>
      <c r="H1937" s="1115" t="s">
        <v>1887</v>
      </c>
      <c r="I1937" s="1115" t="n">
        <v>51780</v>
      </c>
      <c r="J1937" s="1115" t="s">
        <v>927</v>
      </c>
    </row>
    <row r="1938" customFormat="false" ht="14.1" hidden="false" customHeight="true" outlineLevel="0" collapsed="false">
      <c r="A1938" s="1115" t="n">
        <v>51770</v>
      </c>
      <c r="B1938" s="1115" t="s">
        <v>163</v>
      </c>
      <c r="C1938" s="1115" t="n">
        <v>51770</v>
      </c>
      <c r="D1938" s="1115" t="s">
        <v>3092</v>
      </c>
      <c r="E1938" s="1115" t="s">
        <v>2012</v>
      </c>
      <c r="F1938" s="1115" t="n">
        <v>22100</v>
      </c>
      <c r="G1938" s="1115" t="n">
        <v>52590</v>
      </c>
      <c r="H1938" s="1115" t="s">
        <v>3132</v>
      </c>
      <c r="I1938" s="1115" t="n">
        <v>51810</v>
      </c>
      <c r="J1938" s="1115" t="s">
        <v>927</v>
      </c>
    </row>
    <row r="1939" customFormat="false" ht="14.1" hidden="false" customHeight="true" outlineLevel="0" collapsed="false">
      <c r="A1939" s="1115" t="n">
        <v>51780</v>
      </c>
      <c r="B1939" s="1115" t="s">
        <v>163</v>
      </c>
      <c r="C1939" s="1115" t="n">
        <v>51780</v>
      </c>
      <c r="D1939" s="1115" t="s">
        <v>2727</v>
      </c>
      <c r="E1939" s="1115" t="s">
        <v>2012</v>
      </c>
      <c r="F1939" s="1115" t="n">
        <v>22101</v>
      </c>
      <c r="G1939" s="1115" t="n">
        <v>52610</v>
      </c>
      <c r="H1939" s="1115" t="s">
        <v>3133</v>
      </c>
      <c r="I1939" s="1115" t="n">
        <v>51820</v>
      </c>
      <c r="J1939" s="1115" t="s">
        <v>927</v>
      </c>
    </row>
    <row r="1940" customFormat="false" ht="14.1" hidden="false" customHeight="true" outlineLevel="0" collapsed="false">
      <c r="A1940" s="1115" t="n">
        <v>51810</v>
      </c>
      <c r="B1940" s="1115" t="s">
        <v>163</v>
      </c>
      <c r="C1940" s="1115" t="n">
        <v>51810</v>
      </c>
      <c r="D1940" s="1115" t="s">
        <v>3093</v>
      </c>
      <c r="E1940" s="1115" t="s">
        <v>2012</v>
      </c>
      <c r="F1940" s="1115" t="n">
        <v>22101</v>
      </c>
      <c r="G1940" s="1115" t="n">
        <v>52620</v>
      </c>
      <c r="H1940" s="1115" t="s">
        <v>2660</v>
      </c>
      <c r="I1940" s="1115" t="n">
        <v>51830</v>
      </c>
      <c r="J1940" s="1115" t="s">
        <v>927</v>
      </c>
    </row>
    <row r="1941" customFormat="false" ht="14.1" hidden="false" customHeight="true" outlineLevel="0" collapsed="false">
      <c r="A1941" s="1115" t="n">
        <v>51820</v>
      </c>
      <c r="B1941" s="1115" t="s">
        <v>163</v>
      </c>
      <c r="C1941" s="1115" t="n">
        <v>51820</v>
      </c>
      <c r="D1941" s="1115" t="s">
        <v>1450</v>
      </c>
      <c r="E1941" s="1115" t="s">
        <v>2012</v>
      </c>
      <c r="F1941" s="1115" t="n">
        <v>22103</v>
      </c>
      <c r="G1941" s="1115" t="n">
        <v>52630</v>
      </c>
      <c r="H1941" s="1115" t="s">
        <v>1722</v>
      </c>
      <c r="I1941" s="1115" t="n">
        <v>51840</v>
      </c>
      <c r="J1941" s="1115" t="s">
        <v>927</v>
      </c>
    </row>
    <row r="1942" customFormat="false" ht="14.1" hidden="false" customHeight="true" outlineLevel="0" collapsed="false">
      <c r="A1942" s="1115" t="n">
        <v>51830</v>
      </c>
      <c r="B1942" s="1115" t="s">
        <v>163</v>
      </c>
      <c r="C1942" s="1115" t="n">
        <v>51830</v>
      </c>
      <c r="D1942" s="1115" t="s">
        <v>3094</v>
      </c>
      <c r="E1942" s="1115" t="s">
        <v>2012</v>
      </c>
      <c r="F1942" s="1115" t="n">
        <v>22103</v>
      </c>
      <c r="G1942" s="1115" t="n">
        <v>52650</v>
      </c>
      <c r="H1942" s="1115" t="s">
        <v>3134</v>
      </c>
      <c r="I1942" s="1115" t="n">
        <v>51850</v>
      </c>
      <c r="J1942" s="1115" t="s">
        <v>927</v>
      </c>
    </row>
    <row r="1943" customFormat="false" ht="14.1" hidden="false" customHeight="true" outlineLevel="0" collapsed="false">
      <c r="A1943" s="1115" t="n">
        <v>51840</v>
      </c>
      <c r="B1943" s="1115" t="s">
        <v>163</v>
      </c>
      <c r="C1943" s="1115" t="n">
        <v>51840</v>
      </c>
      <c r="D1943" s="1115" t="s">
        <v>3096</v>
      </c>
      <c r="E1943" s="1115" t="s">
        <v>2012</v>
      </c>
      <c r="F1943" s="1115" t="n">
        <v>22110</v>
      </c>
      <c r="G1943" s="1115" t="n">
        <v>52660</v>
      </c>
      <c r="H1943" s="1115" t="s">
        <v>3135</v>
      </c>
      <c r="I1943" s="1115" t="n">
        <v>51860</v>
      </c>
      <c r="J1943" s="1115" t="s">
        <v>927</v>
      </c>
    </row>
    <row r="1944" customFormat="false" ht="14.1" hidden="false" customHeight="true" outlineLevel="0" collapsed="false">
      <c r="A1944" s="1115" t="n">
        <v>51850</v>
      </c>
      <c r="B1944" s="1115" t="s">
        <v>163</v>
      </c>
      <c r="C1944" s="1115" t="n">
        <v>51850</v>
      </c>
      <c r="D1944" s="1115" t="s">
        <v>3098</v>
      </c>
      <c r="E1944" s="1115" t="s">
        <v>2012</v>
      </c>
      <c r="F1944" s="1115" t="n">
        <v>22110</v>
      </c>
      <c r="G1944" s="1115" t="n">
        <v>52700</v>
      </c>
      <c r="H1944" s="1115" t="s">
        <v>1253</v>
      </c>
      <c r="I1944" s="1115" t="n">
        <v>51880</v>
      </c>
      <c r="J1944" s="1115" t="s">
        <v>927</v>
      </c>
    </row>
    <row r="1945" customFormat="false" ht="14.1" hidden="false" customHeight="true" outlineLevel="0" collapsed="false">
      <c r="A1945" s="1115" t="n">
        <v>51860</v>
      </c>
      <c r="B1945" s="1115" t="s">
        <v>163</v>
      </c>
      <c r="C1945" s="1115" t="n">
        <v>51860</v>
      </c>
      <c r="D1945" s="1115" t="s">
        <v>3099</v>
      </c>
      <c r="E1945" s="1115" t="s">
        <v>2012</v>
      </c>
      <c r="F1945" s="1115" t="n">
        <v>22111</v>
      </c>
      <c r="G1945" s="1115" t="n">
        <v>52710</v>
      </c>
      <c r="H1945" s="1115" t="s">
        <v>1253</v>
      </c>
      <c r="I1945" s="1115" t="n">
        <v>51890</v>
      </c>
      <c r="J1945" s="1115" t="s">
        <v>927</v>
      </c>
    </row>
    <row r="1946" customFormat="false" ht="14.1" hidden="false" customHeight="true" outlineLevel="0" collapsed="false">
      <c r="A1946" s="1115" t="n">
        <v>51880</v>
      </c>
      <c r="B1946" s="1115" t="s">
        <v>163</v>
      </c>
      <c r="C1946" s="1115" t="n">
        <v>51880</v>
      </c>
      <c r="D1946" s="1115" t="s">
        <v>2470</v>
      </c>
      <c r="E1946" s="1115" t="s">
        <v>2012</v>
      </c>
      <c r="F1946" s="1115" t="n">
        <v>22111</v>
      </c>
      <c r="G1946" s="1115" t="n">
        <v>52720</v>
      </c>
      <c r="H1946" s="1115" t="s">
        <v>2238</v>
      </c>
      <c r="I1946" s="1115" t="n">
        <v>51900</v>
      </c>
      <c r="J1946" s="1115" t="s">
        <v>927</v>
      </c>
    </row>
    <row r="1947" customFormat="false" ht="14.1" hidden="false" customHeight="true" outlineLevel="0" collapsed="false">
      <c r="A1947" s="1115" t="n">
        <v>51890</v>
      </c>
      <c r="B1947" s="1115" t="s">
        <v>163</v>
      </c>
      <c r="C1947" s="1115" t="n">
        <v>51890</v>
      </c>
      <c r="D1947" s="1115" t="s">
        <v>3101</v>
      </c>
      <c r="E1947" s="1115" t="s">
        <v>2012</v>
      </c>
      <c r="F1947" s="1115" t="n">
        <v>22120</v>
      </c>
      <c r="G1947" s="1115" t="n">
        <v>52730</v>
      </c>
      <c r="H1947" s="1115" t="s">
        <v>2471</v>
      </c>
      <c r="I1947" s="1115" t="n">
        <v>51910</v>
      </c>
      <c r="J1947" s="1115" t="s">
        <v>927</v>
      </c>
    </row>
    <row r="1948" customFormat="false" ht="14.1" hidden="false" customHeight="true" outlineLevel="0" collapsed="false">
      <c r="A1948" s="1115" t="n">
        <v>51900</v>
      </c>
      <c r="B1948" s="1115" t="s">
        <v>163</v>
      </c>
      <c r="C1948" s="1115" t="n">
        <v>51900</v>
      </c>
      <c r="D1948" s="1115" t="s">
        <v>927</v>
      </c>
      <c r="E1948" s="1115" t="s">
        <v>2012</v>
      </c>
      <c r="F1948" s="1115" t="n">
        <v>22120</v>
      </c>
      <c r="G1948" s="1115" t="n">
        <v>52740</v>
      </c>
      <c r="H1948" s="1115" t="s">
        <v>3136</v>
      </c>
      <c r="I1948" s="1115" t="n">
        <v>51920</v>
      </c>
      <c r="J1948" s="1115" t="s">
        <v>927</v>
      </c>
    </row>
    <row r="1949" customFormat="false" ht="14.1" hidden="false" customHeight="true" outlineLevel="0" collapsed="false">
      <c r="A1949" s="1115" t="n">
        <v>51910</v>
      </c>
      <c r="B1949" s="1115" t="s">
        <v>163</v>
      </c>
      <c r="C1949" s="1115" t="n">
        <v>51910</v>
      </c>
      <c r="D1949" s="1115" t="s">
        <v>3104</v>
      </c>
      <c r="E1949" s="1115" t="s">
        <v>2012</v>
      </c>
      <c r="F1949" s="1115" t="n">
        <v>22140</v>
      </c>
      <c r="G1949" s="1115" t="n">
        <v>52750</v>
      </c>
      <c r="H1949" s="1115" t="s">
        <v>3137</v>
      </c>
      <c r="I1949" s="1115" t="n">
        <v>51930</v>
      </c>
      <c r="J1949" s="1115" t="s">
        <v>927</v>
      </c>
    </row>
    <row r="1950" customFormat="false" ht="14.1" hidden="false" customHeight="true" outlineLevel="0" collapsed="false">
      <c r="A1950" s="1115" t="n">
        <v>51920</v>
      </c>
      <c r="B1950" s="1115" t="s">
        <v>163</v>
      </c>
      <c r="C1950" s="1115" t="n">
        <v>51920</v>
      </c>
      <c r="D1950" s="1115" t="s">
        <v>3105</v>
      </c>
      <c r="E1950" s="1115" t="s">
        <v>2012</v>
      </c>
      <c r="F1950" s="1115" t="n">
        <v>22140</v>
      </c>
      <c r="G1950" s="1115" t="n">
        <v>52760</v>
      </c>
      <c r="H1950" s="1115" t="s">
        <v>3138</v>
      </c>
      <c r="I1950" s="1115" t="n">
        <v>51940</v>
      </c>
      <c r="J1950" s="1115" t="s">
        <v>927</v>
      </c>
    </row>
    <row r="1951" customFormat="false" ht="14.1" hidden="false" customHeight="true" outlineLevel="0" collapsed="false">
      <c r="A1951" s="1115" t="n">
        <v>51930</v>
      </c>
      <c r="B1951" s="1115" t="s">
        <v>163</v>
      </c>
      <c r="C1951" s="1115" t="n">
        <v>51930</v>
      </c>
      <c r="D1951" s="1115" t="s">
        <v>3107</v>
      </c>
      <c r="E1951" s="1115" t="s">
        <v>2012</v>
      </c>
      <c r="F1951" s="1115" t="n">
        <v>22160</v>
      </c>
      <c r="G1951" s="1115" t="n">
        <v>52770</v>
      </c>
      <c r="H1951" s="1115" t="s">
        <v>3139</v>
      </c>
      <c r="I1951" s="1115" t="n">
        <v>51960</v>
      </c>
      <c r="J1951" s="1115" t="s">
        <v>927</v>
      </c>
    </row>
    <row r="1952" customFormat="false" ht="14.1" hidden="false" customHeight="true" outlineLevel="0" collapsed="false">
      <c r="A1952" s="1115" t="n">
        <v>51940</v>
      </c>
      <c r="B1952" s="1115" t="s">
        <v>163</v>
      </c>
      <c r="C1952" s="1115" t="n">
        <v>51940</v>
      </c>
      <c r="D1952" s="1115" t="s">
        <v>1896</v>
      </c>
      <c r="E1952" s="1115" t="s">
        <v>2012</v>
      </c>
      <c r="F1952" s="1115" t="n">
        <v>22160</v>
      </c>
      <c r="G1952" s="1115" t="n">
        <v>52780</v>
      </c>
      <c r="H1952" s="1115" t="s">
        <v>2708</v>
      </c>
      <c r="I1952" s="1115" t="n">
        <v>51980</v>
      </c>
      <c r="J1952" s="1115" t="s">
        <v>927</v>
      </c>
    </row>
    <row r="1953" customFormat="false" ht="14.1" hidden="false" customHeight="true" outlineLevel="0" collapsed="false">
      <c r="A1953" s="1115" t="n">
        <v>51960</v>
      </c>
      <c r="B1953" s="1115" t="s">
        <v>163</v>
      </c>
      <c r="C1953" s="1115" t="n">
        <v>51960</v>
      </c>
      <c r="D1953" s="1115" t="s">
        <v>3109</v>
      </c>
      <c r="E1953" s="1115" t="s">
        <v>2012</v>
      </c>
      <c r="F1953" s="1115" t="n">
        <v>22160</v>
      </c>
      <c r="G1953" s="1115" t="n">
        <v>52810</v>
      </c>
      <c r="H1953" s="1115" t="s">
        <v>3140</v>
      </c>
      <c r="I1953" s="1115" t="n">
        <v>51990</v>
      </c>
      <c r="J1953" s="1115" t="s">
        <v>927</v>
      </c>
    </row>
    <row r="1954" customFormat="false" ht="14.1" hidden="false" customHeight="true" outlineLevel="0" collapsed="false">
      <c r="A1954" s="1115" t="n">
        <v>51980</v>
      </c>
      <c r="B1954" s="1115" t="s">
        <v>163</v>
      </c>
      <c r="C1954" s="1115" t="n">
        <v>51980</v>
      </c>
      <c r="D1954" s="1115" t="s">
        <v>2930</v>
      </c>
      <c r="E1954" s="1115" t="s">
        <v>2012</v>
      </c>
      <c r="F1954" s="1115" t="n">
        <v>22160</v>
      </c>
      <c r="G1954" s="1115" t="n">
        <v>52830</v>
      </c>
      <c r="H1954" s="1115" t="s">
        <v>1525</v>
      </c>
      <c r="I1954" s="1115" t="n">
        <v>52100</v>
      </c>
      <c r="J1954" s="1115" t="s">
        <v>927</v>
      </c>
    </row>
    <row r="1955" customFormat="false" ht="14.1" hidden="false" customHeight="true" outlineLevel="0" collapsed="false">
      <c r="A1955" s="1115" t="n">
        <v>51990</v>
      </c>
      <c r="B1955" s="1115" t="s">
        <v>163</v>
      </c>
      <c r="C1955" s="1115" t="n">
        <v>51990</v>
      </c>
      <c r="D1955" s="1115" t="s">
        <v>2296</v>
      </c>
      <c r="E1955" s="1115" t="s">
        <v>3141</v>
      </c>
      <c r="F1955" s="1115" t="n">
        <v>68210</v>
      </c>
      <c r="G1955" s="1115" t="n">
        <v>52840</v>
      </c>
      <c r="H1955" s="1115" t="s">
        <v>3069</v>
      </c>
      <c r="I1955" s="1115" t="n">
        <v>52110</v>
      </c>
      <c r="J1955" s="1115" t="s">
        <v>927</v>
      </c>
    </row>
    <row r="1956" customFormat="false" ht="14.1" hidden="false" customHeight="true" outlineLevel="0" collapsed="false">
      <c r="A1956" s="1115" t="n">
        <v>52100</v>
      </c>
      <c r="B1956" s="1115" t="s">
        <v>163</v>
      </c>
      <c r="C1956" s="1115" t="n">
        <v>52100</v>
      </c>
      <c r="D1956" s="1115" t="s">
        <v>905</v>
      </c>
      <c r="E1956" s="1115" t="s">
        <v>3135</v>
      </c>
      <c r="F1956" s="1115" t="n">
        <v>52660</v>
      </c>
      <c r="G1956" s="1115" t="n">
        <v>52850</v>
      </c>
      <c r="H1956" s="1115" t="s">
        <v>1341</v>
      </c>
      <c r="I1956" s="1115" t="n">
        <v>52140</v>
      </c>
      <c r="J1956" s="1115" t="s">
        <v>927</v>
      </c>
    </row>
    <row r="1957" customFormat="false" ht="14.1" hidden="false" customHeight="true" outlineLevel="0" collapsed="false">
      <c r="A1957" s="1115" t="n">
        <v>52110</v>
      </c>
      <c r="B1957" s="1115" t="s">
        <v>163</v>
      </c>
      <c r="C1957" s="1115" t="n">
        <v>52110</v>
      </c>
      <c r="D1957" s="1115" t="s">
        <v>3111</v>
      </c>
      <c r="E1957" s="1115" t="s">
        <v>3142</v>
      </c>
      <c r="F1957" s="1115" t="n">
        <v>82815</v>
      </c>
      <c r="G1957" s="1115" t="n">
        <v>52870</v>
      </c>
      <c r="H1957" s="1115" t="s">
        <v>2434</v>
      </c>
      <c r="I1957" s="1115" t="n">
        <v>52150</v>
      </c>
      <c r="J1957" s="1115" t="s">
        <v>927</v>
      </c>
    </row>
    <row r="1958" customFormat="false" ht="14.1" hidden="false" customHeight="true" outlineLevel="0" collapsed="false">
      <c r="A1958" s="1115" t="n">
        <v>52140</v>
      </c>
      <c r="B1958" s="1115" t="s">
        <v>163</v>
      </c>
      <c r="C1958" s="1115" t="n">
        <v>52140</v>
      </c>
      <c r="D1958" s="1115" t="s">
        <v>3112</v>
      </c>
      <c r="E1958" s="1115" t="s">
        <v>2135</v>
      </c>
      <c r="F1958" s="1115" t="n">
        <v>25810</v>
      </c>
      <c r="G1958" s="1115" t="n">
        <v>52890</v>
      </c>
      <c r="H1958" s="1115" t="s">
        <v>2828</v>
      </c>
      <c r="I1958" s="1115" t="n">
        <v>52200</v>
      </c>
      <c r="J1958" s="1115" t="s">
        <v>1384</v>
      </c>
    </row>
    <row r="1959" customFormat="false" ht="14.1" hidden="false" customHeight="true" outlineLevel="0" collapsed="false">
      <c r="A1959" s="1115" t="n">
        <v>52150</v>
      </c>
      <c r="B1959" s="1115" t="s">
        <v>163</v>
      </c>
      <c r="C1959" s="1115" t="n">
        <v>52150</v>
      </c>
      <c r="D1959" s="1115" t="s">
        <v>1461</v>
      </c>
      <c r="E1959" s="1115" t="s">
        <v>3143</v>
      </c>
      <c r="F1959" s="1115" t="n">
        <v>85320</v>
      </c>
      <c r="G1959" s="1115" t="n">
        <v>52920</v>
      </c>
      <c r="H1959" s="1115" t="s">
        <v>3144</v>
      </c>
      <c r="I1959" s="1115" t="n">
        <v>52230</v>
      </c>
      <c r="J1959" s="1115" t="s">
        <v>1384</v>
      </c>
    </row>
    <row r="1960" customFormat="false" ht="14.1" hidden="false" customHeight="true" outlineLevel="0" collapsed="false">
      <c r="A1960" s="1115" t="n">
        <v>52200</v>
      </c>
      <c r="B1960" s="1115" t="s">
        <v>163</v>
      </c>
      <c r="C1960" s="1115" t="n">
        <v>52200</v>
      </c>
      <c r="D1960" s="1115" t="s">
        <v>1384</v>
      </c>
      <c r="E1960" s="1115" t="s">
        <v>3145</v>
      </c>
      <c r="F1960" s="1115" t="n">
        <v>97320</v>
      </c>
      <c r="G1960" s="1115" t="n">
        <v>52930</v>
      </c>
      <c r="H1960" s="1115" t="s">
        <v>3146</v>
      </c>
      <c r="I1960" s="1115" t="n">
        <v>52240</v>
      </c>
      <c r="J1960" s="1115" t="s">
        <v>1384</v>
      </c>
    </row>
    <row r="1961" customFormat="false" ht="14.1" hidden="false" customHeight="true" outlineLevel="0" collapsed="false">
      <c r="A1961" s="1115" t="n">
        <v>52230</v>
      </c>
      <c r="B1961" s="1115" t="s">
        <v>163</v>
      </c>
      <c r="C1961" s="1115" t="n">
        <v>52230</v>
      </c>
      <c r="D1961" s="1115" t="s">
        <v>1817</v>
      </c>
      <c r="E1961" s="1115" t="s">
        <v>3147</v>
      </c>
      <c r="F1961" s="1115" t="n">
        <v>97290</v>
      </c>
      <c r="G1961" s="1115" t="n">
        <v>52940</v>
      </c>
      <c r="H1961" s="1115" t="s">
        <v>1704</v>
      </c>
      <c r="I1961" s="1115" t="n">
        <v>52250</v>
      </c>
      <c r="J1961" s="1115" t="s">
        <v>1384</v>
      </c>
    </row>
    <row r="1962" customFormat="false" ht="14.1" hidden="false" customHeight="true" outlineLevel="0" collapsed="false">
      <c r="A1962" s="1115" t="n">
        <v>52240</v>
      </c>
      <c r="B1962" s="1115" t="s">
        <v>163</v>
      </c>
      <c r="C1962" s="1115" t="n">
        <v>52240</v>
      </c>
      <c r="D1962" s="1115" t="s">
        <v>3115</v>
      </c>
      <c r="E1962" s="1115" t="s">
        <v>1220</v>
      </c>
      <c r="F1962" s="1115" t="n">
        <v>4150</v>
      </c>
      <c r="G1962" s="1115" t="n">
        <v>52950</v>
      </c>
      <c r="H1962" s="1115" t="s">
        <v>3148</v>
      </c>
      <c r="I1962" s="1115" t="n">
        <v>52270</v>
      </c>
      <c r="J1962" s="1115" t="s">
        <v>1384</v>
      </c>
    </row>
    <row r="1963" customFormat="false" ht="14.1" hidden="false" customHeight="true" outlineLevel="0" collapsed="false">
      <c r="A1963" s="1115" t="n">
        <v>52250</v>
      </c>
      <c r="B1963" s="1115" t="s">
        <v>163</v>
      </c>
      <c r="C1963" s="1115" t="n">
        <v>52250</v>
      </c>
      <c r="D1963" s="1115" t="s">
        <v>3117</v>
      </c>
      <c r="E1963" s="1115" t="s">
        <v>3149</v>
      </c>
      <c r="F1963" s="1115" t="n">
        <v>90850</v>
      </c>
      <c r="G1963" s="1115" t="n">
        <v>52960</v>
      </c>
      <c r="H1963" s="1115" t="s">
        <v>3150</v>
      </c>
      <c r="I1963" s="1115" t="n">
        <v>52300</v>
      </c>
      <c r="J1963" s="1115" t="s">
        <v>1439</v>
      </c>
    </row>
    <row r="1964" customFormat="false" ht="14.1" hidden="false" customHeight="true" outlineLevel="0" collapsed="false">
      <c r="A1964" s="1115" t="n">
        <v>52270</v>
      </c>
      <c r="B1964" s="1115" t="s">
        <v>163</v>
      </c>
      <c r="C1964" s="1115" t="n">
        <v>52270</v>
      </c>
      <c r="D1964" s="1115" t="s">
        <v>3119</v>
      </c>
      <c r="E1964" s="1115" t="s">
        <v>3151</v>
      </c>
      <c r="F1964" s="1115" t="n">
        <v>83855</v>
      </c>
      <c r="G1964" s="1115" t="n">
        <v>52970</v>
      </c>
      <c r="H1964" s="1115" t="s">
        <v>3152</v>
      </c>
      <c r="I1964" s="1115" t="n">
        <v>52310</v>
      </c>
      <c r="J1964" s="1115" t="s">
        <v>1439</v>
      </c>
    </row>
    <row r="1965" customFormat="false" ht="14.1" hidden="false" customHeight="true" outlineLevel="0" collapsed="false">
      <c r="A1965" s="1115" t="n">
        <v>52300</v>
      </c>
      <c r="B1965" s="1115" t="s">
        <v>163</v>
      </c>
      <c r="C1965" s="1115" t="n">
        <v>52300</v>
      </c>
      <c r="D1965" s="1115" t="s">
        <v>1439</v>
      </c>
      <c r="E1965" s="1115" t="s">
        <v>3153</v>
      </c>
      <c r="F1965" s="1115" t="n">
        <v>98830</v>
      </c>
      <c r="G1965" s="1115" t="n">
        <v>52980</v>
      </c>
      <c r="H1965" s="1115" t="s">
        <v>763</v>
      </c>
      <c r="I1965" s="1115" t="n">
        <v>52320</v>
      </c>
      <c r="J1965" s="1115" t="s">
        <v>1439</v>
      </c>
    </row>
    <row r="1966" customFormat="false" ht="14.1" hidden="false" customHeight="true" outlineLevel="0" collapsed="false">
      <c r="A1966" s="1115" t="n">
        <v>52310</v>
      </c>
      <c r="B1966" s="1115" t="s">
        <v>163</v>
      </c>
      <c r="C1966" s="1115" t="n">
        <v>52310</v>
      </c>
      <c r="D1966" s="1115" t="s">
        <v>3095</v>
      </c>
      <c r="E1966" s="1115" t="s">
        <v>1219</v>
      </c>
      <c r="F1966" s="1115" t="n">
        <v>21490</v>
      </c>
      <c r="G1966" s="1115" t="n">
        <v>53007</v>
      </c>
      <c r="H1966" s="1115" t="s">
        <v>163</v>
      </c>
      <c r="I1966" s="1115" t="n">
        <v>52330</v>
      </c>
      <c r="J1966" s="1115" t="s">
        <v>1439</v>
      </c>
    </row>
    <row r="1967" customFormat="false" ht="14.1" hidden="false" customHeight="true" outlineLevel="0" collapsed="false">
      <c r="A1967" s="1115" t="n">
        <v>52320</v>
      </c>
      <c r="B1967" s="1115" t="s">
        <v>163</v>
      </c>
      <c r="C1967" s="1115" t="n">
        <v>52320</v>
      </c>
      <c r="D1967" s="1115" t="s">
        <v>3121</v>
      </c>
      <c r="E1967" s="1115" t="s">
        <v>3154</v>
      </c>
      <c r="F1967" s="1115" t="n">
        <v>74240</v>
      </c>
      <c r="G1967" s="1115" t="n">
        <v>53100</v>
      </c>
      <c r="H1967" s="1115" t="s">
        <v>163</v>
      </c>
      <c r="I1967" s="1115" t="n">
        <v>52340</v>
      </c>
      <c r="J1967" s="1115" t="s">
        <v>1439</v>
      </c>
    </row>
    <row r="1968" customFormat="false" ht="14.1" hidden="false" customHeight="true" outlineLevel="0" collapsed="false">
      <c r="A1968" s="1115" t="n">
        <v>52330</v>
      </c>
      <c r="B1968" s="1115" t="s">
        <v>163</v>
      </c>
      <c r="C1968" s="1115" t="n">
        <v>52330</v>
      </c>
      <c r="D1968" s="1115" t="s">
        <v>1506</v>
      </c>
      <c r="E1968" s="1115" t="s">
        <v>1123</v>
      </c>
      <c r="F1968" s="1115" t="n">
        <v>2430</v>
      </c>
      <c r="G1968" s="1115" t="n">
        <v>53130</v>
      </c>
      <c r="H1968" s="1115" t="s">
        <v>163</v>
      </c>
      <c r="I1968" s="1115" t="n">
        <v>52350</v>
      </c>
      <c r="J1968" s="1115" t="s">
        <v>1439</v>
      </c>
    </row>
    <row r="1969" customFormat="false" ht="14.1" hidden="false" customHeight="true" outlineLevel="0" collapsed="false">
      <c r="A1969" s="1115" t="n">
        <v>52340</v>
      </c>
      <c r="B1969" s="1115" t="s">
        <v>163</v>
      </c>
      <c r="C1969" s="1115" t="n">
        <v>52340</v>
      </c>
      <c r="D1969" s="1115" t="s">
        <v>1367</v>
      </c>
      <c r="E1969" s="1115" t="s">
        <v>1221</v>
      </c>
      <c r="F1969" s="1115" t="n">
        <v>21250</v>
      </c>
      <c r="G1969" s="1115" t="n">
        <v>53200</v>
      </c>
      <c r="H1969" s="1115" t="s">
        <v>163</v>
      </c>
      <c r="I1969" s="1115" t="n">
        <v>52360</v>
      </c>
      <c r="J1969" s="1115" t="s">
        <v>1439</v>
      </c>
    </row>
    <row r="1970" customFormat="false" ht="14.1" hidden="false" customHeight="true" outlineLevel="0" collapsed="false">
      <c r="A1970" s="1115" t="n">
        <v>52350</v>
      </c>
      <c r="B1970" s="1115" t="s">
        <v>163</v>
      </c>
      <c r="C1970" s="1115" t="n">
        <v>52350</v>
      </c>
      <c r="D1970" s="1115" t="s">
        <v>2202</v>
      </c>
      <c r="E1970" s="1115" t="s">
        <v>3155</v>
      </c>
      <c r="F1970" s="1115" t="n">
        <v>83990</v>
      </c>
      <c r="G1970" s="1115" t="n">
        <v>53300</v>
      </c>
      <c r="H1970" s="1115" t="s">
        <v>163</v>
      </c>
      <c r="I1970" s="1115" t="n">
        <v>52370</v>
      </c>
      <c r="J1970" s="1115" t="s">
        <v>1439</v>
      </c>
    </row>
    <row r="1971" customFormat="false" ht="14.1" hidden="false" customHeight="true" outlineLevel="0" collapsed="false">
      <c r="A1971" s="1115" t="n">
        <v>52360</v>
      </c>
      <c r="B1971" s="1115" t="s">
        <v>163</v>
      </c>
      <c r="C1971" s="1115" t="n">
        <v>52360</v>
      </c>
      <c r="D1971" s="1115" t="s">
        <v>3124</v>
      </c>
      <c r="E1971" s="1115" t="s">
        <v>2123</v>
      </c>
      <c r="F1971" s="1115" t="n">
        <v>25660</v>
      </c>
      <c r="G1971" s="1115" t="n">
        <v>53400</v>
      </c>
      <c r="H1971" s="1115" t="s">
        <v>163</v>
      </c>
      <c r="I1971" s="1115" t="n">
        <v>52410</v>
      </c>
      <c r="J1971" s="1115" t="s">
        <v>1439</v>
      </c>
    </row>
    <row r="1972" customFormat="false" ht="14.1" hidden="false" customHeight="true" outlineLevel="0" collapsed="false">
      <c r="A1972" s="1115" t="n">
        <v>52370</v>
      </c>
      <c r="B1972" s="1115" t="s">
        <v>163</v>
      </c>
      <c r="C1972" s="1115" t="n">
        <v>52370</v>
      </c>
      <c r="D1972" s="1115" t="s">
        <v>3125</v>
      </c>
      <c r="E1972" s="1115" t="s">
        <v>3156</v>
      </c>
      <c r="F1972" s="1115" t="n">
        <v>86510</v>
      </c>
      <c r="G1972" s="1115" t="n">
        <v>53420</v>
      </c>
      <c r="H1972" s="1115" t="s">
        <v>163</v>
      </c>
      <c r="I1972" s="1115" t="n">
        <v>52420</v>
      </c>
      <c r="J1972" s="1115" t="s">
        <v>1439</v>
      </c>
    </row>
    <row r="1973" customFormat="false" ht="14.1" hidden="false" customHeight="true" outlineLevel="0" collapsed="false">
      <c r="A1973" s="1115" t="n">
        <v>52410</v>
      </c>
      <c r="B1973" s="1115" t="s">
        <v>163</v>
      </c>
      <c r="C1973" s="1115" t="n">
        <v>52410</v>
      </c>
      <c r="D1973" s="1115" t="s">
        <v>2071</v>
      </c>
      <c r="E1973" s="1115" t="s">
        <v>2316</v>
      </c>
      <c r="F1973" s="1115" t="n">
        <v>31110</v>
      </c>
      <c r="G1973" s="1115" t="n">
        <v>53440</v>
      </c>
      <c r="H1973" s="1115" t="s">
        <v>163</v>
      </c>
      <c r="I1973" s="1115" t="n">
        <v>52430</v>
      </c>
      <c r="J1973" s="1115" t="s">
        <v>1439</v>
      </c>
    </row>
    <row r="1974" customFormat="false" ht="14.1" hidden="false" customHeight="true" outlineLevel="0" collapsed="false">
      <c r="A1974" s="1115" t="n">
        <v>52420</v>
      </c>
      <c r="B1974" s="1115" t="s">
        <v>163</v>
      </c>
      <c r="C1974" s="1115" t="n">
        <v>52420</v>
      </c>
      <c r="D1974" s="1115" t="s">
        <v>3127</v>
      </c>
      <c r="E1974" s="1115" t="s">
        <v>1984</v>
      </c>
      <c r="F1974" s="1115" t="n">
        <v>21670</v>
      </c>
      <c r="G1974" s="1115" t="n">
        <v>53500</v>
      </c>
      <c r="H1974" s="1115" t="s">
        <v>163</v>
      </c>
      <c r="I1974" s="1115" t="n">
        <v>52450</v>
      </c>
      <c r="J1974" s="1115" t="s">
        <v>1439</v>
      </c>
    </row>
    <row r="1975" customFormat="false" ht="14.1" hidden="false" customHeight="true" outlineLevel="0" collapsed="false">
      <c r="A1975" s="1115" t="n">
        <v>52430</v>
      </c>
      <c r="B1975" s="1115" t="s">
        <v>163</v>
      </c>
      <c r="C1975" s="1115" t="n">
        <v>52430</v>
      </c>
      <c r="D1975" s="1115" t="s">
        <v>3128</v>
      </c>
      <c r="E1975" s="1115" t="s">
        <v>3157</v>
      </c>
      <c r="F1975" s="1115" t="n">
        <v>82820</v>
      </c>
      <c r="G1975" s="1115" t="n">
        <v>53600</v>
      </c>
      <c r="H1975" s="1115" t="s">
        <v>163</v>
      </c>
      <c r="I1975" s="1115" t="n">
        <v>52460</v>
      </c>
      <c r="J1975" s="1115" t="s">
        <v>1439</v>
      </c>
    </row>
    <row r="1976" customFormat="false" ht="14.1" hidden="false" customHeight="true" outlineLevel="0" collapsed="false">
      <c r="A1976" s="1115" t="n">
        <v>52450</v>
      </c>
      <c r="B1976" s="1115" t="s">
        <v>163</v>
      </c>
      <c r="C1976" s="1115" t="n">
        <v>52450</v>
      </c>
      <c r="D1976" s="1115" t="s">
        <v>3129</v>
      </c>
      <c r="E1976" s="1115" t="s">
        <v>3158</v>
      </c>
      <c r="F1976" s="1115" t="n">
        <v>95365</v>
      </c>
      <c r="G1976" s="1115" t="n">
        <v>53650</v>
      </c>
      <c r="H1976" s="1115" t="s">
        <v>163</v>
      </c>
      <c r="I1976" s="1115" t="n">
        <v>52480</v>
      </c>
      <c r="J1976" s="1115" t="s">
        <v>1439</v>
      </c>
    </row>
    <row r="1977" customFormat="false" ht="14.1" hidden="false" customHeight="true" outlineLevel="0" collapsed="false">
      <c r="A1977" s="1115" t="n">
        <v>52460</v>
      </c>
      <c r="B1977" s="1115" t="s">
        <v>163</v>
      </c>
      <c r="C1977" s="1115" t="n">
        <v>52460</v>
      </c>
      <c r="D1977" s="1115" t="s">
        <v>1708</v>
      </c>
      <c r="E1977" s="1115" t="s">
        <v>3159</v>
      </c>
      <c r="F1977" s="1115" t="n">
        <v>76720</v>
      </c>
      <c r="G1977" s="1115" t="n">
        <v>53800</v>
      </c>
      <c r="H1977" s="1115" t="s">
        <v>163</v>
      </c>
      <c r="I1977" s="1115" t="n">
        <v>52510</v>
      </c>
      <c r="J1977" s="1115" t="s">
        <v>1439</v>
      </c>
    </row>
    <row r="1978" customFormat="false" ht="14.1" hidden="false" customHeight="true" outlineLevel="0" collapsed="false">
      <c r="A1978" s="1115" t="n">
        <v>52480</v>
      </c>
      <c r="B1978" s="1115" t="s">
        <v>163</v>
      </c>
      <c r="C1978" s="1115" t="n">
        <v>52480</v>
      </c>
      <c r="D1978" s="1115" t="s">
        <v>2996</v>
      </c>
      <c r="E1978" s="1115" t="s">
        <v>3160</v>
      </c>
      <c r="F1978" s="1115" t="n">
        <v>88310</v>
      </c>
      <c r="G1978" s="1115" t="n">
        <v>53810</v>
      </c>
      <c r="H1978" s="1115" t="s">
        <v>163</v>
      </c>
      <c r="I1978" s="1115" t="n">
        <v>52520</v>
      </c>
      <c r="J1978" s="1115" t="s">
        <v>850</v>
      </c>
    </row>
    <row r="1979" customFormat="false" ht="14.1" hidden="false" customHeight="true" outlineLevel="0" collapsed="false">
      <c r="A1979" s="1115" t="n">
        <v>52510</v>
      </c>
      <c r="B1979" s="1115" t="s">
        <v>163</v>
      </c>
      <c r="C1979" s="1115" t="n">
        <v>52510</v>
      </c>
      <c r="D1979" s="1115" t="s">
        <v>1687</v>
      </c>
      <c r="E1979" s="1115" t="s">
        <v>3161</v>
      </c>
      <c r="F1979" s="1115" t="n">
        <v>59210</v>
      </c>
      <c r="G1979" s="1115" t="n">
        <v>53820</v>
      </c>
      <c r="H1979" s="1115" t="s">
        <v>163</v>
      </c>
      <c r="I1979" s="1115" t="n">
        <v>52550</v>
      </c>
      <c r="J1979" s="1115" t="s">
        <v>850</v>
      </c>
    </row>
    <row r="1980" customFormat="false" ht="14.1" hidden="false" customHeight="true" outlineLevel="0" collapsed="false">
      <c r="A1980" s="1115" t="n">
        <v>52520</v>
      </c>
      <c r="B1980" s="1115" t="s">
        <v>163</v>
      </c>
      <c r="C1980" s="1115" t="n">
        <v>52520</v>
      </c>
      <c r="D1980" s="1115" t="s">
        <v>3130</v>
      </c>
      <c r="E1980" s="1115" t="s">
        <v>3162</v>
      </c>
      <c r="F1980" s="1115" t="n">
        <v>95690</v>
      </c>
      <c r="G1980" s="1115" t="n">
        <v>53830</v>
      </c>
      <c r="H1980" s="1115" t="s">
        <v>163</v>
      </c>
      <c r="I1980" s="1115" t="n">
        <v>52560</v>
      </c>
      <c r="J1980" s="1115" t="s">
        <v>850</v>
      </c>
    </row>
    <row r="1981" customFormat="false" ht="14.1" hidden="false" customHeight="true" outlineLevel="0" collapsed="false">
      <c r="A1981" s="1115" t="n">
        <v>52550</v>
      </c>
      <c r="B1981" s="1115" t="s">
        <v>163</v>
      </c>
      <c r="C1981" s="1115" t="n">
        <v>52550</v>
      </c>
      <c r="D1981" s="1115" t="s">
        <v>850</v>
      </c>
      <c r="E1981" s="1115" t="s">
        <v>1224</v>
      </c>
      <c r="F1981" s="1115" t="n">
        <v>32300</v>
      </c>
      <c r="G1981" s="1115" t="n">
        <v>53900</v>
      </c>
      <c r="H1981" s="1115" t="s">
        <v>163</v>
      </c>
      <c r="I1981" s="1115" t="n">
        <v>52570</v>
      </c>
      <c r="J1981" s="1115" t="s">
        <v>850</v>
      </c>
    </row>
    <row r="1982" customFormat="false" ht="14.1" hidden="false" customHeight="true" outlineLevel="0" collapsed="false">
      <c r="A1982" s="1115" t="n">
        <v>52560</v>
      </c>
      <c r="B1982" s="1115" t="s">
        <v>163</v>
      </c>
      <c r="C1982" s="1115" t="n">
        <v>52560</v>
      </c>
      <c r="D1982" s="1115" t="s">
        <v>3131</v>
      </c>
      <c r="E1982" s="1115" t="s">
        <v>3163</v>
      </c>
      <c r="F1982" s="1115" t="n">
        <v>97340</v>
      </c>
      <c r="G1982" s="1115" t="n">
        <v>53920</v>
      </c>
      <c r="H1982" s="1115" t="s">
        <v>163</v>
      </c>
      <c r="I1982" s="1115" t="n">
        <v>52580</v>
      </c>
      <c r="J1982" s="1115" t="s">
        <v>850</v>
      </c>
    </row>
    <row r="1983" customFormat="false" ht="14.1" hidden="false" customHeight="true" outlineLevel="0" collapsed="false">
      <c r="A1983" s="1115" t="n">
        <v>52570</v>
      </c>
      <c r="B1983" s="1115" t="s">
        <v>163</v>
      </c>
      <c r="C1983" s="1115" t="n">
        <v>52570</v>
      </c>
      <c r="D1983" s="1115" t="s">
        <v>1508</v>
      </c>
      <c r="E1983" s="1115" t="s">
        <v>1551</v>
      </c>
      <c r="F1983" s="1115" t="n">
        <v>10350</v>
      </c>
      <c r="G1983" s="1115" t="n">
        <v>54100</v>
      </c>
      <c r="H1983" s="1115" t="s">
        <v>916</v>
      </c>
      <c r="I1983" s="1115" t="n">
        <v>52590</v>
      </c>
      <c r="J1983" s="1115" t="s">
        <v>850</v>
      </c>
    </row>
    <row r="1984" customFormat="false" ht="14.1" hidden="false" customHeight="true" outlineLevel="0" collapsed="false">
      <c r="A1984" s="1115" t="n">
        <v>52580</v>
      </c>
      <c r="B1984" s="1115" t="s">
        <v>163</v>
      </c>
      <c r="C1984" s="1115" t="n">
        <v>52580</v>
      </c>
      <c r="D1984" s="1115" t="s">
        <v>1887</v>
      </c>
      <c r="E1984" s="1115" t="s">
        <v>3164</v>
      </c>
      <c r="F1984" s="1115" t="n">
        <v>95675</v>
      </c>
      <c r="G1984" s="1115" t="n">
        <v>54110</v>
      </c>
      <c r="H1984" s="1115" t="s">
        <v>2891</v>
      </c>
      <c r="I1984" s="1115" t="n">
        <v>52610</v>
      </c>
      <c r="J1984" s="1115" t="s">
        <v>850</v>
      </c>
    </row>
    <row r="1985" customFormat="false" ht="14.1" hidden="false" customHeight="true" outlineLevel="0" collapsed="false">
      <c r="A1985" s="1115" t="n">
        <v>52590</v>
      </c>
      <c r="B1985" s="1115" t="s">
        <v>163</v>
      </c>
      <c r="C1985" s="1115" t="n">
        <v>52590</v>
      </c>
      <c r="D1985" s="1115" t="s">
        <v>3132</v>
      </c>
      <c r="E1985" s="1115" t="s">
        <v>3165</v>
      </c>
      <c r="F1985" s="1115" t="n">
        <v>99880</v>
      </c>
      <c r="G1985" s="1115" t="n">
        <v>54120</v>
      </c>
      <c r="H1985" s="1115" t="s">
        <v>3166</v>
      </c>
      <c r="I1985" s="1115" t="n">
        <v>52620</v>
      </c>
      <c r="J1985" s="1115" t="s">
        <v>850</v>
      </c>
    </row>
    <row r="1986" customFormat="false" ht="14.1" hidden="false" customHeight="true" outlineLevel="0" collapsed="false">
      <c r="A1986" s="1115" t="n">
        <v>52610</v>
      </c>
      <c r="B1986" s="1115" t="s">
        <v>163</v>
      </c>
      <c r="C1986" s="1115" t="n">
        <v>52610</v>
      </c>
      <c r="D1986" s="1115" t="s">
        <v>3133</v>
      </c>
      <c r="E1986" s="1115" t="s">
        <v>3167</v>
      </c>
      <c r="F1986" s="1115" t="n">
        <v>62760</v>
      </c>
      <c r="G1986" s="1115" t="n">
        <v>54160</v>
      </c>
      <c r="H1986" s="1115" t="s">
        <v>835</v>
      </c>
      <c r="I1986" s="1115" t="n">
        <v>52630</v>
      </c>
      <c r="J1986" s="1115" t="s">
        <v>850</v>
      </c>
    </row>
    <row r="1987" customFormat="false" ht="14.1" hidden="false" customHeight="true" outlineLevel="0" collapsed="false">
      <c r="A1987" s="1115" t="n">
        <v>52620</v>
      </c>
      <c r="B1987" s="1115" t="s">
        <v>163</v>
      </c>
      <c r="C1987" s="1115" t="n">
        <v>52620</v>
      </c>
      <c r="D1987" s="1115" t="s">
        <v>2660</v>
      </c>
      <c r="E1987" s="1115" t="s">
        <v>2320</v>
      </c>
      <c r="F1987" s="1115" t="n">
        <v>31140</v>
      </c>
      <c r="G1987" s="1115" t="n">
        <v>54180</v>
      </c>
      <c r="H1987" s="1115" t="s">
        <v>2801</v>
      </c>
      <c r="I1987" s="1115" t="n">
        <v>52650</v>
      </c>
      <c r="J1987" s="1115" t="s">
        <v>850</v>
      </c>
    </row>
    <row r="1988" customFormat="false" ht="14.1" hidden="false" customHeight="true" outlineLevel="0" collapsed="false">
      <c r="A1988" s="1115" t="n">
        <v>52630</v>
      </c>
      <c r="B1988" s="1115" t="s">
        <v>163</v>
      </c>
      <c r="C1988" s="1115" t="n">
        <v>52630</v>
      </c>
      <c r="D1988" s="1115" t="s">
        <v>1722</v>
      </c>
      <c r="E1988" s="1115" t="s">
        <v>1225</v>
      </c>
      <c r="F1988" s="1115" t="n">
        <v>86220</v>
      </c>
      <c r="G1988" s="1115" t="n">
        <v>54190</v>
      </c>
      <c r="H1988" s="1115" t="s">
        <v>2538</v>
      </c>
      <c r="I1988" s="1115" t="n">
        <v>52660</v>
      </c>
      <c r="J1988" s="1115" t="s">
        <v>850</v>
      </c>
    </row>
    <row r="1989" customFormat="false" ht="14.1" hidden="false" customHeight="true" outlineLevel="0" collapsed="false">
      <c r="A1989" s="1115" t="n">
        <v>52650</v>
      </c>
      <c r="B1989" s="1115" t="s">
        <v>163</v>
      </c>
      <c r="C1989" s="1115" t="n">
        <v>52650</v>
      </c>
      <c r="D1989" s="1115" t="s">
        <v>3134</v>
      </c>
      <c r="E1989" s="1115" t="s">
        <v>3168</v>
      </c>
      <c r="F1989" s="1115" t="n">
        <v>66510</v>
      </c>
      <c r="G1989" s="1115" t="n">
        <v>54230</v>
      </c>
      <c r="H1989" s="1115" t="s">
        <v>3169</v>
      </c>
      <c r="I1989" s="1115" t="n">
        <v>52700</v>
      </c>
      <c r="J1989" s="1115" t="s">
        <v>1253</v>
      </c>
    </row>
    <row r="1990" customFormat="false" ht="14.1" hidden="false" customHeight="true" outlineLevel="0" collapsed="false">
      <c r="A1990" s="1115" t="n">
        <v>52660</v>
      </c>
      <c r="B1990" s="1115" t="s">
        <v>163</v>
      </c>
      <c r="C1990" s="1115" t="n">
        <v>52660</v>
      </c>
      <c r="D1990" s="1115" t="s">
        <v>3135</v>
      </c>
      <c r="E1990" s="1115" t="s">
        <v>1226</v>
      </c>
      <c r="F1990" s="1115" t="n">
        <v>29900</v>
      </c>
      <c r="G1990" s="1115" t="n">
        <v>54250</v>
      </c>
      <c r="H1990" s="1115" t="s">
        <v>3170</v>
      </c>
      <c r="I1990" s="1115" t="n">
        <v>52710</v>
      </c>
      <c r="J1990" s="1115" t="s">
        <v>1253</v>
      </c>
    </row>
    <row r="1991" customFormat="false" ht="14.1" hidden="false" customHeight="true" outlineLevel="0" collapsed="false">
      <c r="A1991" s="1115" t="n">
        <v>52700</v>
      </c>
      <c r="B1991" s="1115" t="s">
        <v>163</v>
      </c>
      <c r="C1991" s="1115" t="n">
        <v>52700</v>
      </c>
      <c r="D1991" s="1115" t="s">
        <v>1253</v>
      </c>
      <c r="E1991" s="1115" t="s">
        <v>3171</v>
      </c>
      <c r="F1991" s="1115" t="n">
        <v>75850</v>
      </c>
      <c r="G1991" s="1115" t="n">
        <v>54270</v>
      </c>
      <c r="H1991" s="1115" t="s">
        <v>3172</v>
      </c>
      <c r="I1991" s="1115" t="n">
        <v>52720</v>
      </c>
      <c r="J1991" s="1115" t="s">
        <v>1253</v>
      </c>
    </row>
    <row r="1992" customFormat="false" ht="14.1" hidden="false" customHeight="true" outlineLevel="0" collapsed="false">
      <c r="A1992" s="1115" t="n">
        <v>52710</v>
      </c>
      <c r="B1992" s="1115" t="s">
        <v>163</v>
      </c>
      <c r="C1992" s="1115" t="n">
        <v>52710</v>
      </c>
      <c r="D1992" s="1115" t="s">
        <v>1253</v>
      </c>
      <c r="E1992" s="1115" t="s">
        <v>1228</v>
      </c>
      <c r="F1992" s="1115" t="n">
        <v>21160</v>
      </c>
      <c r="G1992" s="1115" t="n">
        <v>54290</v>
      </c>
      <c r="H1992" s="1115" t="s">
        <v>3173</v>
      </c>
      <c r="I1992" s="1115" t="n">
        <v>52730</v>
      </c>
      <c r="J1992" s="1115" t="s">
        <v>1253</v>
      </c>
    </row>
    <row r="1993" customFormat="false" ht="14.1" hidden="false" customHeight="true" outlineLevel="0" collapsed="false">
      <c r="A1993" s="1115" t="n">
        <v>52720</v>
      </c>
      <c r="B1993" s="1115" t="s">
        <v>163</v>
      </c>
      <c r="C1993" s="1115" t="n">
        <v>52720</v>
      </c>
      <c r="D1993" s="1115" t="s">
        <v>2238</v>
      </c>
      <c r="E1993" s="1115" t="s">
        <v>2248</v>
      </c>
      <c r="F1993" s="1115" t="n">
        <v>29210</v>
      </c>
      <c r="G1993" s="1115" t="n">
        <v>54310</v>
      </c>
      <c r="H1993" s="1115" t="s">
        <v>1848</v>
      </c>
      <c r="I1993" s="1115" t="n">
        <v>52740</v>
      </c>
      <c r="J1993" s="1115" t="s">
        <v>1253</v>
      </c>
    </row>
    <row r="1994" customFormat="false" ht="14.1" hidden="false" customHeight="true" outlineLevel="0" collapsed="false">
      <c r="A1994" s="1115" t="n">
        <v>52730</v>
      </c>
      <c r="B1994" s="1115" t="s">
        <v>163</v>
      </c>
      <c r="C1994" s="1115" t="n">
        <v>52730</v>
      </c>
      <c r="D1994" s="1115" t="s">
        <v>2471</v>
      </c>
      <c r="E1994" s="1115" t="s">
        <v>1750</v>
      </c>
      <c r="F1994" s="1115" t="n">
        <v>16540</v>
      </c>
      <c r="G1994" s="1115" t="n">
        <v>54330</v>
      </c>
      <c r="H1994" s="1115" t="s">
        <v>3174</v>
      </c>
      <c r="I1994" s="1115" t="n">
        <v>52750</v>
      </c>
      <c r="J1994" s="1115" t="s">
        <v>1253</v>
      </c>
    </row>
    <row r="1995" customFormat="false" ht="14.1" hidden="false" customHeight="true" outlineLevel="0" collapsed="false">
      <c r="A1995" s="1115" t="n">
        <v>52740</v>
      </c>
      <c r="B1995" s="1115" t="s">
        <v>163</v>
      </c>
      <c r="C1995" s="1115" t="n">
        <v>52740</v>
      </c>
      <c r="D1995" s="1115" t="s">
        <v>3136</v>
      </c>
      <c r="E1995" s="1115" t="s">
        <v>1714</v>
      </c>
      <c r="F1995" s="1115" t="n">
        <v>15980</v>
      </c>
      <c r="G1995" s="1115" t="n">
        <v>54340</v>
      </c>
      <c r="H1995" s="1115" t="s">
        <v>3175</v>
      </c>
      <c r="I1995" s="1115" t="n">
        <v>52760</v>
      </c>
      <c r="J1995" s="1115" t="s">
        <v>1253</v>
      </c>
    </row>
    <row r="1996" customFormat="false" ht="14.1" hidden="false" customHeight="true" outlineLevel="0" collapsed="false">
      <c r="A1996" s="1115" t="n">
        <v>52750</v>
      </c>
      <c r="B1996" s="1115" t="s">
        <v>163</v>
      </c>
      <c r="C1996" s="1115" t="n">
        <v>52750</v>
      </c>
      <c r="D1996" s="1115" t="s">
        <v>3137</v>
      </c>
      <c r="E1996" s="1115" t="s">
        <v>2772</v>
      </c>
      <c r="F1996" s="1115" t="n">
        <v>41430</v>
      </c>
      <c r="G1996" s="1115" t="n">
        <v>54350</v>
      </c>
      <c r="H1996" s="1115" t="s">
        <v>3176</v>
      </c>
      <c r="I1996" s="1115" t="n">
        <v>52770</v>
      </c>
      <c r="J1996" s="1115" t="s">
        <v>1253</v>
      </c>
    </row>
    <row r="1997" customFormat="false" ht="14.1" hidden="false" customHeight="true" outlineLevel="0" collapsed="false">
      <c r="A1997" s="1115" t="n">
        <v>52760</v>
      </c>
      <c r="B1997" s="1115" t="s">
        <v>163</v>
      </c>
      <c r="C1997" s="1115" t="n">
        <v>52760</v>
      </c>
      <c r="D1997" s="1115" t="s">
        <v>3138</v>
      </c>
      <c r="E1997" s="1115" t="s">
        <v>3177</v>
      </c>
      <c r="F1997" s="1115" t="n">
        <v>85120</v>
      </c>
      <c r="G1997" s="1115" t="n">
        <v>54360</v>
      </c>
      <c r="H1997" s="1115" t="s">
        <v>3178</v>
      </c>
      <c r="I1997" s="1115" t="n">
        <v>52780</v>
      </c>
      <c r="J1997" s="1115" t="s">
        <v>1253</v>
      </c>
    </row>
    <row r="1998" customFormat="false" ht="14.1" hidden="false" customHeight="true" outlineLevel="0" collapsed="false">
      <c r="A1998" s="1115" t="n">
        <v>52770</v>
      </c>
      <c r="B1998" s="1115" t="s">
        <v>163</v>
      </c>
      <c r="C1998" s="1115" t="n">
        <v>52770</v>
      </c>
      <c r="D1998" s="1115" t="s">
        <v>3139</v>
      </c>
      <c r="E1998" s="1115" t="s">
        <v>2617</v>
      </c>
      <c r="F1998" s="1115" t="n">
        <v>37850</v>
      </c>
      <c r="G1998" s="1115" t="n">
        <v>54380</v>
      </c>
      <c r="H1998" s="1115" t="s">
        <v>3179</v>
      </c>
      <c r="I1998" s="1115" t="n">
        <v>52810</v>
      </c>
      <c r="J1998" s="1115" t="s">
        <v>1253</v>
      </c>
    </row>
    <row r="1999" customFormat="false" ht="14.1" hidden="false" customHeight="true" outlineLevel="0" collapsed="false">
      <c r="A1999" s="1115" t="n">
        <v>52780</v>
      </c>
      <c r="B1999" s="1115" t="s">
        <v>163</v>
      </c>
      <c r="C1999" s="1115" t="n">
        <v>52780</v>
      </c>
      <c r="D1999" s="1115" t="s">
        <v>2708</v>
      </c>
      <c r="E1999" s="1115" t="s">
        <v>3021</v>
      </c>
      <c r="F1999" s="1115" t="n">
        <v>49540</v>
      </c>
      <c r="G1999" s="1115" t="n">
        <v>54390</v>
      </c>
      <c r="H1999" s="1115" t="s">
        <v>3180</v>
      </c>
      <c r="I1999" s="1115" t="n">
        <v>52830</v>
      </c>
      <c r="J1999" s="1115" t="s">
        <v>1525</v>
      </c>
    </row>
    <row r="2000" customFormat="false" ht="14.1" hidden="false" customHeight="true" outlineLevel="0" collapsed="false">
      <c r="A2000" s="1115" t="n">
        <v>52810</v>
      </c>
      <c r="B2000" s="1115" t="s">
        <v>163</v>
      </c>
      <c r="C2000" s="1115" t="n">
        <v>52810</v>
      </c>
      <c r="D2000" s="1115" t="s">
        <v>3140</v>
      </c>
      <c r="E2000" s="1115" t="s">
        <v>3181</v>
      </c>
      <c r="F2000" s="1115" t="n">
        <v>64440</v>
      </c>
      <c r="G2000" s="1115" t="n">
        <v>54410</v>
      </c>
      <c r="H2000" s="1115" t="s">
        <v>1640</v>
      </c>
      <c r="I2000" s="1115" t="n">
        <v>52840</v>
      </c>
      <c r="J2000" s="1115" t="s">
        <v>1525</v>
      </c>
    </row>
    <row r="2001" customFormat="false" ht="14.1" hidden="false" customHeight="true" outlineLevel="0" collapsed="false">
      <c r="A2001" s="1115" t="n">
        <v>52830</v>
      </c>
      <c r="B2001" s="1115" t="s">
        <v>163</v>
      </c>
      <c r="C2001" s="1115" t="n">
        <v>52830</v>
      </c>
      <c r="D2001" s="1115" t="s">
        <v>1525</v>
      </c>
      <c r="E2001" s="1115" t="s">
        <v>2394</v>
      </c>
      <c r="F2001" s="1115" t="n">
        <v>32270</v>
      </c>
      <c r="G2001" s="1115" t="n">
        <v>54430</v>
      </c>
      <c r="H2001" s="1115" t="s">
        <v>1801</v>
      </c>
      <c r="I2001" s="1115" t="n">
        <v>52850</v>
      </c>
      <c r="J2001" s="1115" t="s">
        <v>1525</v>
      </c>
    </row>
    <row r="2002" customFormat="false" ht="14.1" hidden="false" customHeight="true" outlineLevel="0" collapsed="false">
      <c r="A2002" s="1115" t="n">
        <v>52840</v>
      </c>
      <c r="B2002" s="1115" t="s">
        <v>163</v>
      </c>
      <c r="C2002" s="1115" t="n">
        <v>52840</v>
      </c>
      <c r="D2002" s="1115" t="s">
        <v>3069</v>
      </c>
      <c r="E2002" s="1115" t="s">
        <v>2835</v>
      </c>
      <c r="F2002" s="1115" t="n">
        <v>42680</v>
      </c>
      <c r="G2002" s="1115" t="n">
        <v>54440</v>
      </c>
      <c r="H2002" s="1115" t="s">
        <v>3182</v>
      </c>
      <c r="I2002" s="1115" t="n">
        <v>52870</v>
      </c>
      <c r="J2002" s="1115" t="s">
        <v>1525</v>
      </c>
    </row>
    <row r="2003" customFormat="false" ht="14.1" hidden="false" customHeight="true" outlineLevel="0" collapsed="false">
      <c r="A2003" s="1115" t="n">
        <v>52850</v>
      </c>
      <c r="B2003" s="1115" t="s">
        <v>163</v>
      </c>
      <c r="C2003" s="1115" t="n">
        <v>52850</v>
      </c>
      <c r="D2003" s="1115" t="s">
        <v>1341</v>
      </c>
      <c r="E2003" s="1115" t="s">
        <v>1470</v>
      </c>
      <c r="F2003" s="1115" t="n">
        <v>7890</v>
      </c>
      <c r="G2003" s="1115" t="n">
        <v>54450</v>
      </c>
      <c r="H2003" s="1115" t="s">
        <v>3183</v>
      </c>
      <c r="I2003" s="1115" t="n">
        <v>52890</v>
      </c>
      <c r="J2003" s="1115" t="s">
        <v>1525</v>
      </c>
    </row>
    <row r="2004" customFormat="false" ht="14.1" hidden="false" customHeight="true" outlineLevel="0" collapsed="false">
      <c r="A2004" s="1115" t="n">
        <v>52870</v>
      </c>
      <c r="B2004" s="1115" t="s">
        <v>163</v>
      </c>
      <c r="C2004" s="1115" t="n">
        <v>52870</v>
      </c>
      <c r="D2004" s="1115" t="s">
        <v>2434</v>
      </c>
      <c r="E2004" s="1115" t="s">
        <v>1230</v>
      </c>
      <c r="F2004" s="1115" t="n">
        <v>49700</v>
      </c>
      <c r="G2004" s="1115" t="n">
        <v>54460</v>
      </c>
      <c r="H2004" s="1115" t="s">
        <v>3184</v>
      </c>
      <c r="I2004" s="1115" t="n">
        <v>52920</v>
      </c>
      <c r="J2004" s="1115" t="s">
        <v>1525</v>
      </c>
    </row>
    <row r="2005" customFormat="false" ht="14.1" hidden="false" customHeight="true" outlineLevel="0" collapsed="false">
      <c r="A2005" s="1115" t="n">
        <v>52890</v>
      </c>
      <c r="B2005" s="1115" t="s">
        <v>163</v>
      </c>
      <c r="C2005" s="1115" t="n">
        <v>52890</v>
      </c>
      <c r="D2005" s="1115" t="s">
        <v>2828</v>
      </c>
      <c r="E2005" s="1115" t="s">
        <v>3185</v>
      </c>
      <c r="F2005" s="1115" t="n">
        <v>86550</v>
      </c>
      <c r="G2005" s="1115" t="n">
        <v>54470</v>
      </c>
      <c r="H2005" s="1115" t="s">
        <v>1908</v>
      </c>
      <c r="I2005" s="1115" t="n">
        <v>52930</v>
      </c>
      <c r="J2005" s="1115" t="s">
        <v>1525</v>
      </c>
    </row>
    <row r="2006" customFormat="false" ht="14.1" hidden="false" customHeight="true" outlineLevel="0" collapsed="false">
      <c r="A2006" s="1115" t="n">
        <v>52920</v>
      </c>
      <c r="B2006" s="1115" t="s">
        <v>163</v>
      </c>
      <c r="C2006" s="1115" t="n">
        <v>52920</v>
      </c>
      <c r="D2006" s="1115" t="s">
        <v>3144</v>
      </c>
      <c r="E2006" s="1115" t="s">
        <v>1881</v>
      </c>
      <c r="F2006" s="1115" t="n">
        <v>19670</v>
      </c>
      <c r="G2006" s="1115" t="n">
        <v>54480</v>
      </c>
      <c r="H2006" s="1115" t="s">
        <v>3186</v>
      </c>
      <c r="I2006" s="1115" t="n">
        <v>52940</v>
      </c>
      <c r="J2006" s="1115" t="s">
        <v>1525</v>
      </c>
    </row>
    <row r="2007" customFormat="false" ht="14.1" hidden="false" customHeight="true" outlineLevel="0" collapsed="false">
      <c r="A2007" s="1115" t="n">
        <v>52930</v>
      </c>
      <c r="B2007" s="1115" t="s">
        <v>163</v>
      </c>
      <c r="C2007" s="1115" t="n">
        <v>52930</v>
      </c>
      <c r="D2007" s="1115" t="s">
        <v>3146</v>
      </c>
      <c r="E2007" s="1115" t="s">
        <v>3187</v>
      </c>
      <c r="F2007" s="1115" t="n">
        <v>88380</v>
      </c>
      <c r="G2007" s="1115" t="n">
        <v>54490</v>
      </c>
      <c r="H2007" s="1115" t="s">
        <v>755</v>
      </c>
      <c r="I2007" s="1115" t="n">
        <v>52950</v>
      </c>
      <c r="J2007" s="1115" t="s">
        <v>1525</v>
      </c>
    </row>
    <row r="2008" customFormat="false" ht="14.1" hidden="false" customHeight="true" outlineLevel="0" collapsed="false">
      <c r="A2008" s="1115" t="n">
        <v>52940</v>
      </c>
      <c r="B2008" s="1115" t="s">
        <v>163</v>
      </c>
      <c r="C2008" s="1115" t="n">
        <v>52940</v>
      </c>
      <c r="D2008" s="1115" t="s">
        <v>1704</v>
      </c>
      <c r="E2008" s="1115" t="s">
        <v>3188</v>
      </c>
      <c r="F2008" s="1115" t="n">
        <v>61360</v>
      </c>
      <c r="G2008" s="1115" t="n">
        <v>54500</v>
      </c>
      <c r="H2008" s="1115" t="s">
        <v>3189</v>
      </c>
      <c r="I2008" s="1115" t="n">
        <v>52960</v>
      </c>
      <c r="J2008" s="1115" t="s">
        <v>1525</v>
      </c>
    </row>
    <row r="2009" customFormat="false" ht="14.1" hidden="false" customHeight="true" outlineLevel="0" collapsed="false">
      <c r="A2009" s="1115" t="n">
        <v>52950</v>
      </c>
      <c r="B2009" s="1115" t="s">
        <v>163</v>
      </c>
      <c r="C2009" s="1115" t="n">
        <v>52950</v>
      </c>
      <c r="D2009" s="1115" t="s">
        <v>3148</v>
      </c>
      <c r="E2009" s="1115" t="s">
        <v>1231</v>
      </c>
      <c r="F2009" s="1115" t="n">
        <v>23120</v>
      </c>
      <c r="G2009" s="1115" t="n">
        <v>54510</v>
      </c>
      <c r="H2009" s="1115" t="s">
        <v>3190</v>
      </c>
      <c r="I2009" s="1115" t="n">
        <v>52970</v>
      </c>
      <c r="J2009" s="1115" t="s">
        <v>1525</v>
      </c>
    </row>
    <row r="2010" customFormat="false" ht="14.1" hidden="false" customHeight="true" outlineLevel="0" collapsed="false">
      <c r="A2010" s="1115" t="n">
        <v>52960</v>
      </c>
      <c r="B2010" s="1115" t="s">
        <v>163</v>
      </c>
      <c r="C2010" s="1115" t="n">
        <v>52960</v>
      </c>
      <c r="D2010" s="1115" t="s">
        <v>3150</v>
      </c>
      <c r="E2010" s="1115" t="s">
        <v>3191</v>
      </c>
      <c r="F2010" s="1115" t="n">
        <v>56710</v>
      </c>
      <c r="G2010" s="1115" t="n">
        <v>54530</v>
      </c>
      <c r="H2010" s="1115" t="s">
        <v>1201</v>
      </c>
      <c r="I2010" s="1115" t="n">
        <v>52980</v>
      </c>
      <c r="J2010" s="1115" t="s">
        <v>1525</v>
      </c>
    </row>
    <row r="2011" customFormat="false" ht="14.1" hidden="false" customHeight="true" outlineLevel="0" collapsed="false">
      <c r="A2011" s="1115" t="n">
        <v>52970</v>
      </c>
      <c r="B2011" s="1115" t="s">
        <v>163</v>
      </c>
      <c r="C2011" s="1115" t="n">
        <v>52970</v>
      </c>
      <c r="D2011" s="1115" t="s">
        <v>3152</v>
      </c>
      <c r="E2011" s="1115" t="s">
        <v>3192</v>
      </c>
      <c r="F2011" s="1115" t="n">
        <v>86760</v>
      </c>
      <c r="G2011" s="1115" t="n">
        <v>54550</v>
      </c>
      <c r="H2011" s="1115" t="s">
        <v>3193</v>
      </c>
      <c r="I2011" s="1115" t="n">
        <v>53007</v>
      </c>
      <c r="J2011" s="1115" t="s">
        <v>163</v>
      </c>
    </row>
    <row r="2012" customFormat="false" ht="14.1" hidden="false" customHeight="true" outlineLevel="0" collapsed="false">
      <c r="A2012" s="1115" t="n">
        <v>52980</v>
      </c>
      <c r="B2012" s="1115" t="s">
        <v>163</v>
      </c>
      <c r="C2012" s="1115" t="n">
        <v>52980</v>
      </c>
      <c r="D2012" s="1115" t="s">
        <v>763</v>
      </c>
      <c r="E2012" s="1115" t="s">
        <v>1232</v>
      </c>
      <c r="F2012" s="1115" t="n">
        <v>50100</v>
      </c>
      <c r="G2012" s="1115" t="n">
        <v>54580</v>
      </c>
      <c r="H2012" s="1115" t="s">
        <v>3194</v>
      </c>
      <c r="I2012" s="1115" t="n">
        <v>53100</v>
      </c>
      <c r="J2012" s="1115" t="s">
        <v>163</v>
      </c>
    </row>
    <row r="2013" customFormat="false" ht="14.1" hidden="false" customHeight="true" outlineLevel="0" collapsed="false">
      <c r="A2013" s="1115" t="n">
        <v>53007</v>
      </c>
      <c r="B2013" s="1115" t="s">
        <v>163</v>
      </c>
      <c r="C2013" s="1115" t="n">
        <v>53007</v>
      </c>
      <c r="D2013" s="1115" t="s">
        <v>163</v>
      </c>
      <c r="E2013" s="1115" t="s">
        <v>1232</v>
      </c>
      <c r="F2013" s="1115" t="n">
        <v>50100</v>
      </c>
      <c r="G2013" s="1115" t="n">
        <v>54610</v>
      </c>
      <c r="H2013" s="1115" t="s">
        <v>1075</v>
      </c>
      <c r="I2013" s="1115" t="n">
        <v>53130</v>
      </c>
      <c r="J2013" s="1115" t="s">
        <v>163</v>
      </c>
    </row>
    <row r="2014" customFormat="false" ht="14.1" hidden="false" customHeight="true" outlineLevel="0" collapsed="false">
      <c r="A2014" s="1115" t="n">
        <v>53100</v>
      </c>
      <c r="B2014" s="1115" t="s">
        <v>163</v>
      </c>
      <c r="C2014" s="1115" t="n">
        <v>53100</v>
      </c>
      <c r="D2014" s="1115" t="s">
        <v>163</v>
      </c>
      <c r="E2014" s="1115" t="s">
        <v>1232</v>
      </c>
      <c r="F2014" s="1115" t="n">
        <v>50120</v>
      </c>
      <c r="G2014" s="1115" t="n">
        <v>54620</v>
      </c>
      <c r="H2014" s="1115" t="s">
        <v>3195</v>
      </c>
      <c r="I2014" s="1115" t="n">
        <v>53200</v>
      </c>
      <c r="J2014" s="1115" t="s">
        <v>163</v>
      </c>
    </row>
    <row r="2015" customFormat="false" ht="14.1" hidden="false" customHeight="true" outlineLevel="0" collapsed="false">
      <c r="A2015" s="1115" t="n">
        <v>53130</v>
      </c>
      <c r="B2015" s="1115" t="s">
        <v>163</v>
      </c>
      <c r="C2015" s="1115" t="n">
        <v>53130</v>
      </c>
      <c r="D2015" s="1115" t="s">
        <v>163</v>
      </c>
      <c r="E2015" s="1115" t="s">
        <v>1232</v>
      </c>
      <c r="F2015" s="1115" t="n">
        <v>50130</v>
      </c>
      <c r="G2015" s="1115" t="n">
        <v>54630</v>
      </c>
      <c r="H2015" s="1115" t="s">
        <v>3196</v>
      </c>
      <c r="I2015" s="1115" t="n">
        <v>53300</v>
      </c>
      <c r="J2015" s="1115" t="s">
        <v>163</v>
      </c>
    </row>
    <row r="2016" customFormat="false" ht="14.1" hidden="false" customHeight="true" outlineLevel="0" collapsed="false">
      <c r="A2016" s="1115" t="n">
        <v>53200</v>
      </c>
      <c r="B2016" s="1115" t="s">
        <v>163</v>
      </c>
      <c r="C2016" s="1115" t="n">
        <v>53200</v>
      </c>
      <c r="D2016" s="1115" t="s">
        <v>163</v>
      </c>
      <c r="E2016" s="1115" t="s">
        <v>1232</v>
      </c>
      <c r="F2016" s="1115" t="n">
        <v>50150</v>
      </c>
      <c r="G2016" s="1115" t="n">
        <v>54640</v>
      </c>
      <c r="H2016" s="1115" t="s">
        <v>3197</v>
      </c>
      <c r="I2016" s="1115" t="n">
        <v>53400</v>
      </c>
      <c r="J2016" s="1115" t="s">
        <v>163</v>
      </c>
    </row>
    <row r="2017" customFormat="false" ht="14.1" hidden="false" customHeight="true" outlineLevel="0" collapsed="false">
      <c r="A2017" s="1115" t="n">
        <v>53300</v>
      </c>
      <c r="B2017" s="1115" t="s">
        <v>163</v>
      </c>
      <c r="C2017" s="1115" t="n">
        <v>53300</v>
      </c>
      <c r="D2017" s="1115" t="s">
        <v>163</v>
      </c>
      <c r="E2017" s="1115" t="s">
        <v>1232</v>
      </c>
      <c r="F2017" s="1115" t="n">
        <v>50170</v>
      </c>
      <c r="G2017" s="1115" t="n">
        <v>54670</v>
      </c>
      <c r="H2017" s="1115" t="s">
        <v>1889</v>
      </c>
      <c r="I2017" s="1115" t="n">
        <v>53420</v>
      </c>
      <c r="J2017" s="1115" t="s">
        <v>163</v>
      </c>
    </row>
    <row r="2018" customFormat="false" ht="14.1" hidden="false" customHeight="true" outlineLevel="0" collapsed="false">
      <c r="A2018" s="1115" t="n">
        <v>53400</v>
      </c>
      <c r="B2018" s="1115" t="s">
        <v>163</v>
      </c>
      <c r="C2018" s="1115" t="n">
        <v>53400</v>
      </c>
      <c r="D2018" s="1115" t="s">
        <v>163</v>
      </c>
      <c r="E2018" s="1115" t="s">
        <v>1232</v>
      </c>
      <c r="F2018" s="1115" t="n">
        <v>50180</v>
      </c>
      <c r="G2018" s="1115" t="n">
        <v>54710</v>
      </c>
      <c r="H2018" s="1115" t="s">
        <v>1160</v>
      </c>
      <c r="I2018" s="1115" t="n">
        <v>53440</v>
      </c>
      <c r="J2018" s="1115" t="s">
        <v>163</v>
      </c>
    </row>
    <row r="2019" customFormat="false" ht="14.1" hidden="false" customHeight="true" outlineLevel="0" collapsed="false">
      <c r="A2019" s="1115" t="n">
        <v>53420</v>
      </c>
      <c r="B2019" s="1115" t="s">
        <v>163</v>
      </c>
      <c r="C2019" s="1115" t="n">
        <v>53420</v>
      </c>
      <c r="D2019" s="1115" t="s">
        <v>163</v>
      </c>
      <c r="E2019" s="1115" t="s">
        <v>1232</v>
      </c>
      <c r="F2019" s="1115" t="n">
        <v>50500</v>
      </c>
      <c r="G2019" s="1115" t="n">
        <v>54715</v>
      </c>
      <c r="H2019" s="1115" t="s">
        <v>3198</v>
      </c>
      <c r="I2019" s="1115" t="n">
        <v>53500</v>
      </c>
      <c r="J2019" s="1115" t="s">
        <v>163</v>
      </c>
    </row>
    <row r="2020" customFormat="false" ht="14.1" hidden="false" customHeight="true" outlineLevel="0" collapsed="false">
      <c r="A2020" s="1115" t="n">
        <v>53440</v>
      </c>
      <c r="B2020" s="1115" t="s">
        <v>163</v>
      </c>
      <c r="C2020" s="1115" t="n">
        <v>53440</v>
      </c>
      <c r="D2020" s="1115" t="s">
        <v>163</v>
      </c>
      <c r="E2020" s="1115" t="s">
        <v>1232</v>
      </c>
      <c r="F2020" s="1115" t="n">
        <v>50520</v>
      </c>
      <c r="G2020" s="1115" t="n">
        <v>54720</v>
      </c>
      <c r="H2020" s="1115" t="s">
        <v>2879</v>
      </c>
      <c r="I2020" s="1115" t="n">
        <v>53600</v>
      </c>
      <c r="J2020" s="1115" t="s">
        <v>163</v>
      </c>
    </row>
    <row r="2021" customFormat="false" ht="14.1" hidden="false" customHeight="true" outlineLevel="0" collapsed="false">
      <c r="A2021" s="1115" t="n">
        <v>53500</v>
      </c>
      <c r="B2021" s="1115" t="s">
        <v>163</v>
      </c>
      <c r="C2021" s="1115" t="n">
        <v>53500</v>
      </c>
      <c r="D2021" s="1115" t="s">
        <v>163</v>
      </c>
      <c r="E2021" s="1115" t="s">
        <v>1232</v>
      </c>
      <c r="F2021" s="1115" t="n">
        <v>50600</v>
      </c>
      <c r="G2021" s="1115" t="n">
        <v>54740</v>
      </c>
      <c r="H2021" s="1115" t="s">
        <v>3199</v>
      </c>
      <c r="I2021" s="1115" t="n">
        <v>53650</v>
      </c>
      <c r="J2021" s="1115" t="s">
        <v>163</v>
      </c>
    </row>
    <row r="2022" customFormat="false" ht="14.1" hidden="false" customHeight="true" outlineLevel="0" collapsed="false">
      <c r="A2022" s="1115" t="n">
        <v>53600</v>
      </c>
      <c r="B2022" s="1115" t="s">
        <v>163</v>
      </c>
      <c r="C2022" s="1115" t="n">
        <v>53600</v>
      </c>
      <c r="D2022" s="1115" t="s">
        <v>163</v>
      </c>
      <c r="E2022" s="1115" t="s">
        <v>3200</v>
      </c>
      <c r="F2022" s="1115" t="n">
        <v>59530</v>
      </c>
      <c r="G2022" s="1115" t="n">
        <v>54750</v>
      </c>
      <c r="H2022" s="1115" t="s">
        <v>3201</v>
      </c>
      <c r="I2022" s="1115" t="n">
        <v>53800</v>
      </c>
      <c r="J2022" s="1115" t="s">
        <v>163</v>
      </c>
    </row>
    <row r="2023" customFormat="false" ht="14.1" hidden="false" customHeight="true" outlineLevel="0" collapsed="false">
      <c r="A2023" s="1115" t="n">
        <v>53650</v>
      </c>
      <c r="B2023" s="1115" t="s">
        <v>163</v>
      </c>
      <c r="C2023" s="1115" t="n">
        <v>53650</v>
      </c>
      <c r="D2023" s="1115" t="s">
        <v>163</v>
      </c>
      <c r="E2023" s="1115" t="s">
        <v>1518</v>
      </c>
      <c r="F2023" s="1115" t="n">
        <v>9520</v>
      </c>
      <c r="G2023" s="1115" t="n">
        <v>54760</v>
      </c>
      <c r="H2023" s="1115" t="s">
        <v>2769</v>
      </c>
      <c r="I2023" s="1115" t="n">
        <v>53810</v>
      </c>
      <c r="J2023" s="1115" t="s">
        <v>163</v>
      </c>
    </row>
    <row r="2024" customFormat="false" ht="14.1" hidden="false" customHeight="true" outlineLevel="0" collapsed="false">
      <c r="A2024" s="1115" t="n">
        <v>53800</v>
      </c>
      <c r="B2024" s="1115" t="s">
        <v>163</v>
      </c>
      <c r="C2024" s="1115" t="n">
        <v>53800</v>
      </c>
      <c r="D2024" s="1115" t="s">
        <v>163</v>
      </c>
      <c r="E2024" s="1115" t="s">
        <v>2366</v>
      </c>
      <c r="F2024" s="1115" t="n">
        <v>31630</v>
      </c>
      <c r="G2024" s="1115" t="n">
        <v>54770</v>
      </c>
      <c r="H2024" s="1115" t="s">
        <v>1549</v>
      </c>
      <c r="I2024" s="1115" t="n">
        <v>53820</v>
      </c>
      <c r="J2024" s="1115" t="s">
        <v>163</v>
      </c>
    </row>
    <row r="2025" customFormat="false" ht="14.1" hidden="false" customHeight="true" outlineLevel="0" collapsed="false">
      <c r="A2025" s="1115" t="n">
        <v>53810</v>
      </c>
      <c r="B2025" s="1115" t="s">
        <v>163</v>
      </c>
      <c r="C2025" s="1115" t="n">
        <v>53810</v>
      </c>
      <c r="D2025" s="1115" t="s">
        <v>163</v>
      </c>
      <c r="E2025" s="1115" t="s">
        <v>3202</v>
      </c>
      <c r="F2025" s="1115" t="n">
        <v>97580</v>
      </c>
      <c r="G2025" s="1115" t="n">
        <v>54780</v>
      </c>
      <c r="H2025" s="1115" t="s">
        <v>3203</v>
      </c>
      <c r="I2025" s="1115" t="n">
        <v>53830</v>
      </c>
      <c r="J2025" s="1115" t="s">
        <v>163</v>
      </c>
    </row>
    <row r="2026" customFormat="false" ht="14.1" hidden="false" customHeight="true" outlineLevel="0" collapsed="false">
      <c r="A2026" s="1115" t="n">
        <v>53820</v>
      </c>
      <c r="B2026" s="1115" t="s">
        <v>163</v>
      </c>
      <c r="C2026" s="1115" t="n">
        <v>53820</v>
      </c>
      <c r="D2026" s="1115" t="s">
        <v>163</v>
      </c>
      <c r="E2026" s="1115" t="s">
        <v>2128</v>
      </c>
      <c r="F2026" s="1115" t="n">
        <v>25730</v>
      </c>
      <c r="G2026" s="1115" t="n">
        <v>54800</v>
      </c>
      <c r="H2026" s="1115" t="s">
        <v>1481</v>
      </c>
      <c r="I2026" s="1115" t="n">
        <v>53900</v>
      </c>
      <c r="J2026" s="1115" t="s">
        <v>163</v>
      </c>
    </row>
    <row r="2027" customFormat="false" ht="14.1" hidden="false" customHeight="true" outlineLevel="0" collapsed="false">
      <c r="A2027" s="1115" t="n">
        <v>53830</v>
      </c>
      <c r="B2027" s="1115" t="s">
        <v>163</v>
      </c>
      <c r="C2027" s="1115" t="n">
        <v>53830</v>
      </c>
      <c r="D2027" s="1115" t="s">
        <v>163</v>
      </c>
      <c r="E2027" s="1115" t="s">
        <v>3204</v>
      </c>
      <c r="F2027" s="1115" t="n">
        <v>58470</v>
      </c>
      <c r="G2027" s="1115" t="n">
        <v>54820</v>
      </c>
      <c r="H2027" s="1115" t="s">
        <v>2616</v>
      </c>
      <c r="I2027" s="1115" t="n">
        <v>53920</v>
      </c>
      <c r="J2027" s="1115" t="s">
        <v>163</v>
      </c>
    </row>
    <row r="2028" customFormat="false" ht="14.1" hidden="false" customHeight="true" outlineLevel="0" collapsed="false">
      <c r="A2028" s="1115" t="n">
        <v>53900</v>
      </c>
      <c r="B2028" s="1115" t="s">
        <v>163</v>
      </c>
      <c r="C2028" s="1115" t="n">
        <v>53900</v>
      </c>
      <c r="D2028" s="1115" t="s">
        <v>163</v>
      </c>
      <c r="E2028" s="1115" t="s">
        <v>3205</v>
      </c>
      <c r="F2028" s="1115" t="n">
        <v>89540</v>
      </c>
      <c r="G2028" s="1115" t="n">
        <v>54830</v>
      </c>
      <c r="H2028" s="1115" t="s">
        <v>2220</v>
      </c>
      <c r="I2028" s="1115" t="n">
        <v>54100</v>
      </c>
      <c r="J2028" s="1115" t="s">
        <v>916</v>
      </c>
    </row>
    <row r="2029" customFormat="false" ht="14.1" hidden="false" customHeight="true" outlineLevel="0" collapsed="false">
      <c r="A2029" s="1115" t="n">
        <v>53920</v>
      </c>
      <c r="B2029" s="1115" t="s">
        <v>163</v>
      </c>
      <c r="C2029" s="1115" t="n">
        <v>53920</v>
      </c>
      <c r="D2029" s="1115" t="s">
        <v>163</v>
      </c>
      <c r="E2029" s="1115" t="s">
        <v>2804</v>
      </c>
      <c r="F2029" s="1115" t="n">
        <v>41840</v>
      </c>
      <c r="G2029" s="1115" t="n">
        <v>54840</v>
      </c>
      <c r="H2029" s="1115" t="s">
        <v>3206</v>
      </c>
      <c r="I2029" s="1115" t="n">
        <v>54110</v>
      </c>
      <c r="J2029" s="1115" t="s">
        <v>916</v>
      </c>
    </row>
    <row r="2030" customFormat="false" ht="14.1" hidden="false" customHeight="true" outlineLevel="0" collapsed="false">
      <c r="A2030" s="1115" t="n">
        <v>54100</v>
      </c>
      <c r="B2030" s="1115" t="s">
        <v>163</v>
      </c>
      <c r="C2030" s="1115" t="n">
        <v>54100</v>
      </c>
      <c r="D2030" s="1115" t="s">
        <v>916</v>
      </c>
      <c r="E2030" s="1115" t="s">
        <v>3207</v>
      </c>
      <c r="F2030" s="1115" t="n">
        <v>66210</v>
      </c>
      <c r="G2030" s="1115" t="n">
        <v>54850</v>
      </c>
      <c r="H2030" s="1115" t="s">
        <v>2743</v>
      </c>
      <c r="I2030" s="1115" t="n">
        <v>54120</v>
      </c>
      <c r="J2030" s="1115" t="s">
        <v>916</v>
      </c>
    </row>
    <row r="2031" customFormat="false" ht="14.1" hidden="false" customHeight="true" outlineLevel="0" collapsed="false">
      <c r="A2031" s="1115" t="n">
        <v>54110</v>
      </c>
      <c r="B2031" s="1115" t="s">
        <v>163</v>
      </c>
      <c r="C2031" s="1115" t="n">
        <v>54110</v>
      </c>
      <c r="D2031" s="1115" t="s">
        <v>2891</v>
      </c>
      <c r="E2031" s="1115" t="s">
        <v>1590</v>
      </c>
      <c r="F2031" s="1115" t="n">
        <v>12130</v>
      </c>
      <c r="G2031" s="1115" t="n">
        <v>54880</v>
      </c>
      <c r="H2031" s="1115" t="s">
        <v>3208</v>
      </c>
      <c r="I2031" s="1115" t="n">
        <v>54160</v>
      </c>
      <c r="J2031" s="1115" t="s">
        <v>916</v>
      </c>
    </row>
    <row r="2032" customFormat="false" ht="14.1" hidden="false" customHeight="true" outlineLevel="0" collapsed="false">
      <c r="A2032" s="1115" t="n">
        <v>54120</v>
      </c>
      <c r="B2032" s="1115" t="s">
        <v>163</v>
      </c>
      <c r="C2032" s="1115" t="n">
        <v>54120</v>
      </c>
      <c r="D2032" s="1115" t="s">
        <v>3166</v>
      </c>
      <c r="E2032" s="1115" t="s">
        <v>3209</v>
      </c>
      <c r="F2032" s="1115" t="n">
        <v>79230</v>
      </c>
      <c r="G2032" s="1115" t="n">
        <v>54915</v>
      </c>
      <c r="H2032" s="1115" t="s">
        <v>3210</v>
      </c>
      <c r="I2032" s="1115" t="n">
        <v>54180</v>
      </c>
      <c r="J2032" s="1115" t="s">
        <v>916</v>
      </c>
    </row>
    <row r="2033" customFormat="false" ht="14.1" hidden="false" customHeight="true" outlineLevel="0" collapsed="false">
      <c r="A2033" s="1115" t="n">
        <v>54160</v>
      </c>
      <c r="B2033" s="1115" t="s">
        <v>163</v>
      </c>
      <c r="C2033" s="1115" t="n">
        <v>54160</v>
      </c>
      <c r="D2033" s="1115" t="s">
        <v>835</v>
      </c>
      <c r="E2033" s="1115" t="s">
        <v>2162</v>
      </c>
      <c r="F2033" s="1115" t="n">
        <v>26720</v>
      </c>
      <c r="G2033" s="1115" t="n">
        <v>54920</v>
      </c>
      <c r="H2033" s="1115" t="s">
        <v>1543</v>
      </c>
      <c r="I2033" s="1115" t="n">
        <v>54190</v>
      </c>
      <c r="J2033" s="1115" t="s">
        <v>916</v>
      </c>
    </row>
    <row r="2034" customFormat="false" ht="14.1" hidden="false" customHeight="true" outlineLevel="0" collapsed="false">
      <c r="A2034" s="1115" t="n">
        <v>54180</v>
      </c>
      <c r="B2034" s="1115" t="s">
        <v>163</v>
      </c>
      <c r="C2034" s="1115" t="n">
        <v>54180</v>
      </c>
      <c r="D2034" s="1115" t="s">
        <v>2801</v>
      </c>
      <c r="E2034" s="1115" t="s">
        <v>1369</v>
      </c>
      <c r="F2034" s="1115" t="n">
        <v>7230</v>
      </c>
      <c r="G2034" s="1115" t="n">
        <v>54930</v>
      </c>
      <c r="H2034" s="1115" t="s">
        <v>2987</v>
      </c>
      <c r="I2034" s="1115" t="n">
        <v>54230</v>
      </c>
      <c r="J2034" s="1115" t="s">
        <v>916</v>
      </c>
    </row>
    <row r="2035" customFormat="false" ht="14.1" hidden="false" customHeight="true" outlineLevel="0" collapsed="false">
      <c r="A2035" s="1115" t="n">
        <v>54190</v>
      </c>
      <c r="B2035" s="1115" t="s">
        <v>163</v>
      </c>
      <c r="C2035" s="1115" t="n">
        <v>54190</v>
      </c>
      <c r="D2035" s="1115" t="s">
        <v>2538</v>
      </c>
      <c r="E2035" s="1115" t="s">
        <v>3211</v>
      </c>
      <c r="F2035" s="1115" t="n">
        <v>77350</v>
      </c>
      <c r="G2035" s="1115" t="n">
        <v>54940</v>
      </c>
      <c r="H2035" s="1115" t="s">
        <v>3212</v>
      </c>
      <c r="I2035" s="1115" t="n">
        <v>54250</v>
      </c>
      <c r="J2035" s="1115" t="s">
        <v>916</v>
      </c>
    </row>
    <row r="2036" customFormat="false" ht="14.1" hidden="false" customHeight="true" outlineLevel="0" collapsed="false">
      <c r="A2036" s="1115" t="n">
        <v>54230</v>
      </c>
      <c r="B2036" s="1115" t="s">
        <v>163</v>
      </c>
      <c r="C2036" s="1115" t="n">
        <v>54230</v>
      </c>
      <c r="D2036" s="1115" t="s">
        <v>3169</v>
      </c>
      <c r="E2036" s="1115" t="s">
        <v>3213</v>
      </c>
      <c r="F2036" s="1115" t="n">
        <v>66980</v>
      </c>
      <c r="G2036" s="1115" t="n">
        <v>54950</v>
      </c>
      <c r="H2036" s="1115" t="s">
        <v>3214</v>
      </c>
      <c r="I2036" s="1115" t="n">
        <v>54270</v>
      </c>
      <c r="J2036" s="1115" t="s">
        <v>916</v>
      </c>
    </row>
    <row r="2037" customFormat="false" ht="14.1" hidden="false" customHeight="true" outlineLevel="0" collapsed="false">
      <c r="A2037" s="1115" t="n">
        <v>54250</v>
      </c>
      <c r="B2037" s="1115" t="s">
        <v>163</v>
      </c>
      <c r="C2037" s="1115" t="n">
        <v>54250</v>
      </c>
      <c r="D2037" s="1115" t="s">
        <v>3170</v>
      </c>
      <c r="E2037" s="1115" t="s">
        <v>3215</v>
      </c>
      <c r="F2037" s="1115" t="n">
        <v>98740</v>
      </c>
      <c r="G2037" s="1115" t="n">
        <v>54960</v>
      </c>
      <c r="H2037" s="1115" t="s">
        <v>3216</v>
      </c>
      <c r="I2037" s="1115" t="n">
        <v>54290</v>
      </c>
      <c r="J2037" s="1115" t="s">
        <v>916</v>
      </c>
    </row>
    <row r="2038" customFormat="false" ht="14.1" hidden="false" customHeight="true" outlineLevel="0" collapsed="false">
      <c r="A2038" s="1115" t="n">
        <v>54270</v>
      </c>
      <c r="B2038" s="1115" t="s">
        <v>163</v>
      </c>
      <c r="C2038" s="1115" t="n">
        <v>54270</v>
      </c>
      <c r="D2038" s="1115" t="s">
        <v>3172</v>
      </c>
      <c r="E2038" s="1115" t="s">
        <v>1994</v>
      </c>
      <c r="F2038" s="1115" t="n">
        <v>21770</v>
      </c>
      <c r="G2038" s="1115" t="n">
        <v>54980</v>
      </c>
      <c r="H2038" s="1115" t="s">
        <v>3217</v>
      </c>
      <c r="I2038" s="1115" t="n">
        <v>54310</v>
      </c>
      <c r="J2038" s="1115" t="s">
        <v>916</v>
      </c>
    </row>
    <row r="2039" customFormat="false" ht="14.1" hidden="false" customHeight="true" outlineLevel="0" collapsed="false">
      <c r="A2039" s="1115" t="n">
        <v>54290</v>
      </c>
      <c r="B2039" s="1115" t="s">
        <v>163</v>
      </c>
      <c r="C2039" s="1115" t="n">
        <v>54290</v>
      </c>
      <c r="D2039" s="1115" t="s">
        <v>3173</v>
      </c>
      <c r="E2039" s="1115" t="s">
        <v>1234</v>
      </c>
      <c r="F2039" s="1115" t="n">
        <v>38460</v>
      </c>
      <c r="G2039" s="1115" t="n">
        <v>54990</v>
      </c>
      <c r="H2039" s="1115" t="s">
        <v>3218</v>
      </c>
      <c r="I2039" s="1115" t="n">
        <v>54330</v>
      </c>
      <c r="J2039" s="1115" t="s">
        <v>1429</v>
      </c>
    </row>
    <row r="2040" customFormat="false" ht="14.1" hidden="false" customHeight="true" outlineLevel="0" collapsed="false">
      <c r="A2040" s="1115" t="n">
        <v>54310</v>
      </c>
      <c r="B2040" s="1115" t="s">
        <v>163</v>
      </c>
      <c r="C2040" s="1115" t="n">
        <v>54310</v>
      </c>
      <c r="D2040" s="1115" t="s">
        <v>1848</v>
      </c>
      <c r="E2040" s="1115" t="s">
        <v>3219</v>
      </c>
      <c r="F2040" s="1115" t="n">
        <v>97895</v>
      </c>
      <c r="G2040" s="1115" t="n">
        <v>55100</v>
      </c>
      <c r="H2040" s="1115" t="s">
        <v>881</v>
      </c>
      <c r="I2040" s="1115" t="n">
        <v>54340</v>
      </c>
      <c r="J2040" s="1115" t="s">
        <v>1429</v>
      </c>
    </row>
    <row r="2041" customFormat="false" ht="14.1" hidden="false" customHeight="true" outlineLevel="0" collapsed="false">
      <c r="A2041" s="1115" t="n">
        <v>54330</v>
      </c>
      <c r="B2041" s="1115" t="s">
        <v>163</v>
      </c>
      <c r="C2041" s="1115" t="n">
        <v>54330</v>
      </c>
      <c r="D2041" s="1115" t="s">
        <v>3174</v>
      </c>
      <c r="E2041" s="1115" t="s">
        <v>2974</v>
      </c>
      <c r="F2041" s="1115" t="n">
        <v>46960</v>
      </c>
      <c r="G2041" s="1115" t="n">
        <v>55120</v>
      </c>
      <c r="H2041" s="1115" t="s">
        <v>881</v>
      </c>
      <c r="I2041" s="1115" t="n">
        <v>54350</v>
      </c>
      <c r="J2041" s="1115" t="s">
        <v>1640</v>
      </c>
    </row>
    <row r="2042" customFormat="false" ht="14.1" hidden="false" customHeight="true" outlineLevel="0" collapsed="false">
      <c r="A2042" s="1115" t="n">
        <v>54340</v>
      </c>
      <c r="B2042" s="1115" t="s">
        <v>163</v>
      </c>
      <c r="C2042" s="1115" t="n">
        <v>54340</v>
      </c>
      <c r="D2042" s="1115" t="s">
        <v>3175</v>
      </c>
      <c r="E2042" s="1115" t="s">
        <v>2884</v>
      </c>
      <c r="F2042" s="1115" t="n">
        <v>43940</v>
      </c>
      <c r="G2042" s="1115" t="n">
        <v>55300</v>
      </c>
      <c r="H2042" s="1115" t="s">
        <v>3220</v>
      </c>
      <c r="I2042" s="1115" t="n">
        <v>54360</v>
      </c>
      <c r="J2042" s="1115" t="s">
        <v>1640</v>
      </c>
    </row>
    <row r="2043" customFormat="false" ht="14.1" hidden="false" customHeight="true" outlineLevel="0" collapsed="false">
      <c r="A2043" s="1115" t="n">
        <v>54350</v>
      </c>
      <c r="B2043" s="1115" t="s">
        <v>163</v>
      </c>
      <c r="C2043" s="1115" t="n">
        <v>54350</v>
      </c>
      <c r="D2043" s="1115" t="s">
        <v>3176</v>
      </c>
      <c r="E2043" s="1115" t="s">
        <v>1237</v>
      </c>
      <c r="F2043" s="1115" t="n">
        <v>91500</v>
      </c>
      <c r="G2043" s="1115" t="n">
        <v>55320</v>
      </c>
      <c r="H2043" s="1115" t="s">
        <v>3220</v>
      </c>
      <c r="I2043" s="1115" t="n">
        <v>54380</v>
      </c>
      <c r="J2043" s="1115" t="s">
        <v>1640</v>
      </c>
    </row>
    <row r="2044" customFormat="false" ht="14.1" hidden="false" customHeight="true" outlineLevel="0" collapsed="false">
      <c r="A2044" s="1115" t="n">
        <v>54360</v>
      </c>
      <c r="B2044" s="1115" t="s">
        <v>163</v>
      </c>
      <c r="C2044" s="1115" t="n">
        <v>54360</v>
      </c>
      <c r="D2044" s="1115" t="s">
        <v>3178</v>
      </c>
      <c r="E2044" s="1115" t="s">
        <v>2859</v>
      </c>
      <c r="F2044" s="1115" t="n">
        <v>43230</v>
      </c>
      <c r="G2044" s="1115" t="n">
        <v>55330</v>
      </c>
      <c r="H2044" s="1115" t="s">
        <v>3221</v>
      </c>
      <c r="I2044" s="1115" t="n">
        <v>54390</v>
      </c>
      <c r="J2044" s="1115" t="s">
        <v>1640</v>
      </c>
    </row>
    <row r="2045" customFormat="false" ht="14.1" hidden="false" customHeight="true" outlineLevel="0" collapsed="false">
      <c r="A2045" s="1115" t="n">
        <v>54380</v>
      </c>
      <c r="B2045" s="1115" t="s">
        <v>163</v>
      </c>
      <c r="C2045" s="1115" t="n">
        <v>54380</v>
      </c>
      <c r="D2045" s="1115" t="s">
        <v>3179</v>
      </c>
      <c r="E2045" s="1115" t="s">
        <v>3222</v>
      </c>
      <c r="F2045" s="1115" t="n">
        <v>75940</v>
      </c>
      <c r="G2045" s="1115" t="n">
        <v>55400</v>
      </c>
      <c r="H2045" s="1115" t="s">
        <v>881</v>
      </c>
      <c r="I2045" s="1115" t="n">
        <v>54410</v>
      </c>
      <c r="J2045" s="1115" t="s">
        <v>1640</v>
      </c>
    </row>
    <row r="2046" customFormat="false" ht="14.1" hidden="false" customHeight="true" outlineLevel="0" collapsed="false">
      <c r="A2046" s="1115" t="n">
        <v>54390</v>
      </c>
      <c r="B2046" s="1115" t="s">
        <v>163</v>
      </c>
      <c r="C2046" s="1115" t="n">
        <v>54390</v>
      </c>
      <c r="D2046" s="1115" t="s">
        <v>3180</v>
      </c>
      <c r="E2046" s="1115" t="s">
        <v>1239</v>
      </c>
      <c r="F2046" s="1115" t="n">
        <v>42600</v>
      </c>
      <c r="G2046" s="1115" t="n">
        <v>55420</v>
      </c>
      <c r="H2046" s="1115" t="s">
        <v>881</v>
      </c>
      <c r="I2046" s="1115" t="n">
        <v>54430</v>
      </c>
      <c r="J2046" s="1115" t="s">
        <v>1640</v>
      </c>
    </row>
    <row r="2047" customFormat="false" ht="14.1" hidden="false" customHeight="true" outlineLevel="0" collapsed="false">
      <c r="A2047" s="1115" t="n">
        <v>54410</v>
      </c>
      <c r="B2047" s="1115" t="s">
        <v>163</v>
      </c>
      <c r="C2047" s="1115" t="n">
        <v>54410</v>
      </c>
      <c r="D2047" s="1115" t="s">
        <v>1640</v>
      </c>
      <c r="E2047" s="1115" t="s">
        <v>3223</v>
      </c>
      <c r="F2047" s="1115" t="n">
        <v>60450</v>
      </c>
      <c r="G2047" s="1115" t="n">
        <v>55510</v>
      </c>
      <c r="H2047" s="1115" t="s">
        <v>881</v>
      </c>
      <c r="I2047" s="1115" t="n">
        <v>54440</v>
      </c>
      <c r="J2047" s="1115" t="s">
        <v>1640</v>
      </c>
    </row>
    <row r="2048" customFormat="false" ht="14.1" hidden="false" customHeight="true" outlineLevel="0" collapsed="false">
      <c r="A2048" s="1115" t="n">
        <v>54430</v>
      </c>
      <c r="B2048" s="1115" t="s">
        <v>163</v>
      </c>
      <c r="C2048" s="1115" t="n">
        <v>54430</v>
      </c>
      <c r="D2048" s="1115" t="s">
        <v>1801</v>
      </c>
      <c r="E2048" s="1115" t="s">
        <v>3223</v>
      </c>
      <c r="F2048" s="1115" t="n">
        <v>60450</v>
      </c>
      <c r="G2048" s="1115" t="n">
        <v>55610</v>
      </c>
      <c r="H2048" s="1115" t="s">
        <v>881</v>
      </c>
      <c r="I2048" s="1115" t="n">
        <v>54450</v>
      </c>
      <c r="J2048" s="1115" t="s">
        <v>1640</v>
      </c>
    </row>
    <row r="2049" customFormat="false" ht="14.1" hidden="false" customHeight="true" outlineLevel="0" collapsed="false">
      <c r="A2049" s="1115" t="n">
        <v>54440</v>
      </c>
      <c r="B2049" s="1115" t="s">
        <v>163</v>
      </c>
      <c r="C2049" s="1115" t="n">
        <v>54440</v>
      </c>
      <c r="D2049" s="1115" t="s">
        <v>3182</v>
      </c>
      <c r="E2049" s="1115" t="s">
        <v>3224</v>
      </c>
      <c r="F2049" s="1115" t="n">
        <v>66950</v>
      </c>
      <c r="G2049" s="1115" t="n">
        <v>55700</v>
      </c>
      <c r="H2049" s="1115" t="s">
        <v>881</v>
      </c>
      <c r="I2049" s="1115" t="n">
        <v>54460</v>
      </c>
      <c r="J2049" s="1115" t="s">
        <v>1640</v>
      </c>
    </row>
    <row r="2050" customFormat="false" ht="14.1" hidden="false" customHeight="true" outlineLevel="0" collapsed="false">
      <c r="A2050" s="1115" t="n">
        <v>54450</v>
      </c>
      <c r="B2050" s="1115" t="s">
        <v>163</v>
      </c>
      <c r="C2050" s="1115" t="n">
        <v>54450</v>
      </c>
      <c r="D2050" s="1115" t="s">
        <v>3183</v>
      </c>
      <c r="E2050" s="1115" t="s">
        <v>3195</v>
      </c>
      <c r="F2050" s="1115" t="n">
        <v>54620</v>
      </c>
      <c r="G2050" s="1115" t="n">
        <v>55800</v>
      </c>
      <c r="H2050" s="1115" t="s">
        <v>881</v>
      </c>
      <c r="I2050" s="1115" t="n">
        <v>54470</v>
      </c>
      <c r="J2050" s="1115" t="s">
        <v>1640</v>
      </c>
    </row>
    <row r="2051" customFormat="false" ht="14.1" hidden="false" customHeight="true" outlineLevel="0" collapsed="false">
      <c r="A2051" s="1115" t="n">
        <v>54460</v>
      </c>
      <c r="B2051" s="1115" t="s">
        <v>163</v>
      </c>
      <c r="C2051" s="1115" t="n">
        <v>54460</v>
      </c>
      <c r="D2051" s="1115" t="s">
        <v>3184</v>
      </c>
      <c r="E2051" s="1115" t="s">
        <v>1241</v>
      </c>
      <c r="F2051" s="1115" t="n">
        <v>99300</v>
      </c>
      <c r="G2051" s="1115" t="n">
        <v>55910</v>
      </c>
      <c r="H2051" s="1115" t="s">
        <v>881</v>
      </c>
      <c r="I2051" s="1115" t="n">
        <v>54480</v>
      </c>
      <c r="J2051" s="1115" t="s">
        <v>1640</v>
      </c>
    </row>
    <row r="2052" customFormat="false" ht="14.1" hidden="false" customHeight="true" outlineLevel="0" collapsed="false">
      <c r="A2052" s="1115" t="n">
        <v>54470</v>
      </c>
      <c r="B2052" s="1115" t="s">
        <v>163</v>
      </c>
      <c r="C2052" s="1115" t="n">
        <v>54470</v>
      </c>
      <c r="D2052" s="1115" t="s">
        <v>1908</v>
      </c>
      <c r="E2052" s="1115" t="s">
        <v>1877</v>
      </c>
      <c r="F2052" s="1115" t="n">
        <v>19610</v>
      </c>
      <c r="G2052" s="1115" t="n">
        <v>55950</v>
      </c>
      <c r="H2052" s="1115" t="s">
        <v>881</v>
      </c>
      <c r="I2052" s="1115" t="n">
        <v>54490</v>
      </c>
      <c r="J2052" s="1115" t="s">
        <v>1640</v>
      </c>
    </row>
    <row r="2053" customFormat="false" ht="14.1" hidden="false" customHeight="true" outlineLevel="0" collapsed="false">
      <c r="A2053" s="1115" t="n">
        <v>54480</v>
      </c>
      <c r="B2053" s="1115" t="s">
        <v>163</v>
      </c>
      <c r="C2053" s="1115" t="n">
        <v>54480</v>
      </c>
      <c r="D2053" s="1115" t="s">
        <v>3186</v>
      </c>
      <c r="E2053" s="1115" t="s">
        <v>2478</v>
      </c>
      <c r="F2053" s="1115" t="n">
        <v>34410</v>
      </c>
      <c r="G2053" s="1115" t="n">
        <v>56100</v>
      </c>
      <c r="H2053" s="1115" t="s">
        <v>1449</v>
      </c>
      <c r="I2053" s="1115" t="n">
        <v>54500</v>
      </c>
      <c r="J2053" s="1115" t="s">
        <v>1640</v>
      </c>
    </row>
    <row r="2054" customFormat="false" ht="14.1" hidden="false" customHeight="true" outlineLevel="0" collapsed="false">
      <c r="A2054" s="1115" t="n">
        <v>54490</v>
      </c>
      <c r="B2054" s="1115" t="s">
        <v>163</v>
      </c>
      <c r="C2054" s="1115" t="n">
        <v>54490</v>
      </c>
      <c r="D2054" s="1115" t="s">
        <v>755</v>
      </c>
      <c r="E2054" s="1115" t="s">
        <v>2479</v>
      </c>
      <c r="F2054" s="1115" t="n">
        <v>34420</v>
      </c>
      <c r="G2054" s="1115" t="n">
        <v>56130</v>
      </c>
      <c r="H2054" s="1115" t="s">
        <v>3225</v>
      </c>
      <c r="I2054" s="1115" t="n">
        <v>54510</v>
      </c>
      <c r="J2054" s="1115" t="s">
        <v>1640</v>
      </c>
    </row>
    <row r="2055" customFormat="false" ht="14.1" hidden="false" customHeight="true" outlineLevel="0" collapsed="false">
      <c r="A2055" s="1115" t="n">
        <v>54500</v>
      </c>
      <c r="B2055" s="1115" t="s">
        <v>163</v>
      </c>
      <c r="C2055" s="1115" t="n">
        <v>54500</v>
      </c>
      <c r="D2055" s="1115" t="s">
        <v>3189</v>
      </c>
      <c r="E2055" s="1115" t="s">
        <v>2368</v>
      </c>
      <c r="F2055" s="1115" t="n">
        <v>31660</v>
      </c>
      <c r="G2055" s="1115" t="n">
        <v>56140</v>
      </c>
      <c r="H2055" s="1115" t="s">
        <v>3226</v>
      </c>
      <c r="I2055" s="1115" t="n">
        <v>54530</v>
      </c>
      <c r="J2055" s="1115" t="s">
        <v>1640</v>
      </c>
    </row>
    <row r="2056" customFormat="false" ht="14.1" hidden="false" customHeight="true" outlineLevel="0" collapsed="false">
      <c r="A2056" s="1115" t="n">
        <v>54510</v>
      </c>
      <c r="B2056" s="1115" t="s">
        <v>163</v>
      </c>
      <c r="C2056" s="1115" t="n">
        <v>54510</v>
      </c>
      <c r="D2056" s="1115" t="s">
        <v>3190</v>
      </c>
      <c r="E2056" s="1115" t="s">
        <v>2792</v>
      </c>
      <c r="F2056" s="1115" t="n">
        <v>41590</v>
      </c>
      <c r="G2056" s="1115" t="n">
        <v>56210</v>
      </c>
      <c r="H2056" s="1115" t="s">
        <v>3227</v>
      </c>
      <c r="I2056" s="1115" t="n">
        <v>54550</v>
      </c>
      <c r="J2056" s="1115" t="s">
        <v>1640</v>
      </c>
    </row>
    <row r="2057" customFormat="false" ht="14.1" hidden="false" customHeight="true" outlineLevel="0" collapsed="false">
      <c r="A2057" s="1115" t="n">
        <v>54530</v>
      </c>
      <c r="B2057" s="1115" t="s">
        <v>163</v>
      </c>
      <c r="C2057" s="1115" t="n">
        <v>54530</v>
      </c>
      <c r="D2057" s="1115" t="s">
        <v>1201</v>
      </c>
      <c r="E2057" s="1115" t="s">
        <v>3228</v>
      </c>
      <c r="F2057" s="1115" t="n">
        <v>93760</v>
      </c>
      <c r="G2057" s="1115" t="n">
        <v>56230</v>
      </c>
      <c r="H2057" s="1115" t="s">
        <v>2611</v>
      </c>
      <c r="I2057" s="1115" t="n">
        <v>54580</v>
      </c>
      <c r="J2057" s="1115" t="s">
        <v>1640</v>
      </c>
    </row>
    <row r="2058" customFormat="false" ht="14.1" hidden="false" customHeight="true" outlineLevel="0" collapsed="false">
      <c r="A2058" s="1115" t="n">
        <v>54550</v>
      </c>
      <c r="B2058" s="1115" t="s">
        <v>163</v>
      </c>
      <c r="C2058" s="1115" t="n">
        <v>54550</v>
      </c>
      <c r="D2058" s="1115" t="s">
        <v>3193</v>
      </c>
      <c r="E2058" s="1115" t="s">
        <v>2492</v>
      </c>
      <c r="F2058" s="1115" t="n">
        <v>34640</v>
      </c>
      <c r="G2058" s="1115" t="n">
        <v>56250</v>
      </c>
      <c r="H2058" s="1115" t="s">
        <v>1111</v>
      </c>
      <c r="I2058" s="1115" t="n">
        <v>54610</v>
      </c>
      <c r="J2058" s="1115" t="s">
        <v>1640</v>
      </c>
    </row>
    <row r="2059" customFormat="false" ht="14.1" hidden="false" customHeight="true" outlineLevel="0" collapsed="false">
      <c r="A2059" s="1115" t="n">
        <v>54580</v>
      </c>
      <c r="B2059" s="1115" t="s">
        <v>163</v>
      </c>
      <c r="C2059" s="1115" t="n">
        <v>54580</v>
      </c>
      <c r="D2059" s="1115" t="s">
        <v>3194</v>
      </c>
      <c r="E2059" s="1115" t="s">
        <v>2539</v>
      </c>
      <c r="F2059" s="1115" t="n">
        <v>35850</v>
      </c>
      <c r="G2059" s="1115" t="n">
        <v>56270</v>
      </c>
      <c r="H2059" s="1115" t="s">
        <v>2034</v>
      </c>
      <c r="I2059" s="1115" t="n">
        <v>54620</v>
      </c>
      <c r="J2059" s="1115" t="s">
        <v>1640</v>
      </c>
    </row>
    <row r="2060" customFormat="false" ht="14.1" hidden="false" customHeight="true" outlineLevel="0" collapsed="false">
      <c r="A2060" s="1115" t="n">
        <v>54610</v>
      </c>
      <c r="B2060" s="1115" t="s">
        <v>163</v>
      </c>
      <c r="C2060" s="1115" t="n">
        <v>54610</v>
      </c>
      <c r="D2060" s="1115" t="s">
        <v>1075</v>
      </c>
      <c r="E2060" s="1115" t="s">
        <v>3229</v>
      </c>
      <c r="F2060" s="1115" t="n">
        <v>62280</v>
      </c>
      <c r="G2060" s="1115" t="n">
        <v>56280</v>
      </c>
      <c r="H2060" s="1115" t="s">
        <v>2843</v>
      </c>
      <c r="I2060" s="1115" t="n">
        <v>54630</v>
      </c>
      <c r="J2060" s="1115" t="s">
        <v>1640</v>
      </c>
    </row>
    <row r="2061" customFormat="false" ht="14.1" hidden="false" customHeight="true" outlineLevel="0" collapsed="false">
      <c r="A2061" s="1115" t="n">
        <v>54620</v>
      </c>
      <c r="B2061" s="1115" t="s">
        <v>163</v>
      </c>
      <c r="C2061" s="1115" t="n">
        <v>54620</v>
      </c>
      <c r="D2061" s="1115" t="s">
        <v>3195</v>
      </c>
      <c r="E2061" s="1115" t="s">
        <v>2333</v>
      </c>
      <c r="F2061" s="1115" t="n">
        <v>31310</v>
      </c>
      <c r="G2061" s="1115" t="n">
        <v>56310</v>
      </c>
      <c r="H2061" s="1115" t="s">
        <v>3230</v>
      </c>
      <c r="I2061" s="1115" t="n">
        <v>54640</v>
      </c>
      <c r="J2061" s="1115" t="s">
        <v>1640</v>
      </c>
    </row>
    <row r="2062" customFormat="false" ht="14.1" hidden="false" customHeight="true" outlineLevel="0" collapsed="false">
      <c r="A2062" s="1115" t="n">
        <v>54630</v>
      </c>
      <c r="B2062" s="1115" t="s">
        <v>163</v>
      </c>
      <c r="C2062" s="1115" t="n">
        <v>54630</v>
      </c>
      <c r="D2062" s="1115" t="s">
        <v>3196</v>
      </c>
      <c r="E2062" s="1115" t="s">
        <v>2635</v>
      </c>
      <c r="F2062" s="1115" t="n">
        <v>38430</v>
      </c>
      <c r="G2062" s="1115" t="n">
        <v>56330</v>
      </c>
      <c r="H2062" s="1115" t="s">
        <v>3231</v>
      </c>
      <c r="I2062" s="1115" t="n">
        <v>54670</v>
      </c>
      <c r="J2062" s="1115" t="s">
        <v>1481</v>
      </c>
    </row>
    <row r="2063" customFormat="false" ht="14.1" hidden="false" customHeight="true" outlineLevel="0" collapsed="false">
      <c r="A2063" s="1115" t="n">
        <v>54640</v>
      </c>
      <c r="B2063" s="1115" t="s">
        <v>163</v>
      </c>
      <c r="C2063" s="1115" t="n">
        <v>54640</v>
      </c>
      <c r="D2063" s="1115" t="s">
        <v>3197</v>
      </c>
      <c r="E2063" s="1115" t="s">
        <v>3232</v>
      </c>
      <c r="F2063" s="1115" t="n">
        <v>71380</v>
      </c>
      <c r="G2063" s="1115" t="n">
        <v>56350</v>
      </c>
      <c r="H2063" s="1115" t="s">
        <v>2774</v>
      </c>
      <c r="I2063" s="1115" t="n">
        <v>54710</v>
      </c>
      <c r="J2063" s="1115" t="s">
        <v>1160</v>
      </c>
    </row>
    <row r="2064" customFormat="false" ht="14.1" hidden="false" customHeight="true" outlineLevel="0" collapsed="false">
      <c r="A2064" s="1115" t="n">
        <v>54670</v>
      </c>
      <c r="B2064" s="1115" t="s">
        <v>163</v>
      </c>
      <c r="C2064" s="1115" t="n">
        <v>54670</v>
      </c>
      <c r="D2064" s="1115" t="s">
        <v>1889</v>
      </c>
      <c r="E2064" s="1115" t="s">
        <v>3233</v>
      </c>
      <c r="F2064" s="1115" t="n">
        <v>79220</v>
      </c>
      <c r="G2064" s="1115" t="n">
        <v>56370</v>
      </c>
      <c r="H2064" s="1115" t="s">
        <v>1485</v>
      </c>
      <c r="I2064" s="1115" t="n">
        <v>54715</v>
      </c>
      <c r="J2064" s="1115" t="s">
        <v>1160</v>
      </c>
    </row>
    <row r="2065" customFormat="false" ht="14.1" hidden="false" customHeight="true" outlineLevel="0" collapsed="false">
      <c r="A2065" s="1115" t="n">
        <v>54710</v>
      </c>
      <c r="B2065" s="1115" t="s">
        <v>163</v>
      </c>
      <c r="C2065" s="1115" t="n">
        <v>54710</v>
      </c>
      <c r="D2065" s="1115" t="s">
        <v>1160</v>
      </c>
      <c r="E2065" s="1115" t="s">
        <v>1553</v>
      </c>
      <c r="F2065" s="1115" t="n">
        <v>10360</v>
      </c>
      <c r="G2065" s="1115" t="n">
        <v>56410</v>
      </c>
      <c r="H2065" s="1115" t="s">
        <v>2158</v>
      </c>
      <c r="I2065" s="1115" t="n">
        <v>54720</v>
      </c>
      <c r="J2065" s="1115" t="s">
        <v>1160</v>
      </c>
    </row>
    <row r="2066" customFormat="false" ht="14.1" hidden="false" customHeight="true" outlineLevel="0" collapsed="false">
      <c r="A2066" s="1115" t="n">
        <v>54715</v>
      </c>
      <c r="B2066" s="1115" t="s">
        <v>163</v>
      </c>
      <c r="C2066" s="1115" t="n">
        <v>54715</v>
      </c>
      <c r="D2066" s="1115" t="s">
        <v>3198</v>
      </c>
      <c r="E2066" s="1115" t="s">
        <v>2462</v>
      </c>
      <c r="F2066" s="1115" t="n">
        <v>34140</v>
      </c>
      <c r="G2066" s="1115" t="n">
        <v>56440</v>
      </c>
      <c r="H2066" s="1115" t="s">
        <v>3234</v>
      </c>
      <c r="I2066" s="1115" t="n">
        <v>54740</v>
      </c>
      <c r="J2066" s="1115" t="s">
        <v>1160</v>
      </c>
    </row>
    <row r="2067" customFormat="false" ht="14.1" hidden="false" customHeight="true" outlineLevel="0" collapsed="false">
      <c r="A2067" s="1115" t="n">
        <v>54720</v>
      </c>
      <c r="B2067" s="1115" t="s">
        <v>163</v>
      </c>
      <c r="C2067" s="1115" t="n">
        <v>54720</v>
      </c>
      <c r="D2067" s="1115" t="s">
        <v>2879</v>
      </c>
      <c r="E2067" s="1115" t="s">
        <v>3235</v>
      </c>
      <c r="F2067" s="1115" t="n">
        <v>82997</v>
      </c>
      <c r="G2067" s="1115" t="n">
        <v>56460</v>
      </c>
      <c r="H2067" s="1115" t="s">
        <v>3236</v>
      </c>
      <c r="I2067" s="1115" t="n">
        <v>54750</v>
      </c>
      <c r="J2067" s="1115" t="s">
        <v>1160</v>
      </c>
    </row>
    <row r="2068" customFormat="false" ht="14.1" hidden="false" customHeight="true" outlineLevel="0" collapsed="false">
      <c r="A2068" s="1115" t="n">
        <v>54740</v>
      </c>
      <c r="B2068" s="1115" t="s">
        <v>163</v>
      </c>
      <c r="C2068" s="1115" t="n">
        <v>54740</v>
      </c>
      <c r="D2068" s="1115" t="s">
        <v>3199</v>
      </c>
      <c r="E2068" s="1115" t="s">
        <v>3237</v>
      </c>
      <c r="F2068" s="1115" t="n">
        <v>83820</v>
      </c>
      <c r="G2068" s="1115" t="n">
        <v>56510</v>
      </c>
      <c r="H2068" s="1115" t="s">
        <v>3238</v>
      </c>
      <c r="I2068" s="1115" t="n">
        <v>54760</v>
      </c>
      <c r="J2068" s="1115" t="s">
        <v>1160</v>
      </c>
    </row>
    <row r="2069" customFormat="false" ht="14.1" hidden="false" customHeight="true" outlineLevel="0" collapsed="false">
      <c r="A2069" s="1115" t="n">
        <v>54750</v>
      </c>
      <c r="B2069" s="1115" t="s">
        <v>163</v>
      </c>
      <c r="C2069" s="1115" t="n">
        <v>54750</v>
      </c>
      <c r="D2069" s="1115" t="s">
        <v>3201</v>
      </c>
      <c r="E2069" s="1115" t="s">
        <v>3239</v>
      </c>
      <c r="F2069" s="1115" t="n">
        <v>93185</v>
      </c>
      <c r="G2069" s="1115" t="n">
        <v>56550</v>
      </c>
      <c r="H2069" s="1115" t="s">
        <v>3240</v>
      </c>
      <c r="I2069" s="1115" t="n">
        <v>54770</v>
      </c>
      <c r="J2069" s="1115" t="s">
        <v>1160</v>
      </c>
    </row>
    <row r="2070" customFormat="false" ht="14.1" hidden="false" customHeight="true" outlineLevel="0" collapsed="false">
      <c r="A2070" s="1115" t="n">
        <v>54760</v>
      </c>
      <c r="B2070" s="1115" t="s">
        <v>163</v>
      </c>
      <c r="C2070" s="1115" t="n">
        <v>54760</v>
      </c>
      <c r="D2070" s="1115" t="s">
        <v>2769</v>
      </c>
      <c r="E2070" s="1115" t="s">
        <v>40</v>
      </c>
      <c r="F2070" s="1115" t="n">
        <v>40950</v>
      </c>
      <c r="G2070" s="1115" t="n">
        <v>56610</v>
      </c>
      <c r="H2070" s="1115" t="s">
        <v>1429</v>
      </c>
      <c r="I2070" s="1115" t="n">
        <v>54780</v>
      </c>
      <c r="J2070" s="1115" t="s">
        <v>1160</v>
      </c>
    </row>
    <row r="2071" customFormat="false" ht="14.1" hidden="false" customHeight="true" outlineLevel="0" collapsed="false">
      <c r="A2071" s="1115" t="n">
        <v>54770</v>
      </c>
      <c r="B2071" s="1115" t="s">
        <v>163</v>
      </c>
      <c r="C2071" s="1115" t="n">
        <v>54770</v>
      </c>
      <c r="D2071" s="1115" t="s">
        <v>1549</v>
      </c>
      <c r="E2071" s="1115" t="s">
        <v>2929</v>
      </c>
      <c r="F2071" s="1115" t="n">
        <v>44880</v>
      </c>
      <c r="G2071" s="1115" t="n">
        <v>56620</v>
      </c>
      <c r="H2071" s="1115" t="s">
        <v>1429</v>
      </c>
      <c r="I2071" s="1115" t="n">
        <v>54800</v>
      </c>
      <c r="J2071" s="1115" t="s">
        <v>1160</v>
      </c>
    </row>
    <row r="2072" customFormat="false" ht="14.1" hidden="false" customHeight="true" outlineLevel="0" collapsed="false">
      <c r="A2072" s="1115" t="n">
        <v>54780</v>
      </c>
      <c r="B2072" s="1115" t="s">
        <v>163</v>
      </c>
      <c r="C2072" s="1115" t="n">
        <v>54780</v>
      </c>
      <c r="D2072" s="1115" t="s">
        <v>3203</v>
      </c>
      <c r="E2072" s="1115" t="s">
        <v>3031</v>
      </c>
      <c r="F2072" s="1115" t="n">
        <v>49730</v>
      </c>
      <c r="G2072" s="1115" t="n">
        <v>56640</v>
      </c>
      <c r="H2072" s="1115" t="s">
        <v>3241</v>
      </c>
      <c r="I2072" s="1115" t="n">
        <v>54820</v>
      </c>
      <c r="J2072" s="1115" t="s">
        <v>1160</v>
      </c>
    </row>
    <row r="2073" customFormat="false" ht="14.1" hidden="false" customHeight="true" outlineLevel="0" collapsed="false">
      <c r="A2073" s="1115" t="n">
        <v>54800</v>
      </c>
      <c r="B2073" s="1115" t="s">
        <v>163</v>
      </c>
      <c r="C2073" s="1115" t="n">
        <v>54800</v>
      </c>
      <c r="D2073" s="1115" t="s">
        <v>1481</v>
      </c>
      <c r="E2073" s="1115" t="s">
        <v>1245</v>
      </c>
      <c r="F2073" s="1115" t="n">
        <v>25130</v>
      </c>
      <c r="G2073" s="1115" t="n">
        <v>56710</v>
      </c>
      <c r="H2073" s="1115" t="s">
        <v>3191</v>
      </c>
      <c r="I2073" s="1115" t="n">
        <v>54830</v>
      </c>
      <c r="J2073" s="1115" t="s">
        <v>1160</v>
      </c>
    </row>
    <row r="2074" customFormat="false" ht="14.1" hidden="false" customHeight="true" outlineLevel="0" collapsed="false">
      <c r="A2074" s="1115" t="n">
        <v>54820</v>
      </c>
      <c r="B2074" s="1115" t="s">
        <v>163</v>
      </c>
      <c r="C2074" s="1115" t="n">
        <v>54820</v>
      </c>
      <c r="D2074" s="1115" t="s">
        <v>2616</v>
      </c>
      <c r="E2074" s="1115" t="s">
        <v>3242</v>
      </c>
      <c r="F2074" s="1115" t="n">
        <v>97140</v>
      </c>
      <c r="G2074" s="1115" t="n">
        <v>56730</v>
      </c>
      <c r="H2074" s="1115" t="s">
        <v>2869</v>
      </c>
      <c r="I2074" s="1115" t="n">
        <v>54840</v>
      </c>
      <c r="J2074" s="1115" t="s">
        <v>1160</v>
      </c>
    </row>
    <row r="2075" customFormat="false" ht="14.1" hidden="false" customHeight="true" outlineLevel="0" collapsed="false">
      <c r="A2075" s="1115" t="n">
        <v>54830</v>
      </c>
      <c r="B2075" s="1115" t="s">
        <v>163</v>
      </c>
      <c r="C2075" s="1115" t="n">
        <v>54830</v>
      </c>
      <c r="D2075" s="1115" t="s">
        <v>2220</v>
      </c>
      <c r="E2075" s="1115" t="s">
        <v>3243</v>
      </c>
      <c r="F2075" s="1115" t="n">
        <v>73460</v>
      </c>
      <c r="G2075" s="1115" t="n">
        <v>56800</v>
      </c>
      <c r="H2075" s="1115" t="s">
        <v>3244</v>
      </c>
      <c r="I2075" s="1115" t="n">
        <v>54850</v>
      </c>
      <c r="J2075" s="1115" t="s">
        <v>1160</v>
      </c>
    </row>
    <row r="2076" customFormat="false" ht="14.1" hidden="false" customHeight="true" outlineLevel="0" collapsed="false">
      <c r="A2076" s="1115" t="n">
        <v>54840</v>
      </c>
      <c r="B2076" s="1115" t="s">
        <v>163</v>
      </c>
      <c r="C2076" s="1115" t="n">
        <v>54840</v>
      </c>
      <c r="D2076" s="1115" t="s">
        <v>3206</v>
      </c>
      <c r="E2076" s="1115" t="s">
        <v>3245</v>
      </c>
      <c r="F2076" s="1115" t="n">
        <v>77770</v>
      </c>
      <c r="G2076" s="1115" t="n">
        <v>56810</v>
      </c>
      <c r="H2076" s="1115" t="s">
        <v>3244</v>
      </c>
      <c r="I2076" s="1115" t="n">
        <v>54880</v>
      </c>
      <c r="J2076" s="1115" t="s">
        <v>1160</v>
      </c>
    </row>
    <row r="2077" customFormat="false" ht="14.1" hidden="false" customHeight="true" outlineLevel="0" collapsed="false">
      <c r="A2077" s="1115" t="n">
        <v>54850</v>
      </c>
      <c r="B2077" s="1115" t="s">
        <v>163</v>
      </c>
      <c r="C2077" s="1115" t="n">
        <v>54850</v>
      </c>
      <c r="D2077" s="1115" t="s">
        <v>2743</v>
      </c>
      <c r="E2077" s="1115" t="s">
        <v>3246</v>
      </c>
      <c r="F2077" s="1115" t="n">
        <v>95120</v>
      </c>
      <c r="G2077" s="1115" t="n">
        <v>56830</v>
      </c>
      <c r="H2077" s="1115" t="s">
        <v>3247</v>
      </c>
      <c r="I2077" s="1115" t="n">
        <v>54915</v>
      </c>
      <c r="J2077" s="1115" t="s">
        <v>1543</v>
      </c>
    </row>
    <row r="2078" customFormat="false" ht="14.1" hidden="false" customHeight="true" outlineLevel="0" collapsed="false">
      <c r="A2078" s="1115" t="n">
        <v>54880</v>
      </c>
      <c r="B2078" s="1115" t="s">
        <v>163</v>
      </c>
      <c r="C2078" s="1115" t="n">
        <v>54880</v>
      </c>
      <c r="D2078" s="1115" t="s">
        <v>3208</v>
      </c>
      <c r="E2078" s="1115" t="s">
        <v>2702</v>
      </c>
      <c r="F2078" s="1115" t="n">
        <v>39550</v>
      </c>
      <c r="G2078" s="1115" t="n">
        <v>56940</v>
      </c>
      <c r="H2078" s="1115" t="s">
        <v>2948</v>
      </c>
      <c r="I2078" s="1115" t="n">
        <v>54920</v>
      </c>
      <c r="J2078" s="1115" t="s">
        <v>1543</v>
      </c>
    </row>
    <row r="2079" customFormat="false" ht="14.1" hidden="false" customHeight="true" outlineLevel="0" collapsed="false">
      <c r="A2079" s="1115" t="n">
        <v>54915</v>
      </c>
      <c r="B2079" s="1115" t="s">
        <v>163</v>
      </c>
      <c r="C2079" s="1115" t="n">
        <v>54915</v>
      </c>
      <c r="D2079" s="1115" t="s">
        <v>3210</v>
      </c>
      <c r="E2079" s="1115" t="s">
        <v>2970</v>
      </c>
      <c r="F2079" s="1115" t="n">
        <v>46800</v>
      </c>
      <c r="G2079" s="1115" t="n">
        <v>57100</v>
      </c>
      <c r="H2079" s="1115" t="s">
        <v>1484</v>
      </c>
      <c r="I2079" s="1115" t="n">
        <v>54930</v>
      </c>
      <c r="J2079" s="1115" t="s">
        <v>1543</v>
      </c>
    </row>
    <row r="2080" customFormat="false" ht="14.1" hidden="false" customHeight="true" outlineLevel="0" collapsed="false">
      <c r="A2080" s="1115" t="n">
        <v>54920</v>
      </c>
      <c r="B2080" s="1115" t="s">
        <v>163</v>
      </c>
      <c r="C2080" s="1115" t="n">
        <v>54920</v>
      </c>
      <c r="D2080" s="1115" t="s">
        <v>1543</v>
      </c>
      <c r="E2080" s="1115" t="s">
        <v>3248</v>
      </c>
      <c r="F2080" s="1115" t="n">
        <v>63900</v>
      </c>
      <c r="G2080" s="1115" t="n">
        <v>57120</v>
      </c>
      <c r="H2080" s="1115" t="s">
        <v>1484</v>
      </c>
      <c r="I2080" s="1115" t="n">
        <v>54940</v>
      </c>
      <c r="J2080" s="1115" t="s">
        <v>1543</v>
      </c>
    </row>
    <row r="2081" customFormat="false" ht="14.1" hidden="false" customHeight="true" outlineLevel="0" collapsed="false">
      <c r="A2081" s="1115" t="n">
        <v>54930</v>
      </c>
      <c r="B2081" s="1115" t="s">
        <v>163</v>
      </c>
      <c r="C2081" s="1115" t="n">
        <v>54930</v>
      </c>
      <c r="D2081" s="1115" t="s">
        <v>2987</v>
      </c>
      <c r="E2081" s="1115" t="s">
        <v>3249</v>
      </c>
      <c r="F2081" s="1115" t="n">
        <v>74680</v>
      </c>
      <c r="G2081" s="1115" t="n">
        <v>57130</v>
      </c>
      <c r="H2081" s="1115" t="s">
        <v>1484</v>
      </c>
      <c r="I2081" s="1115" t="n">
        <v>54950</v>
      </c>
      <c r="J2081" s="1115" t="s">
        <v>1543</v>
      </c>
    </row>
    <row r="2082" customFormat="false" ht="14.1" hidden="false" customHeight="true" outlineLevel="0" collapsed="false">
      <c r="A2082" s="1115" t="n">
        <v>54940</v>
      </c>
      <c r="B2082" s="1115" t="s">
        <v>163</v>
      </c>
      <c r="C2082" s="1115" t="n">
        <v>54940</v>
      </c>
      <c r="D2082" s="1115" t="s">
        <v>3212</v>
      </c>
      <c r="E2082" s="1115" t="s">
        <v>1845</v>
      </c>
      <c r="F2082" s="1115" t="n">
        <v>18600</v>
      </c>
      <c r="G2082" s="1115" t="n">
        <v>57150</v>
      </c>
      <c r="H2082" s="1115" t="s">
        <v>3250</v>
      </c>
      <c r="I2082" s="1115" t="n">
        <v>54960</v>
      </c>
      <c r="J2082" s="1115" t="s">
        <v>1543</v>
      </c>
    </row>
    <row r="2083" customFormat="false" ht="14.1" hidden="false" customHeight="true" outlineLevel="0" collapsed="false">
      <c r="A2083" s="1115" t="n">
        <v>54950</v>
      </c>
      <c r="B2083" s="1115" t="s">
        <v>163</v>
      </c>
      <c r="C2083" s="1115" t="n">
        <v>54950</v>
      </c>
      <c r="D2083" s="1115" t="s">
        <v>3214</v>
      </c>
      <c r="E2083" s="1115" t="s">
        <v>3251</v>
      </c>
      <c r="F2083" s="1115" t="n">
        <v>61220</v>
      </c>
      <c r="G2083" s="1115" t="n">
        <v>57170</v>
      </c>
      <c r="H2083" s="1115" t="s">
        <v>1484</v>
      </c>
      <c r="I2083" s="1115" t="n">
        <v>54980</v>
      </c>
      <c r="J2083" s="1115" t="s">
        <v>1543</v>
      </c>
    </row>
    <row r="2084" customFormat="false" ht="14.1" hidden="false" customHeight="true" outlineLevel="0" collapsed="false">
      <c r="A2084" s="1115" t="n">
        <v>54960</v>
      </c>
      <c r="B2084" s="1115" t="s">
        <v>163</v>
      </c>
      <c r="C2084" s="1115" t="n">
        <v>54960</v>
      </c>
      <c r="D2084" s="1115" t="s">
        <v>3216</v>
      </c>
      <c r="E2084" s="1115" t="s">
        <v>3138</v>
      </c>
      <c r="F2084" s="1115" t="n">
        <v>52760</v>
      </c>
      <c r="G2084" s="1115" t="n">
        <v>57200</v>
      </c>
      <c r="H2084" s="1115" t="s">
        <v>1484</v>
      </c>
      <c r="I2084" s="1115" t="n">
        <v>54990</v>
      </c>
      <c r="J2084" s="1115" t="s">
        <v>1543</v>
      </c>
    </row>
    <row r="2085" customFormat="false" ht="14.1" hidden="false" customHeight="true" outlineLevel="0" collapsed="false">
      <c r="A2085" s="1115" t="n">
        <v>54980</v>
      </c>
      <c r="B2085" s="1115" t="s">
        <v>163</v>
      </c>
      <c r="C2085" s="1115" t="n">
        <v>54980</v>
      </c>
      <c r="D2085" s="1115" t="s">
        <v>3217</v>
      </c>
      <c r="E2085" s="1115" t="s">
        <v>1246</v>
      </c>
      <c r="F2085" s="1115" t="n">
        <v>23100</v>
      </c>
      <c r="G2085" s="1115" t="n">
        <v>57210</v>
      </c>
      <c r="H2085" s="1115" t="s">
        <v>1484</v>
      </c>
      <c r="I2085" s="1115" t="n">
        <v>55100</v>
      </c>
      <c r="J2085" s="1115" t="s">
        <v>881</v>
      </c>
    </row>
    <row r="2086" customFormat="false" ht="14.1" hidden="false" customHeight="true" outlineLevel="0" collapsed="false">
      <c r="A2086" s="1115" t="n">
        <v>54990</v>
      </c>
      <c r="B2086" s="1115" t="s">
        <v>163</v>
      </c>
      <c r="C2086" s="1115" t="n">
        <v>54990</v>
      </c>
      <c r="D2086" s="1115" t="s">
        <v>3218</v>
      </c>
      <c r="E2086" s="1115" t="s">
        <v>1246</v>
      </c>
      <c r="F2086" s="1115" t="n">
        <v>23110</v>
      </c>
      <c r="G2086" s="1115" t="n">
        <v>57220</v>
      </c>
      <c r="H2086" s="1115" t="s">
        <v>1484</v>
      </c>
      <c r="I2086" s="1115" t="n">
        <v>55120</v>
      </c>
      <c r="J2086" s="1115" t="s">
        <v>881</v>
      </c>
    </row>
    <row r="2087" customFormat="false" ht="14.1" hidden="false" customHeight="true" outlineLevel="0" collapsed="false">
      <c r="A2087" s="1115" t="n">
        <v>55100</v>
      </c>
      <c r="B2087" s="1115" t="s">
        <v>163</v>
      </c>
      <c r="C2087" s="1115" t="n">
        <v>55100</v>
      </c>
      <c r="D2087" s="1115" t="s">
        <v>881</v>
      </c>
      <c r="E2087" s="1115" t="s">
        <v>3252</v>
      </c>
      <c r="F2087" s="1115" t="n">
        <v>64370</v>
      </c>
      <c r="G2087" s="1115" t="n">
        <v>57230</v>
      </c>
      <c r="H2087" s="1115" t="s">
        <v>1484</v>
      </c>
      <c r="I2087" s="1115" t="n">
        <v>55300</v>
      </c>
      <c r="J2087" s="1115" t="s">
        <v>881</v>
      </c>
    </row>
    <row r="2088" customFormat="false" ht="14.1" hidden="false" customHeight="true" outlineLevel="0" collapsed="false">
      <c r="A2088" s="1115" t="n">
        <v>55120</v>
      </c>
      <c r="B2088" s="1115" t="s">
        <v>163</v>
      </c>
      <c r="C2088" s="1115" t="n">
        <v>55120</v>
      </c>
      <c r="D2088" s="1115" t="s">
        <v>881</v>
      </c>
      <c r="E2088" s="1115" t="s">
        <v>1247</v>
      </c>
      <c r="F2088" s="1115" t="n">
        <v>7600</v>
      </c>
      <c r="G2088" s="1115" t="n">
        <v>57310</v>
      </c>
      <c r="H2088" s="1115" t="s">
        <v>1484</v>
      </c>
      <c r="I2088" s="1115" t="n">
        <v>55320</v>
      </c>
      <c r="J2088" s="1115" t="s">
        <v>881</v>
      </c>
    </row>
    <row r="2089" customFormat="false" ht="14.1" hidden="false" customHeight="true" outlineLevel="0" collapsed="false">
      <c r="A2089" s="1115" t="n">
        <v>55300</v>
      </c>
      <c r="B2089" s="1115" t="s">
        <v>163</v>
      </c>
      <c r="C2089" s="1115" t="n">
        <v>55300</v>
      </c>
      <c r="D2089" s="1115" t="s">
        <v>3220</v>
      </c>
      <c r="E2089" s="1115" t="s">
        <v>2647</v>
      </c>
      <c r="F2089" s="1115" t="n">
        <v>38640</v>
      </c>
      <c r="G2089" s="1115" t="n">
        <v>57510</v>
      </c>
      <c r="H2089" s="1115" t="s">
        <v>1484</v>
      </c>
      <c r="I2089" s="1115" t="n">
        <v>55330</v>
      </c>
      <c r="J2089" s="1115" t="s">
        <v>881</v>
      </c>
    </row>
    <row r="2090" customFormat="false" ht="14.1" hidden="false" customHeight="true" outlineLevel="0" collapsed="false">
      <c r="A2090" s="1115" t="n">
        <v>55320</v>
      </c>
      <c r="B2090" s="1115" t="s">
        <v>163</v>
      </c>
      <c r="C2090" s="1115" t="n">
        <v>55320</v>
      </c>
      <c r="D2090" s="1115" t="s">
        <v>3220</v>
      </c>
      <c r="E2090" s="1115" t="s">
        <v>1691</v>
      </c>
      <c r="F2090" s="1115" t="n">
        <v>15460</v>
      </c>
      <c r="G2090" s="1115" t="n">
        <v>57600</v>
      </c>
      <c r="H2090" s="1115" t="s">
        <v>1484</v>
      </c>
      <c r="I2090" s="1115" t="n">
        <v>55400</v>
      </c>
      <c r="J2090" s="1115" t="s">
        <v>881</v>
      </c>
    </row>
    <row r="2091" customFormat="false" ht="14.1" hidden="false" customHeight="true" outlineLevel="0" collapsed="false">
      <c r="A2091" s="1115" t="n">
        <v>55330</v>
      </c>
      <c r="B2091" s="1115" t="s">
        <v>163</v>
      </c>
      <c r="C2091" s="1115" t="n">
        <v>55330</v>
      </c>
      <c r="D2091" s="1115" t="s">
        <v>3221</v>
      </c>
      <c r="E2091" s="1115" t="s">
        <v>3253</v>
      </c>
      <c r="F2091" s="1115" t="n">
        <v>58165</v>
      </c>
      <c r="G2091" s="1115" t="n">
        <v>57710</v>
      </c>
      <c r="H2091" s="1115" t="s">
        <v>1484</v>
      </c>
      <c r="I2091" s="1115" t="n">
        <v>55420</v>
      </c>
      <c r="J2091" s="1115" t="s">
        <v>881</v>
      </c>
    </row>
    <row r="2092" customFormat="false" ht="14.1" hidden="false" customHeight="true" outlineLevel="0" collapsed="false">
      <c r="A2092" s="1115" t="n">
        <v>55400</v>
      </c>
      <c r="B2092" s="1115" t="s">
        <v>163</v>
      </c>
      <c r="C2092" s="1115" t="n">
        <v>55400</v>
      </c>
      <c r="D2092" s="1115" t="s">
        <v>881</v>
      </c>
      <c r="E2092" s="1115" t="s">
        <v>3254</v>
      </c>
      <c r="F2092" s="1115" t="n">
        <v>62185</v>
      </c>
      <c r="G2092" s="1115" t="n">
        <v>57810</v>
      </c>
      <c r="H2092" s="1115" t="s">
        <v>1484</v>
      </c>
      <c r="I2092" s="1115" t="n">
        <v>55510</v>
      </c>
      <c r="J2092" s="1115" t="s">
        <v>881</v>
      </c>
    </row>
    <row r="2093" customFormat="false" ht="14.1" hidden="false" customHeight="true" outlineLevel="0" collapsed="false">
      <c r="A2093" s="1115" t="n">
        <v>55420</v>
      </c>
      <c r="B2093" s="1115" t="s">
        <v>163</v>
      </c>
      <c r="C2093" s="1115" t="n">
        <v>55420</v>
      </c>
      <c r="D2093" s="1115" t="s">
        <v>881</v>
      </c>
      <c r="E2093" s="1115" t="s">
        <v>3255</v>
      </c>
      <c r="F2093" s="1115" t="n">
        <v>92710</v>
      </c>
      <c r="G2093" s="1115" t="n">
        <v>58110</v>
      </c>
      <c r="H2093" s="1115" t="s">
        <v>3256</v>
      </c>
      <c r="I2093" s="1115" t="n">
        <v>55610</v>
      </c>
      <c r="J2093" s="1115" t="s">
        <v>881</v>
      </c>
    </row>
    <row r="2094" customFormat="false" ht="14.1" hidden="false" customHeight="true" outlineLevel="0" collapsed="false">
      <c r="A2094" s="1115" t="n">
        <v>55510</v>
      </c>
      <c r="B2094" s="1115" t="s">
        <v>163</v>
      </c>
      <c r="C2094" s="1115" t="n">
        <v>55510</v>
      </c>
      <c r="D2094" s="1115" t="s">
        <v>881</v>
      </c>
      <c r="E2094" s="1115" t="s">
        <v>3257</v>
      </c>
      <c r="F2094" s="1115" t="n">
        <v>98610</v>
      </c>
      <c r="G2094" s="1115" t="n">
        <v>58115</v>
      </c>
      <c r="H2094" s="1115" t="s">
        <v>1473</v>
      </c>
      <c r="I2094" s="1115" t="n">
        <v>55700</v>
      </c>
      <c r="J2094" s="1115" t="s">
        <v>881</v>
      </c>
    </row>
    <row r="2095" customFormat="false" ht="14.1" hidden="false" customHeight="true" outlineLevel="0" collapsed="false">
      <c r="A2095" s="1115" t="n">
        <v>55610</v>
      </c>
      <c r="B2095" s="1115" t="s">
        <v>163</v>
      </c>
      <c r="C2095" s="1115" t="n">
        <v>55610</v>
      </c>
      <c r="D2095" s="1115" t="s">
        <v>881</v>
      </c>
      <c r="E2095" s="1115" t="s">
        <v>2890</v>
      </c>
      <c r="F2095" s="1115" t="n">
        <v>44130</v>
      </c>
      <c r="G2095" s="1115" t="n">
        <v>58120</v>
      </c>
      <c r="H2095" s="1115" t="s">
        <v>2073</v>
      </c>
      <c r="I2095" s="1115" t="n">
        <v>55800</v>
      </c>
      <c r="J2095" s="1115" t="s">
        <v>881</v>
      </c>
    </row>
    <row r="2096" customFormat="false" ht="14.1" hidden="false" customHeight="true" outlineLevel="0" collapsed="false">
      <c r="A2096" s="1115" t="n">
        <v>55700</v>
      </c>
      <c r="B2096" s="1115" t="s">
        <v>163</v>
      </c>
      <c r="C2096" s="1115" t="n">
        <v>55700</v>
      </c>
      <c r="D2096" s="1115" t="s">
        <v>881</v>
      </c>
      <c r="E2096" s="1115" t="s">
        <v>3040</v>
      </c>
      <c r="F2096" s="1115" t="n">
        <v>49840</v>
      </c>
      <c r="G2096" s="1115" t="n">
        <v>58130</v>
      </c>
      <c r="H2096" s="1115" t="s">
        <v>3258</v>
      </c>
      <c r="I2096" s="1115" t="n">
        <v>55910</v>
      </c>
      <c r="J2096" s="1115" t="s">
        <v>881</v>
      </c>
    </row>
    <row r="2097" customFormat="false" ht="14.1" hidden="false" customHeight="true" outlineLevel="0" collapsed="false">
      <c r="A2097" s="1115" t="n">
        <v>55800</v>
      </c>
      <c r="B2097" s="1115" t="s">
        <v>163</v>
      </c>
      <c r="C2097" s="1115" t="n">
        <v>55800</v>
      </c>
      <c r="D2097" s="1115" t="s">
        <v>881</v>
      </c>
      <c r="E2097" s="1115" t="s">
        <v>1248</v>
      </c>
      <c r="F2097" s="1115" t="n">
        <v>4600</v>
      </c>
      <c r="G2097" s="1115" t="n">
        <v>58140</v>
      </c>
      <c r="H2097" s="1115" t="s">
        <v>775</v>
      </c>
      <c r="I2097" s="1115" t="n">
        <v>55950</v>
      </c>
      <c r="J2097" s="1115" t="s">
        <v>881</v>
      </c>
    </row>
    <row r="2098" customFormat="false" ht="14.1" hidden="false" customHeight="true" outlineLevel="0" collapsed="false">
      <c r="A2098" s="1115" t="n">
        <v>55910</v>
      </c>
      <c r="B2098" s="1115" t="s">
        <v>163</v>
      </c>
      <c r="C2098" s="1115" t="n">
        <v>55910</v>
      </c>
      <c r="D2098" s="1115" t="s">
        <v>881</v>
      </c>
      <c r="E2098" s="1115" t="s">
        <v>1251</v>
      </c>
      <c r="F2098" s="1115" t="n">
        <v>35800</v>
      </c>
      <c r="G2098" s="1115" t="n">
        <v>58150</v>
      </c>
      <c r="H2098" s="1115" t="s">
        <v>3113</v>
      </c>
      <c r="I2098" s="1115" t="n">
        <v>56100</v>
      </c>
      <c r="J2098" s="1115" t="s">
        <v>1449</v>
      </c>
    </row>
    <row r="2099" customFormat="false" ht="14.1" hidden="false" customHeight="true" outlineLevel="0" collapsed="false">
      <c r="A2099" s="1115" t="n">
        <v>55950</v>
      </c>
      <c r="B2099" s="1115" t="s">
        <v>163</v>
      </c>
      <c r="C2099" s="1115" t="n">
        <v>55950</v>
      </c>
      <c r="D2099" s="1115" t="s">
        <v>881</v>
      </c>
      <c r="E2099" s="1115" t="s">
        <v>1251</v>
      </c>
      <c r="F2099" s="1115" t="n">
        <v>35820</v>
      </c>
      <c r="G2099" s="1115" t="n">
        <v>58160</v>
      </c>
      <c r="H2099" s="1115" t="s">
        <v>2287</v>
      </c>
      <c r="I2099" s="1115" t="n">
        <v>56130</v>
      </c>
      <c r="J2099" s="1115" t="s">
        <v>1449</v>
      </c>
    </row>
    <row r="2100" customFormat="false" ht="14.1" hidden="false" customHeight="true" outlineLevel="0" collapsed="false">
      <c r="A2100" s="1115" t="n">
        <v>56100</v>
      </c>
      <c r="B2100" s="1115" t="s">
        <v>163</v>
      </c>
      <c r="C2100" s="1115" t="n">
        <v>56100</v>
      </c>
      <c r="D2100" s="1115" t="s">
        <v>1449</v>
      </c>
      <c r="E2100" s="1115" t="s">
        <v>1251</v>
      </c>
      <c r="F2100" s="1115" t="n">
        <v>35830</v>
      </c>
      <c r="G2100" s="1115" t="n">
        <v>58165</v>
      </c>
      <c r="H2100" s="1115" t="s">
        <v>3253</v>
      </c>
      <c r="I2100" s="1115" t="n">
        <v>56140</v>
      </c>
      <c r="J2100" s="1115" t="s">
        <v>1449</v>
      </c>
    </row>
    <row r="2101" customFormat="false" ht="14.1" hidden="false" customHeight="true" outlineLevel="0" collapsed="false">
      <c r="A2101" s="1115" t="n">
        <v>56130</v>
      </c>
      <c r="B2101" s="1115" t="s">
        <v>163</v>
      </c>
      <c r="C2101" s="1115" t="n">
        <v>56130</v>
      </c>
      <c r="D2101" s="1115" t="s">
        <v>3225</v>
      </c>
      <c r="E2101" s="1115" t="s">
        <v>1253</v>
      </c>
      <c r="F2101" s="1115" t="n">
        <v>52700</v>
      </c>
      <c r="G2101" s="1115" t="n">
        <v>58170</v>
      </c>
      <c r="H2101" s="1115" t="s">
        <v>3259</v>
      </c>
      <c r="I2101" s="1115" t="n">
        <v>56210</v>
      </c>
      <c r="J2101" s="1115" t="s">
        <v>1449</v>
      </c>
    </row>
    <row r="2102" customFormat="false" ht="14.1" hidden="false" customHeight="true" outlineLevel="0" collapsed="false">
      <c r="A2102" s="1115" t="n">
        <v>56140</v>
      </c>
      <c r="B2102" s="1115" t="s">
        <v>163</v>
      </c>
      <c r="C2102" s="1115" t="n">
        <v>56140</v>
      </c>
      <c r="D2102" s="1115" t="s">
        <v>3226</v>
      </c>
      <c r="E2102" s="1115" t="s">
        <v>1253</v>
      </c>
      <c r="F2102" s="1115" t="n">
        <v>52710</v>
      </c>
      <c r="G2102" s="1115" t="n">
        <v>58175</v>
      </c>
      <c r="H2102" s="1115" t="s">
        <v>764</v>
      </c>
      <c r="I2102" s="1115" t="n">
        <v>56230</v>
      </c>
      <c r="J2102" s="1115" t="s">
        <v>1449</v>
      </c>
    </row>
    <row r="2103" customFormat="false" ht="14.1" hidden="false" customHeight="true" outlineLevel="0" collapsed="false">
      <c r="A2103" s="1115" t="n">
        <v>56210</v>
      </c>
      <c r="B2103" s="1115" t="s">
        <v>163</v>
      </c>
      <c r="C2103" s="1115" t="n">
        <v>56210</v>
      </c>
      <c r="D2103" s="1115" t="s">
        <v>3227</v>
      </c>
      <c r="E2103" s="1115" t="s">
        <v>3260</v>
      </c>
      <c r="F2103" s="1115" t="n">
        <v>97990</v>
      </c>
      <c r="G2103" s="1115" t="n">
        <v>58180</v>
      </c>
      <c r="H2103" s="1115" t="s">
        <v>1909</v>
      </c>
      <c r="I2103" s="1115" t="n">
        <v>56250</v>
      </c>
      <c r="J2103" s="1115" t="s">
        <v>1449</v>
      </c>
    </row>
    <row r="2104" customFormat="false" ht="14.1" hidden="false" customHeight="true" outlineLevel="0" collapsed="false">
      <c r="A2104" s="1115" t="n">
        <v>56230</v>
      </c>
      <c r="B2104" s="1115" t="s">
        <v>163</v>
      </c>
      <c r="C2104" s="1115" t="n">
        <v>56230</v>
      </c>
      <c r="D2104" s="1115" t="s">
        <v>2611</v>
      </c>
      <c r="E2104" s="1115" t="s">
        <v>3261</v>
      </c>
      <c r="F2104" s="1115" t="n">
        <v>73110</v>
      </c>
      <c r="G2104" s="1115" t="n">
        <v>58190</v>
      </c>
      <c r="H2104" s="1115" t="s">
        <v>1976</v>
      </c>
      <c r="I2104" s="1115" t="n">
        <v>56270</v>
      </c>
      <c r="J2104" s="1115" t="s">
        <v>1449</v>
      </c>
    </row>
    <row r="2105" customFormat="false" ht="14.1" hidden="false" customHeight="true" outlineLevel="0" collapsed="false">
      <c r="A2105" s="1115" t="n">
        <v>56250</v>
      </c>
      <c r="B2105" s="1115" t="s">
        <v>163</v>
      </c>
      <c r="C2105" s="1115" t="n">
        <v>56250</v>
      </c>
      <c r="D2105" s="1115" t="s">
        <v>1111</v>
      </c>
      <c r="E2105" s="1115" t="s">
        <v>3262</v>
      </c>
      <c r="F2105" s="1115" t="n">
        <v>72570</v>
      </c>
      <c r="G2105" s="1115" t="n">
        <v>58200</v>
      </c>
      <c r="H2105" s="1115" t="s">
        <v>1048</v>
      </c>
      <c r="I2105" s="1115" t="n">
        <v>56280</v>
      </c>
      <c r="J2105" s="1115" t="s">
        <v>1449</v>
      </c>
    </row>
    <row r="2106" customFormat="false" ht="14.1" hidden="false" customHeight="true" outlineLevel="0" collapsed="false">
      <c r="A2106" s="1115" t="n">
        <v>56270</v>
      </c>
      <c r="B2106" s="1115" t="s">
        <v>163</v>
      </c>
      <c r="C2106" s="1115" t="n">
        <v>56270</v>
      </c>
      <c r="D2106" s="1115" t="s">
        <v>2034</v>
      </c>
      <c r="E2106" s="1115" t="s">
        <v>2907</v>
      </c>
      <c r="F2106" s="1115" t="n">
        <v>44370</v>
      </c>
      <c r="G2106" s="1115" t="n">
        <v>58210</v>
      </c>
      <c r="H2106" s="1115" t="s">
        <v>3263</v>
      </c>
      <c r="I2106" s="1115" t="n">
        <v>56310</v>
      </c>
      <c r="J2106" s="1115" t="s">
        <v>1449</v>
      </c>
    </row>
    <row r="2107" customFormat="false" ht="14.1" hidden="false" customHeight="true" outlineLevel="0" collapsed="false">
      <c r="A2107" s="1115" t="n">
        <v>56280</v>
      </c>
      <c r="B2107" s="1115" t="s">
        <v>163</v>
      </c>
      <c r="C2107" s="1115" t="n">
        <v>56280</v>
      </c>
      <c r="D2107" s="1115" t="s">
        <v>2843</v>
      </c>
      <c r="E2107" s="1115" t="s">
        <v>3264</v>
      </c>
      <c r="F2107" s="1115" t="n">
        <v>73625</v>
      </c>
      <c r="G2107" s="1115" t="n">
        <v>58220</v>
      </c>
      <c r="H2107" s="1115" t="s">
        <v>3037</v>
      </c>
      <c r="I2107" s="1115" t="n">
        <v>56330</v>
      </c>
      <c r="J2107" s="1115" t="s">
        <v>1449</v>
      </c>
    </row>
    <row r="2108" customFormat="false" ht="14.1" hidden="false" customHeight="true" outlineLevel="0" collapsed="false">
      <c r="A2108" s="1115" t="n">
        <v>56310</v>
      </c>
      <c r="B2108" s="1115" t="s">
        <v>163</v>
      </c>
      <c r="C2108" s="1115" t="n">
        <v>56310</v>
      </c>
      <c r="D2108" s="1115" t="s">
        <v>3230</v>
      </c>
      <c r="E2108" s="1115" t="s">
        <v>2096</v>
      </c>
      <c r="F2108" s="1115" t="n">
        <v>25250</v>
      </c>
      <c r="G2108" s="1115" t="n">
        <v>58240</v>
      </c>
      <c r="H2108" s="1115" t="s">
        <v>3265</v>
      </c>
      <c r="I2108" s="1115" t="n">
        <v>56350</v>
      </c>
      <c r="J2108" s="1115" t="s">
        <v>1449</v>
      </c>
    </row>
    <row r="2109" customFormat="false" ht="14.1" hidden="false" customHeight="true" outlineLevel="0" collapsed="false">
      <c r="A2109" s="1115" t="n">
        <v>56330</v>
      </c>
      <c r="B2109" s="1115" t="s">
        <v>163</v>
      </c>
      <c r="C2109" s="1115" t="n">
        <v>56330</v>
      </c>
      <c r="D2109" s="1115" t="s">
        <v>3231</v>
      </c>
      <c r="E2109" s="1115" t="s">
        <v>3266</v>
      </c>
      <c r="F2109" s="1115" t="n">
        <v>81850</v>
      </c>
      <c r="G2109" s="1115" t="n">
        <v>58250</v>
      </c>
      <c r="H2109" s="1115" t="s">
        <v>1496</v>
      </c>
      <c r="I2109" s="1115" t="n">
        <v>56370</v>
      </c>
      <c r="J2109" s="1115" t="s">
        <v>1449</v>
      </c>
    </row>
    <row r="2110" customFormat="false" ht="14.1" hidden="false" customHeight="true" outlineLevel="0" collapsed="false">
      <c r="A2110" s="1115" t="n">
        <v>56350</v>
      </c>
      <c r="B2110" s="1115" t="s">
        <v>163</v>
      </c>
      <c r="C2110" s="1115" t="n">
        <v>56350</v>
      </c>
      <c r="D2110" s="1115" t="s">
        <v>2774</v>
      </c>
      <c r="E2110" s="1115" t="s">
        <v>3267</v>
      </c>
      <c r="F2110" s="1115" t="n">
        <v>63130</v>
      </c>
      <c r="G2110" s="1115" t="n">
        <v>58260</v>
      </c>
      <c r="H2110" s="1115" t="s">
        <v>2698</v>
      </c>
      <c r="I2110" s="1115" t="n">
        <v>56410</v>
      </c>
      <c r="J2110" s="1115" t="s">
        <v>1449</v>
      </c>
    </row>
    <row r="2111" customFormat="false" ht="14.1" hidden="false" customHeight="true" outlineLevel="0" collapsed="false">
      <c r="A2111" s="1115" t="n">
        <v>56370</v>
      </c>
      <c r="B2111" s="1115" t="s">
        <v>163</v>
      </c>
      <c r="C2111" s="1115" t="n">
        <v>56370</v>
      </c>
      <c r="D2111" s="1115" t="s">
        <v>1485</v>
      </c>
      <c r="E2111" s="1115" t="s">
        <v>3268</v>
      </c>
      <c r="F2111" s="1115" t="n">
        <v>69330</v>
      </c>
      <c r="G2111" s="1115" t="n">
        <v>58265</v>
      </c>
      <c r="H2111" s="1115" t="s">
        <v>3269</v>
      </c>
      <c r="I2111" s="1115" t="n">
        <v>56440</v>
      </c>
      <c r="J2111" s="1115" t="s">
        <v>1449</v>
      </c>
    </row>
    <row r="2112" customFormat="false" ht="14.1" hidden="false" customHeight="true" outlineLevel="0" collapsed="false">
      <c r="A2112" s="1115" t="n">
        <v>56410</v>
      </c>
      <c r="B2112" s="1115" t="s">
        <v>163</v>
      </c>
      <c r="C2112" s="1115" t="n">
        <v>56410</v>
      </c>
      <c r="D2112" s="1115" t="s">
        <v>2158</v>
      </c>
      <c r="E2112" s="1115" t="s">
        <v>3270</v>
      </c>
      <c r="F2112" s="1115" t="n">
        <v>93920</v>
      </c>
      <c r="G2112" s="1115" t="n">
        <v>58270</v>
      </c>
      <c r="H2112" s="1115" t="s">
        <v>1875</v>
      </c>
      <c r="I2112" s="1115" t="n">
        <v>56460</v>
      </c>
      <c r="J2112" s="1115" t="s">
        <v>1449</v>
      </c>
    </row>
    <row r="2113" customFormat="false" ht="14.1" hidden="false" customHeight="true" outlineLevel="0" collapsed="false">
      <c r="A2113" s="1115" t="n">
        <v>56440</v>
      </c>
      <c r="B2113" s="1115" t="s">
        <v>163</v>
      </c>
      <c r="C2113" s="1115" t="n">
        <v>56440</v>
      </c>
      <c r="D2113" s="1115" t="s">
        <v>3234</v>
      </c>
      <c r="E2113" s="1115" t="s">
        <v>3271</v>
      </c>
      <c r="F2113" s="1115" t="n">
        <v>82980</v>
      </c>
      <c r="G2113" s="1115" t="n">
        <v>58290</v>
      </c>
      <c r="H2113" s="1115" t="s">
        <v>2309</v>
      </c>
      <c r="I2113" s="1115" t="n">
        <v>56510</v>
      </c>
      <c r="J2113" s="1115" t="s">
        <v>1449</v>
      </c>
    </row>
    <row r="2114" customFormat="false" ht="14.1" hidden="false" customHeight="true" outlineLevel="0" collapsed="false">
      <c r="A2114" s="1115" t="n">
        <v>56460</v>
      </c>
      <c r="B2114" s="1115" t="s">
        <v>163</v>
      </c>
      <c r="C2114" s="1115" t="n">
        <v>56460</v>
      </c>
      <c r="D2114" s="1115" t="s">
        <v>3236</v>
      </c>
      <c r="E2114" s="1115" t="s">
        <v>3272</v>
      </c>
      <c r="F2114" s="1115" t="n">
        <v>62990</v>
      </c>
      <c r="G2114" s="1115" t="n">
        <v>58295</v>
      </c>
      <c r="H2114" s="1115" t="s">
        <v>1378</v>
      </c>
      <c r="I2114" s="1115" t="n">
        <v>56550</v>
      </c>
      <c r="J2114" s="1115" t="s">
        <v>1449</v>
      </c>
    </row>
    <row r="2115" customFormat="false" ht="14.1" hidden="false" customHeight="true" outlineLevel="0" collapsed="false">
      <c r="A2115" s="1115" t="n">
        <v>56510</v>
      </c>
      <c r="B2115" s="1115" t="s">
        <v>163</v>
      </c>
      <c r="C2115" s="1115" t="n">
        <v>56510</v>
      </c>
      <c r="D2115" s="1115" t="s">
        <v>3238</v>
      </c>
      <c r="E2115" s="1115" t="s">
        <v>3273</v>
      </c>
      <c r="F2115" s="1115" t="n">
        <v>81230</v>
      </c>
      <c r="G2115" s="1115" t="n">
        <v>58300</v>
      </c>
      <c r="H2115" s="1115" t="s">
        <v>1486</v>
      </c>
      <c r="I2115" s="1115" t="n">
        <v>56610</v>
      </c>
      <c r="J2115" s="1115" t="s">
        <v>1429</v>
      </c>
    </row>
    <row r="2116" customFormat="false" ht="14.1" hidden="false" customHeight="true" outlineLevel="0" collapsed="false">
      <c r="A2116" s="1115" t="n">
        <v>56550</v>
      </c>
      <c r="B2116" s="1115" t="s">
        <v>163</v>
      </c>
      <c r="C2116" s="1115" t="n">
        <v>56550</v>
      </c>
      <c r="D2116" s="1115" t="s">
        <v>3240</v>
      </c>
      <c r="E2116" s="1115" t="s">
        <v>3274</v>
      </c>
      <c r="F2116" s="1115" t="n">
        <v>69980</v>
      </c>
      <c r="G2116" s="1115" t="n">
        <v>58310</v>
      </c>
      <c r="H2116" s="1115" t="s">
        <v>2509</v>
      </c>
      <c r="I2116" s="1115" t="n">
        <v>56620</v>
      </c>
      <c r="J2116" s="1115" t="s">
        <v>1429</v>
      </c>
    </row>
    <row r="2117" customFormat="false" ht="14.1" hidden="false" customHeight="true" outlineLevel="0" collapsed="false">
      <c r="A2117" s="1115" t="n">
        <v>56610</v>
      </c>
      <c r="B2117" s="1115" t="s">
        <v>163</v>
      </c>
      <c r="C2117" s="1115" t="n">
        <v>56610</v>
      </c>
      <c r="D2117" s="1115" t="s">
        <v>1429</v>
      </c>
      <c r="E2117" s="1115" t="s">
        <v>3275</v>
      </c>
      <c r="F2117" s="1115" t="n">
        <v>64850</v>
      </c>
      <c r="G2117" s="1115" t="n">
        <v>58320</v>
      </c>
      <c r="H2117" s="1115" t="s">
        <v>3276</v>
      </c>
      <c r="I2117" s="1115" t="n">
        <v>56640</v>
      </c>
      <c r="J2117" s="1115" t="s">
        <v>1429</v>
      </c>
    </row>
    <row r="2118" customFormat="false" ht="14.1" hidden="false" customHeight="true" outlineLevel="0" collapsed="false">
      <c r="A2118" s="1115" t="n">
        <v>56620</v>
      </c>
      <c r="B2118" s="1115" t="s">
        <v>163</v>
      </c>
      <c r="C2118" s="1115" t="n">
        <v>56620</v>
      </c>
      <c r="D2118" s="1115" t="s">
        <v>1429</v>
      </c>
      <c r="E2118" s="1115" t="s">
        <v>3277</v>
      </c>
      <c r="F2118" s="1115" t="n">
        <v>95710</v>
      </c>
      <c r="G2118" s="1115" t="n">
        <v>58340</v>
      </c>
      <c r="H2118" s="1115" t="s">
        <v>3278</v>
      </c>
      <c r="I2118" s="1115" t="n">
        <v>56710</v>
      </c>
      <c r="J2118" s="1115" t="s">
        <v>1429</v>
      </c>
    </row>
    <row r="2119" customFormat="false" ht="14.1" hidden="false" customHeight="true" outlineLevel="0" collapsed="false">
      <c r="A2119" s="1115" t="n">
        <v>56640</v>
      </c>
      <c r="B2119" s="1115" t="s">
        <v>163</v>
      </c>
      <c r="C2119" s="1115" t="n">
        <v>56640</v>
      </c>
      <c r="D2119" s="1115" t="s">
        <v>3241</v>
      </c>
      <c r="E2119" s="1115" t="s">
        <v>1255</v>
      </c>
      <c r="F2119" s="1115" t="n">
        <v>21100</v>
      </c>
      <c r="G2119" s="1115" t="n">
        <v>58350</v>
      </c>
      <c r="H2119" s="1115" t="s">
        <v>3279</v>
      </c>
      <c r="I2119" s="1115" t="n">
        <v>56730</v>
      </c>
      <c r="J2119" s="1115" t="s">
        <v>1429</v>
      </c>
    </row>
    <row r="2120" customFormat="false" ht="14.1" hidden="false" customHeight="true" outlineLevel="0" collapsed="false">
      <c r="A2120" s="1115" t="n">
        <v>56710</v>
      </c>
      <c r="B2120" s="1115" t="s">
        <v>163</v>
      </c>
      <c r="C2120" s="1115" t="n">
        <v>56710</v>
      </c>
      <c r="D2120" s="1115" t="s">
        <v>3191</v>
      </c>
      <c r="E2120" s="1115" t="s">
        <v>1255</v>
      </c>
      <c r="F2120" s="1115" t="n">
        <v>21110</v>
      </c>
      <c r="G2120" s="1115" t="n">
        <v>58360</v>
      </c>
      <c r="H2120" s="1115" t="s">
        <v>3280</v>
      </c>
      <c r="I2120" s="1115" t="n">
        <v>56800</v>
      </c>
      <c r="J2120" s="1115" t="s">
        <v>1449</v>
      </c>
    </row>
    <row r="2121" customFormat="false" ht="14.1" hidden="false" customHeight="true" outlineLevel="0" collapsed="false">
      <c r="A2121" s="1115" t="n">
        <v>56730</v>
      </c>
      <c r="B2121" s="1115" t="s">
        <v>163</v>
      </c>
      <c r="C2121" s="1115" t="n">
        <v>56730</v>
      </c>
      <c r="D2121" s="1115" t="s">
        <v>2869</v>
      </c>
      <c r="E2121" s="1115" t="s">
        <v>2508</v>
      </c>
      <c r="F2121" s="1115" t="n">
        <v>35130</v>
      </c>
      <c r="G2121" s="1115" t="n">
        <v>58370</v>
      </c>
      <c r="H2121" s="1115" t="s">
        <v>2945</v>
      </c>
      <c r="I2121" s="1115" t="n">
        <v>56810</v>
      </c>
      <c r="J2121" s="1115" t="s">
        <v>1449</v>
      </c>
    </row>
    <row r="2122" customFormat="false" ht="14.1" hidden="false" customHeight="true" outlineLevel="0" collapsed="false">
      <c r="A2122" s="1115" t="n">
        <v>56800</v>
      </c>
      <c r="B2122" s="1115" t="s">
        <v>163</v>
      </c>
      <c r="C2122" s="1115" t="n">
        <v>56800</v>
      </c>
      <c r="D2122" s="1115" t="s">
        <v>3244</v>
      </c>
      <c r="E2122" s="1115" t="s">
        <v>3281</v>
      </c>
      <c r="F2122" s="1115" t="n">
        <v>76850</v>
      </c>
      <c r="G2122" s="1115" t="n">
        <v>58390</v>
      </c>
      <c r="H2122" s="1115" t="s">
        <v>3282</v>
      </c>
      <c r="I2122" s="1115" t="n">
        <v>56830</v>
      </c>
      <c r="J2122" s="1115" t="s">
        <v>1449</v>
      </c>
    </row>
    <row r="2123" customFormat="false" ht="14.1" hidden="false" customHeight="true" outlineLevel="0" collapsed="false">
      <c r="A2123" s="1115" t="n">
        <v>56810</v>
      </c>
      <c r="B2123" s="1115" t="s">
        <v>163</v>
      </c>
      <c r="C2123" s="1115" t="n">
        <v>56810</v>
      </c>
      <c r="D2123" s="1115" t="s">
        <v>3244</v>
      </c>
      <c r="E2123" s="1115" t="s">
        <v>2200</v>
      </c>
      <c r="F2123" s="1115" t="n">
        <v>27530</v>
      </c>
      <c r="G2123" s="1115" t="n">
        <v>58410</v>
      </c>
      <c r="H2123" s="1115" t="s">
        <v>1264</v>
      </c>
      <c r="I2123" s="1115" t="n">
        <v>56940</v>
      </c>
      <c r="J2123" s="1115" t="s">
        <v>1449</v>
      </c>
    </row>
    <row r="2124" customFormat="false" ht="14.1" hidden="false" customHeight="true" outlineLevel="0" collapsed="false">
      <c r="A2124" s="1115" t="n">
        <v>56830</v>
      </c>
      <c r="B2124" s="1115" t="s">
        <v>163</v>
      </c>
      <c r="C2124" s="1115" t="n">
        <v>56830</v>
      </c>
      <c r="D2124" s="1115" t="s">
        <v>3247</v>
      </c>
      <c r="E2124" s="1115" t="s">
        <v>3283</v>
      </c>
      <c r="F2124" s="1115" t="n">
        <v>81470</v>
      </c>
      <c r="G2124" s="1115" t="n">
        <v>58420</v>
      </c>
      <c r="H2124" s="1115" t="s">
        <v>3284</v>
      </c>
      <c r="I2124" s="1115" t="n">
        <v>57100</v>
      </c>
      <c r="J2124" s="1115" t="s">
        <v>1484</v>
      </c>
    </row>
    <row r="2125" customFormat="false" ht="14.1" hidden="false" customHeight="true" outlineLevel="0" collapsed="false">
      <c r="A2125" s="1115" t="n">
        <v>56940</v>
      </c>
      <c r="B2125" s="1115" t="s">
        <v>163</v>
      </c>
      <c r="C2125" s="1115" t="n">
        <v>56940</v>
      </c>
      <c r="D2125" s="1115" t="s">
        <v>2948</v>
      </c>
      <c r="E2125" s="1115" t="s">
        <v>1238</v>
      </c>
      <c r="F2125" s="1115" t="n">
        <v>4350</v>
      </c>
      <c r="G2125" s="1115" t="n">
        <v>58430</v>
      </c>
      <c r="H2125" s="1115" t="s">
        <v>2681</v>
      </c>
      <c r="I2125" s="1115" t="n">
        <v>57120</v>
      </c>
      <c r="J2125" s="1115" t="s">
        <v>1484</v>
      </c>
    </row>
    <row r="2126" customFormat="false" ht="14.1" hidden="false" customHeight="true" outlineLevel="0" collapsed="false">
      <c r="A2126" s="1115" t="n">
        <v>57100</v>
      </c>
      <c r="B2126" s="1115" t="s">
        <v>167</v>
      </c>
      <c r="C2126" s="1115" t="n">
        <v>57100</v>
      </c>
      <c r="D2126" s="1115" t="s">
        <v>1484</v>
      </c>
      <c r="E2126" s="1115" t="s">
        <v>3285</v>
      </c>
      <c r="F2126" s="1115" t="n">
        <v>87830</v>
      </c>
      <c r="G2126" s="1115" t="n">
        <v>58440</v>
      </c>
      <c r="H2126" s="1115" t="s">
        <v>3286</v>
      </c>
      <c r="I2126" s="1115" t="n">
        <v>57130</v>
      </c>
      <c r="J2126" s="1115" t="s">
        <v>1484</v>
      </c>
    </row>
    <row r="2127" customFormat="false" ht="14.1" hidden="false" customHeight="true" outlineLevel="0" collapsed="false">
      <c r="A2127" s="1115" t="n">
        <v>57120</v>
      </c>
      <c r="B2127" s="1115" t="s">
        <v>167</v>
      </c>
      <c r="C2127" s="1115" t="n">
        <v>57120</v>
      </c>
      <c r="D2127" s="1115" t="s">
        <v>1484</v>
      </c>
      <c r="E2127" s="1115" t="s">
        <v>1258</v>
      </c>
      <c r="F2127" s="1115" t="n">
        <v>29250</v>
      </c>
      <c r="G2127" s="1115" t="n">
        <v>58450</v>
      </c>
      <c r="H2127" s="1115" t="s">
        <v>1376</v>
      </c>
      <c r="I2127" s="1115" t="n">
        <v>57150</v>
      </c>
      <c r="J2127" s="1115" t="s">
        <v>1484</v>
      </c>
    </row>
    <row r="2128" customFormat="false" ht="14.1" hidden="false" customHeight="true" outlineLevel="0" collapsed="false">
      <c r="A2128" s="1115" t="n">
        <v>57130</v>
      </c>
      <c r="B2128" s="1115" t="s">
        <v>167</v>
      </c>
      <c r="C2128" s="1115" t="n">
        <v>57130</v>
      </c>
      <c r="D2128" s="1115" t="s">
        <v>1484</v>
      </c>
      <c r="E2128" s="1115" t="s">
        <v>3287</v>
      </c>
      <c r="F2128" s="1115" t="n">
        <v>96930</v>
      </c>
      <c r="G2128" s="1115" t="n">
        <v>58460</v>
      </c>
      <c r="H2128" s="1115" t="s">
        <v>3288</v>
      </c>
      <c r="I2128" s="1115" t="n">
        <v>57170</v>
      </c>
      <c r="J2128" s="1115" t="s">
        <v>1484</v>
      </c>
    </row>
    <row r="2129" customFormat="false" ht="14.1" hidden="false" customHeight="true" outlineLevel="0" collapsed="false">
      <c r="A2129" s="1115" t="n">
        <v>57150</v>
      </c>
      <c r="B2129" s="1115" t="s">
        <v>167</v>
      </c>
      <c r="C2129" s="1115" t="n">
        <v>57150</v>
      </c>
      <c r="D2129" s="1115" t="s">
        <v>3250</v>
      </c>
      <c r="E2129" s="1115" t="s">
        <v>3289</v>
      </c>
      <c r="F2129" s="1115" t="n">
        <v>61570</v>
      </c>
      <c r="G2129" s="1115" t="n">
        <v>58470</v>
      </c>
      <c r="H2129" s="1115" t="s">
        <v>3204</v>
      </c>
      <c r="I2129" s="1115" t="n">
        <v>57200</v>
      </c>
      <c r="J2129" s="1115" t="s">
        <v>1484</v>
      </c>
    </row>
    <row r="2130" customFormat="false" ht="14.1" hidden="false" customHeight="true" outlineLevel="0" collapsed="false">
      <c r="A2130" s="1115" t="n">
        <v>57170</v>
      </c>
      <c r="B2130" s="1115" t="s">
        <v>167</v>
      </c>
      <c r="C2130" s="1115" t="n">
        <v>57170</v>
      </c>
      <c r="D2130" s="1115" t="s">
        <v>1484</v>
      </c>
      <c r="E2130" s="1115" t="s">
        <v>3099</v>
      </c>
      <c r="F2130" s="1115" t="n">
        <v>51860</v>
      </c>
      <c r="G2130" s="1115" t="n">
        <v>58480</v>
      </c>
      <c r="H2130" s="1115" t="s">
        <v>3290</v>
      </c>
      <c r="I2130" s="1115" t="n">
        <v>57210</v>
      </c>
      <c r="J2130" s="1115" t="s">
        <v>1484</v>
      </c>
    </row>
    <row r="2131" customFormat="false" ht="14.1" hidden="false" customHeight="true" outlineLevel="0" collapsed="false">
      <c r="A2131" s="1115" t="n">
        <v>57200</v>
      </c>
      <c r="B2131" s="1115" t="s">
        <v>167</v>
      </c>
      <c r="C2131" s="1115" t="n">
        <v>57200</v>
      </c>
      <c r="D2131" s="1115" t="s">
        <v>1484</v>
      </c>
      <c r="E2131" s="1115" t="s">
        <v>3291</v>
      </c>
      <c r="F2131" s="1115" t="n">
        <v>97675</v>
      </c>
      <c r="G2131" s="1115" t="n">
        <v>58490</v>
      </c>
      <c r="H2131" s="1115" t="s">
        <v>3292</v>
      </c>
      <c r="I2131" s="1115" t="n">
        <v>57220</v>
      </c>
      <c r="J2131" s="1115" t="s">
        <v>1484</v>
      </c>
    </row>
    <row r="2132" customFormat="false" ht="14.1" hidden="false" customHeight="true" outlineLevel="0" collapsed="false">
      <c r="A2132" s="1115" t="n">
        <v>57210</v>
      </c>
      <c r="B2132" s="1115" t="s">
        <v>167</v>
      </c>
      <c r="C2132" s="1115" t="n">
        <v>57210</v>
      </c>
      <c r="D2132" s="1115" t="s">
        <v>1484</v>
      </c>
      <c r="E2132" s="1115" t="s">
        <v>3293</v>
      </c>
      <c r="F2132" s="1115" t="n">
        <v>98960</v>
      </c>
      <c r="G2132" s="1115" t="n">
        <v>58500</v>
      </c>
      <c r="H2132" s="1115" t="s">
        <v>3294</v>
      </c>
      <c r="I2132" s="1115" t="n">
        <v>57230</v>
      </c>
      <c r="J2132" s="1115" t="s">
        <v>1484</v>
      </c>
    </row>
    <row r="2133" customFormat="false" ht="14.1" hidden="false" customHeight="true" outlineLevel="0" collapsed="false">
      <c r="A2133" s="1115" t="n">
        <v>57220</v>
      </c>
      <c r="B2133" s="1115" t="s">
        <v>167</v>
      </c>
      <c r="C2133" s="1115" t="n">
        <v>57220</v>
      </c>
      <c r="D2133" s="1115" t="s">
        <v>1484</v>
      </c>
      <c r="E2133" s="1115" t="s">
        <v>2594</v>
      </c>
      <c r="F2133" s="1115" t="n">
        <v>37370</v>
      </c>
      <c r="G2133" s="1115" t="n">
        <v>58510</v>
      </c>
      <c r="H2133" s="1115" t="s">
        <v>1086</v>
      </c>
      <c r="I2133" s="1115" t="n">
        <v>57310</v>
      </c>
      <c r="J2133" s="1115" t="s">
        <v>1484</v>
      </c>
    </row>
    <row r="2134" customFormat="false" ht="14.1" hidden="false" customHeight="true" outlineLevel="0" collapsed="false">
      <c r="A2134" s="1115" t="n">
        <v>57230</v>
      </c>
      <c r="B2134" s="1115" t="s">
        <v>167</v>
      </c>
      <c r="C2134" s="1115" t="n">
        <v>57230</v>
      </c>
      <c r="D2134" s="1115" t="s">
        <v>1484</v>
      </c>
      <c r="E2134" s="1115" t="s">
        <v>1967</v>
      </c>
      <c r="F2134" s="1115" t="n">
        <v>21520</v>
      </c>
      <c r="G2134" s="1115" t="n">
        <v>58520</v>
      </c>
      <c r="H2134" s="1115" t="s">
        <v>1739</v>
      </c>
      <c r="I2134" s="1115" t="n">
        <v>57510</v>
      </c>
      <c r="J2134" s="1115" t="s">
        <v>1484</v>
      </c>
    </row>
    <row r="2135" customFormat="false" ht="14.1" hidden="false" customHeight="true" outlineLevel="0" collapsed="false">
      <c r="A2135" s="1115" t="n">
        <v>57310</v>
      </c>
      <c r="B2135" s="1115" t="s">
        <v>167</v>
      </c>
      <c r="C2135" s="1115" t="n">
        <v>57310</v>
      </c>
      <c r="D2135" s="1115" t="s">
        <v>1484</v>
      </c>
      <c r="E2135" s="1115" t="s">
        <v>1260</v>
      </c>
      <c r="F2135" s="1115" t="n">
        <v>15560</v>
      </c>
      <c r="G2135" s="1115" t="n">
        <v>58530</v>
      </c>
      <c r="H2135" s="1115" t="s">
        <v>3295</v>
      </c>
      <c r="I2135" s="1115" t="n">
        <v>57600</v>
      </c>
      <c r="J2135" s="1115" t="s">
        <v>1484</v>
      </c>
    </row>
    <row r="2136" customFormat="false" ht="14.1" hidden="false" customHeight="true" outlineLevel="0" collapsed="false">
      <c r="A2136" s="1115" t="n">
        <v>57510</v>
      </c>
      <c r="B2136" s="1115" t="s">
        <v>167</v>
      </c>
      <c r="C2136" s="1115" t="n">
        <v>57510</v>
      </c>
      <c r="D2136" s="1115" t="s">
        <v>1484</v>
      </c>
      <c r="E2136" s="1115" t="s">
        <v>1262</v>
      </c>
      <c r="F2136" s="1115" t="n">
        <v>21660</v>
      </c>
      <c r="G2136" s="1115" t="n">
        <v>58540</v>
      </c>
      <c r="H2136" s="1115" t="s">
        <v>3296</v>
      </c>
      <c r="I2136" s="1115" t="n">
        <v>57710</v>
      </c>
      <c r="J2136" s="1115" t="s">
        <v>1484</v>
      </c>
    </row>
    <row r="2137" customFormat="false" ht="14.1" hidden="false" customHeight="true" outlineLevel="0" collapsed="false">
      <c r="A2137" s="1115" t="n">
        <v>57600</v>
      </c>
      <c r="B2137" s="1115" t="s">
        <v>167</v>
      </c>
      <c r="C2137" s="1115" t="n">
        <v>57600</v>
      </c>
      <c r="D2137" s="1115" t="s">
        <v>1484</v>
      </c>
      <c r="E2137" s="1115" t="s">
        <v>3297</v>
      </c>
      <c r="F2137" s="1115" t="n">
        <v>68840</v>
      </c>
      <c r="G2137" s="1115" t="n">
        <v>58550</v>
      </c>
      <c r="H2137" s="1115" t="s">
        <v>3298</v>
      </c>
      <c r="I2137" s="1115" t="n">
        <v>57810</v>
      </c>
      <c r="J2137" s="1115" t="s">
        <v>1484</v>
      </c>
    </row>
    <row r="2138" customFormat="false" ht="14.1" hidden="false" customHeight="true" outlineLevel="0" collapsed="false">
      <c r="A2138" s="1115" t="n">
        <v>57710</v>
      </c>
      <c r="B2138" s="1115" t="s">
        <v>167</v>
      </c>
      <c r="C2138" s="1115" t="n">
        <v>57710</v>
      </c>
      <c r="D2138" s="1115" t="s">
        <v>1484</v>
      </c>
      <c r="E2138" s="1115" t="s">
        <v>3297</v>
      </c>
      <c r="F2138" s="1115" t="n">
        <v>68840</v>
      </c>
      <c r="G2138" s="1115" t="n">
        <v>58560</v>
      </c>
      <c r="H2138" s="1115" t="s">
        <v>3299</v>
      </c>
      <c r="I2138" s="1115" t="n">
        <v>58110</v>
      </c>
      <c r="J2138" s="1115" t="s">
        <v>1484</v>
      </c>
    </row>
    <row r="2139" customFormat="false" ht="14.1" hidden="false" customHeight="true" outlineLevel="0" collapsed="false">
      <c r="A2139" s="1115" t="n">
        <v>57810</v>
      </c>
      <c r="B2139" s="1115" t="s">
        <v>167</v>
      </c>
      <c r="C2139" s="1115" t="n">
        <v>57810</v>
      </c>
      <c r="D2139" s="1115" t="s">
        <v>1484</v>
      </c>
      <c r="E2139" s="1115" t="s">
        <v>3300</v>
      </c>
      <c r="F2139" s="1115" t="n">
        <v>82995</v>
      </c>
      <c r="G2139" s="1115" t="n">
        <v>58570</v>
      </c>
      <c r="H2139" s="1115" t="s">
        <v>3301</v>
      </c>
      <c r="I2139" s="1115" t="n">
        <v>58115</v>
      </c>
      <c r="J2139" s="1115" t="s">
        <v>1484</v>
      </c>
    </row>
    <row r="2140" customFormat="false" ht="14.1" hidden="false" customHeight="true" outlineLevel="0" collapsed="false">
      <c r="A2140" s="1115" t="n">
        <v>58110</v>
      </c>
      <c r="B2140" s="1115" t="s">
        <v>167</v>
      </c>
      <c r="C2140" s="1115" t="n">
        <v>58110</v>
      </c>
      <c r="D2140" s="1115" t="s">
        <v>3256</v>
      </c>
      <c r="E2140" s="1115" t="s">
        <v>3302</v>
      </c>
      <c r="F2140" s="1115" t="n">
        <v>91780</v>
      </c>
      <c r="G2140" s="1115" t="n">
        <v>58580</v>
      </c>
      <c r="H2140" s="1115" t="s">
        <v>3303</v>
      </c>
      <c r="I2140" s="1115" t="n">
        <v>58120</v>
      </c>
      <c r="J2140" s="1115" t="s">
        <v>1484</v>
      </c>
    </row>
    <row r="2141" customFormat="false" ht="14.1" hidden="false" customHeight="true" outlineLevel="0" collapsed="false">
      <c r="A2141" s="1115" t="n">
        <v>58115</v>
      </c>
      <c r="B2141" s="1115" t="s">
        <v>167</v>
      </c>
      <c r="C2141" s="1115" t="n">
        <v>58115</v>
      </c>
      <c r="D2141" s="1115" t="s">
        <v>1473</v>
      </c>
      <c r="E2141" s="1115" t="s">
        <v>3304</v>
      </c>
      <c r="F2141" s="1115" t="n">
        <v>99860</v>
      </c>
      <c r="G2141" s="1115" t="n">
        <v>58610</v>
      </c>
      <c r="H2141" s="1115" t="s">
        <v>3305</v>
      </c>
      <c r="I2141" s="1115" t="n">
        <v>58130</v>
      </c>
      <c r="J2141" s="1115" t="s">
        <v>1484</v>
      </c>
    </row>
    <row r="2142" customFormat="false" ht="14.1" hidden="false" customHeight="true" outlineLevel="0" collapsed="false">
      <c r="A2142" s="1115" t="n">
        <v>58120</v>
      </c>
      <c r="B2142" s="1115" t="s">
        <v>167</v>
      </c>
      <c r="C2142" s="1115" t="n">
        <v>58120</v>
      </c>
      <c r="D2142" s="1115" t="s">
        <v>2073</v>
      </c>
      <c r="E2142" s="1115" t="s">
        <v>2489</v>
      </c>
      <c r="F2142" s="1115" t="n">
        <v>34620</v>
      </c>
      <c r="G2142" s="1115" t="n">
        <v>58620</v>
      </c>
      <c r="H2142" s="1115" t="s">
        <v>3012</v>
      </c>
      <c r="I2142" s="1115" t="n">
        <v>58140</v>
      </c>
      <c r="J2142" s="1115" t="s">
        <v>1484</v>
      </c>
    </row>
    <row r="2143" customFormat="false" ht="14.1" hidden="false" customHeight="true" outlineLevel="0" collapsed="false">
      <c r="A2143" s="1115" t="n">
        <v>58130</v>
      </c>
      <c r="B2143" s="1115" t="s">
        <v>167</v>
      </c>
      <c r="C2143" s="1115" t="n">
        <v>58130</v>
      </c>
      <c r="D2143" s="1115" t="s">
        <v>3258</v>
      </c>
      <c r="E2143" s="1115" t="s">
        <v>3306</v>
      </c>
      <c r="F2143" s="1115" t="n">
        <v>76940</v>
      </c>
      <c r="G2143" s="1115" t="n">
        <v>58620</v>
      </c>
      <c r="H2143" s="1115" t="s">
        <v>3307</v>
      </c>
      <c r="I2143" s="1115" t="n">
        <v>58150</v>
      </c>
      <c r="J2143" s="1115" t="s">
        <v>1048</v>
      </c>
    </row>
    <row r="2144" customFormat="false" ht="14.1" hidden="false" customHeight="true" outlineLevel="0" collapsed="false">
      <c r="A2144" s="1115" t="n">
        <v>58140</v>
      </c>
      <c r="B2144" s="1115" t="s">
        <v>167</v>
      </c>
      <c r="C2144" s="1115" t="n">
        <v>58140</v>
      </c>
      <c r="D2144" s="1115" t="s">
        <v>775</v>
      </c>
      <c r="E2144" s="1115" t="s">
        <v>3308</v>
      </c>
      <c r="F2144" s="1115" t="n">
        <v>73120</v>
      </c>
      <c r="G2144" s="1115" t="n">
        <v>58640</v>
      </c>
      <c r="H2144" s="1115" t="s">
        <v>2994</v>
      </c>
      <c r="I2144" s="1115" t="n">
        <v>58160</v>
      </c>
      <c r="J2144" s="1115" t="s">
        <v>764</v>
      </c>
    </row>
    <row r="2145" customFormat="false" ht="14.1" hidden="false" customHeight="true" outlineLevel="0" collapsed="false">
      <c r="A2145" s="1115" t="n">
        <v>58150</v>
      </c>
      <c r="B2145" s="1115" t="s">
        <v>167</v>
      </c>
      <c r="C2145" s="1115" t="n">
        <v>58150</v>
      </c>
      <c r="D2145" s="1115" t="s">
        <v>3113</v>
      </c>
      <c r="E2145" s="1115" t="s">
        <v>3309</v>
      </c>
      <c r="F2145" s="1115" t="n">
        <v>74530</v>
      </c>
      <c r="G2145" s="1115" t="n">
        <v>58650</v>
      </c>
      <c r="H2145" s="1115" t="s">
        <v>2450</v>
      </c>
      <c r="I2145" s="1115" t="n">
        <v>58165</v>
      </c>
      <c r="J2145" s="1115" t="s">
        <v>764</v>
      </c>
    </row>
    <row r="2146" customFormat="false" ht="14.1" hidden="false" customHeight="true" outlineLevel="0" collapsed="false">
      <c r="A2146" s="1115" t="n">
        <v>58160</v>
      </c>
      <c r="B2146" s="1115" t="s">
        <v>167</v>
      </c>
      <c r="C2146" s="1115" t="n">
        <v>58160</v>
      </c>
      <c r="D2146" s="1115" t="s">
        <v>2287</v>
      </c>
      <c r="E2146" s="1115" t="s">
        <v>3310</v>
      </c>
      <c r="F2146" s="1115" t="n">
        <v>77220</v>
      </c>
      <c r="G2146" s="1115" t="n">
        <v>58670</v>
      </c>
      <c r="H2146" s="1115" t="s">
        <v>3311</v>
      </c>
      <c r="I2146" s="1115" t="n">
        <v>58170</v>
      </c>
      <c r="J2146" s="1115" t="s">
        <v>764</v>
      </c>
    </row>
    <row r="2147" customFormat="false" ht="14.1" hidden="false" customHeight="true" outlineLevel="0" collapsed="false">
      <c r="A2147" s="1115" t="n">
        <v>58165</v>
      </c>
      <c r="B2147" s="1115" t="s">
        <v>167</v>
      </c>
      <c r="C2147" s="1115" t="n">
        <v>58165</v>
      </c>
      <c r="D2147" s="1115" t="s">
        <v>3253</v>
      </c>
      <c r="E2147" s="1115" t="s">
        <v>3019</v>
      </c>
      <c r="F2147" s="1115" t="n">
        <v>49490</v>
      </c>
      <c r="G2147" s="1115" t="n">
        <v>58680</v>
      </c>
      <c r="H2147" s="1115" t="s">
        <v>3312</v>
      </c>
      <c r="I2147" s="1115" t="n">
        <v>58175</v>
      </c>
      <c r="J2147" s="1115" t="s">
        <v>764</v>
      </c>
    </row>
    <row r="2148" customFormat="false" ht="14.1" hidden="false" customHeight="true" outlineLevel="0" collapsed="false">
      <c r="A2148" s="1115" t="n">
        <v>58170</v>
      </c>
      <c r="B2148" s="1115" t="s">
        <v>167</v>
      </c>
      <c r="C2148" s="1115" t="n">
        <v>58170</v>
      </c>
      <c r="D2148" s="1115" t="s">
        <v>3259</v>
      </c>
      <c r="E2148" s="1115" t="s">
        <v>3096</v>
      </c>
      <c r="F2148" s="1115" t="n">
        <v>51840</v>
      </c>
      <c r="G2148" s="1115" t="n">
        <v>58685</v>
      </c>
      <c r="H2148" s="1115" t="s">
        <v>3313</v>
      </c>
      <c r="I2148" s="1115" t="n">
        <v>58180</v>
      </c>
      <c r="J2148" s="1115" t="s">
        <v>764</v>
      </c>
    </row>
    <row r="2149" customFormat="false" ht="14.1" hidden="false" customHeight="true" outlineLevel="0" collapsed="false">
      <c r="A2149" s="1115" t="n">
        <v>58175</v>
      </c>
      <c r="B2149" s="1115" t="s">
        <v>167</v>
      </c>
      <c r="C2149" s="1115" t="n">
        <v>58175</v>
      </c>
      <c r="D2149" s="1115" t="s">
        <v>764</v>
      </c>
      <c r="E2149" s="1115" t="s">
        <v>3314</v>
      </c>
      <c r="F2149" s="1115" t="n">
        <v>98990</v>
      </c>
      <c r="G2149" s="1115" t="n">
        <v>58690</v>
      </c>
      <c r="H2149" s="1115" t="s">
        <v>852</v>
      </c>
      <c r="I2149" s="1115" t="n">
        <v>58190</v>
      </c>
      <c r="J2149" s="1115" t="s">
        <v>764</v>
      </c>
    </row>
    <row r="2150" customFormat="false" ht="14.1" hidden="false" customHeight="true" outlineLevel="0" collapsed="false">
      <c r="A2150" s="1115" t="n">
        <v>58180</v>
      </c>
      <c r="B2150" s="1115" t="s">
        <v>167</v>
      </c>
      <c r="C2150" s="1115" t="n">
        <v>58180</v>
      </c>
      <c r="D2150" s="1115" t="s">
        <v>1909</v>
      </c>
      <c r="E2150" s="1115" t="s">
        <v>2924</v>
      </c>
      <c r="F2150" s="1115" t="n">
        <v>44820</v>
      </c>
      <c r="G2150" s="1115" t="n">
        <v>58700</v>
      </c>
      <c r="H2150" s="1115" t="s">
        <v>1515</v>
      </c>
      <c r="I2150" s="1115" t="n">
        <v>58200</v>
      </c>
      <c r="J2150" s="1115" t="s">
        <v>764</v>
      </c>
    </row>
    <row r="2151" customFormat="false" ht="14.1" hidden="false" customHeight="true" outlineLevel="0" collapsed="false">
      <c r="A2151" s="1115" t="n">
        <v>58190</v>
      </c>
      <c r="B2151" s="1115" t="s">
        <v>167</v>
      </c>
      <c r="C2151" s="1115" t="n">
        <v>58190</v>
      </c>
      <c r="D2151" s="1115" t="s">
        <v>1976</v>
      </c>
      <c r="E2151" s="1115" t="s">
        <v>3315</v>
      </c>
      <c r="F2151" s="1115" t="n">
        <v>66320</v>
      </c>
      <c r="G2151" s="1115" t="n">
        <v>58710</v>
      </c>
      <c r="H2151" s="1115" t="s">
        <v>3316</v>
      </c>
      <c r="I2151" s="1115" t="n">
        <v>58210</v>
      </c>
      <c r="J2151" s="1115" t="s">
        <v>764</v>
      </c>
    </row>
    <row r="2152" customFormat="false" ht="14.1" hidden="false" customHeight="true" outlineLevel="0" collapsed="false">
      <c r="A2152" s="1115" t="n">
        <v>58200</v>
      </c>
      <c r="B2152" s="1115" t="s">
        <v>167</v>
      </c>
      <c r="C2152" s="1115" t="n">
        <v>58200</v>
      </c>
      <c r="D2152" s="1115" t="s">
        <v>1048</v>
      </c>
      <c r="E2152" s="1115" t="s">
        <v>3317</v>
      </c>
      <c r="F2152" s="1115" t="n">
        <v>82290</v>
      </c>
      <c r="G2152" s="1115" t="n">
        <v>58720</v>
      </c>
      <c r="H2152" s="1115" t="s">
        <v>2129</v>
      </c>
      <c r="I2152" s="1115" t="n">
        <v>58220</v>
      </c>
      <c r="J2152" s="1115" t="s">
        <v>764</v>
      </c>
    </row>
    <row r="2153" customFormat="false" ht="14.1" hidden="false" customHeight="true" outlineLevel="0" collapsed="false">
      <c r="A2153" s="1115" t="n">
        <v>58210</v>
      </c>
      <c r="B2153" s="1115" t="s">
        <v>167</v>
      </c>
      <c r="C2153" s="1115" t="n">
        <v>58210</v>
      </c>
      <c r="D2153" s="1115" t="s">
        <v>3263</v>
      </c>
      <c r="E2153" s="1115" t="s">
        <v>2782</v>
      </c>
      <c r="F2153" s="1115" t="n">
        <v>41490</v>
      </c>
      <c r="G2153" s="1115" t="n">
        <v>58730</v>
      </c>
      <c r="H2153" s="1115" t="s">
        <v>2263</v>
      </c>
      <c r="I2153" s="1115" t="n">
        <v>58240</v>
      </c>
      <c r="J2153" s="1115" t="s">
        <v>764</v>
      </c>
    </row>
    <row r="2154" customFormat="false" ht="14.1" hidden="false" customHeight="true" outlineLevel="0" collapsed="false">
      <c r="A2154" s="1115" t="n">
        <v>58220</v>
      </c>
      <c r="B2154" s="1115" t="s">
        <v>167</v>
      </c>
      <c r="C2154" s="1115" t="n">
        <v>58220</v>
      </c>
      <c r="D2154" s="1115" t="s">
        <v>3037</v>
      </c>
      <c r="E2154" s="1115" t="s">
        <v>3318</v>
      </c>
      <c r="F2154" s="1115" t="n">
        <v>74720</v>
      </c>
      <c r="G2154" s="1115" t="n">
        <v>58740</v>
      </c>
      <c r="H2154" s="1115" t="s">
        <v>2786</v>
      </c>
      <c r="I2154" s="1115" t="n">
        <v>58250</v>
      </c>
      <c r="J2154" s="1115" t="s">
        <v>764</v>
      </c>
    </row>
    <row r="2155" customFormat="false" ht="14.1" hidden="false" customHeight="true" outlineLevel="0" collapsed="false">
      <c r="A2155" s="1115" t="n">
        <v>58240</v>
      </c>
      <c r="B2155" s="1115" t="s">
        <v>167</v>
      </c>
      <c r="C2155" s="1115" t="n">
        <v>58240</v>
      </c>
      <c r="D2155" s="1115" t="s">
        <v>3265</v>
      </c>
      <c r="E2155" s="1115" t="s">
        <v>1731</v>
      </c>
      <c r="F2155" s="1115" t="n">
        <v>16305</v>
      </c>
      <c r="G2155" s="1115" t="n">
        <v>58770</v>
      </c>
      <c r="H2155" s="1115" t="s">
        <v>3319</v>
      </c>
      <c r="I2155" s="1115" t="n">
        <v>58260</v>
      </c>
      <c r="J2155" s="1115" t="s">
        <v>764</v>
      </c>
    </row>
    <row r="2156" customFormat="false" ht="14.1" hidden="false" customHeight="true" outlineLevel="0" collapsed="false">
      <c r="A2156" s="1115" t="n">
        <v>58250</v>
      </c>
      <c r="B2156" s="1115" t="s">
        <v>167</v>
      </c>
      <c r="C2156" s="1115" t="n">
        <v>58250</v>
      </c>
      <c r="D2156" s="1115" t="s">
        <v>1496</v>
      </c>
      <c r="E2156" s="1115" t="s">
        <v>3320</v>
      </c>
      <c r="F2156" s="1115" t="n">
        <v>97550</v>
      </c>
      <c r="G2156" s="1115" t="n">
        <v>58810</v>
      </c>
      <c r="H2156" s="1115" t="s">
        <v>2195</v>
      </c>
      <c r="I2156" s="1115" t="n">
        <v>58265</v>
      </c>
      <c r="J2156" s="1115" t="s">
        <v>764</v>
      </c>
    </row>
    <row r="2157" customFormat="false" ht="14.1" hidden="false" customHeight="true" outlineLevel="0" collapsed="false">
      <c r="A2157" s="1115" t="n">
        <v>58260</v>
      </c>
      <c r="B2157" s="1115" t="s">
        <v>167</v>
      </c>
      <c r="C2157" s="1115" t="n">
        <v>58260</v>
      </c>
      <c r="D2157" s="1115" t="s">
        <v>2698</v>
      </c>
      <c r="E2157" s="1115" t="s">
        <v>2397</v>
      </c>
      <c r="F2157" s="1115" t="n">
        <v>32410</v>
      </c>
      <c r="G2157" s="1115" t="n">
        <v>58830</v>
      </c>
      <c r="H2157" s="1115" t="s">
        <v>3321</v>
      </c>
      <c r="I2157" s="1115" t="n">
        <v>58270</v>
      </c>
      <c r="J2157" s="1115" t="s">
        <v>764</v>
      </c>
    </row>
    <row r="2158" customFormat="false" ht="14.1" hidden="false" customHeight="true" outlineLevel="0" collapsed="false">
      <c r="A2158" s="1115" t="n">
        <v>58265</v>
      </c>
      <c r="B2158" s="1115" t="s">
        <v>167</v>
      </c>
      <c r="C2158" s="1115" t="n">
        <v>58265</v>
      </c>
      <c r="D2158" s="1115" t="s">
        <v>3269</v>
      </c>
      <c r="E2158" s="1115" t="s">
        <v>1738</v>
      </c>
      <c r="F2158" s="1115" t="n">
        <v>16350</v>
      </c>
      <c r="G2158" s="1115" t="n">
        <v>58840</v>
      </c>
      <c r="H2158" s="1115" t="s">
        <v>3322</v>
      </c>
      <c r="I2158" s="1115" t="n">
        <v>58290</v>
      </c>
      <c r="J2158" s="1115" t="s">
        <v>764</v>
      </c>
    </row>
    <row r="2159" customFormat="false" ht="14.1" hidden="false" customHeight="true" outlineLevel="0" collapsed="false">
      <c r="A2159" s="1115" t="n">
        <v>58270</v>
      </c>
      <c r="B2159" s="1115" t="s">
        <v>167</v>
      </c>
      <c r="C2159" s="1115" t="n">
        <v>58270</v>
      </c>
      <c r="D2159" s="1115" t="s">
        <v>1875</v>
      </c>
      <c r="E2159" s="1115" t="s">
        <v>2911</v>
      </c>
      <c r="F2159" s="1115" t="n">
        <v>44480</v>
      </c>
      <c r="G2159" s="1115" t="n">
        <v>58850</v>
      </c>
      <c r="H2159" s="1115" t="s">
        <v>1706</v>
      </c>
      <c r="I2159" s="1115" t="n">
        <v>58295</v>
      </c>
      <c r="J2159" s="1115" t="s">
        <v>764</v>
      </c>
    </row>
    <row r="2160" customFormat="false" ht="14.1" hidden="false" customHeight="true" outlineLevel="0" collapsed="false">
      <c r="A2160" s="1115" t="n">
        <v>58290</v>
      </c>
      <c r="B2160" s="1115" t="s">
        <v>167</v>
      </c>
      <c r="C2160" s="1115" t="n">
        <v>58290</v>
      </c>
      <c r="D2160" s="1115" t="s">
        <v>2309</v>
      </c>
      <c r="E2160" s="1115" t="s">
        <v>3323</v>
      </c>
      <c r="F2160" s="1115" t="n">
        <v>63210</v>
      </c>
      <c r="G2160" s="1115" t="n">
        <v>58900</v>
      </c>
      <c r="H2160" s="1115" t="s">
        <v>1413</v>
      </c>
      <c r="I2160" s="1115" t="n">
        <v>58300</v>
      </c>
      <c r="J2160" s="1115" t="s">
        <v>764</v>
      </c>
    </row>
    <row r="2161" customFormat="false" ht="14.1" hidden="false" customHeight="true" outlineLevel="0" collapsed="false">
      <c r="A2161" s="1115" t="n">
        <v>58295</v>
      </c>
      <c r="B2161" s="1115" t="s">
        <v>167</v>
      </c>
      <c r="C2161" s="1115" t="n">
        <v>58295</v>
      </c>
      <c r="D2161" s="1115" t="s">
        <v>1378</v>
      </c>
      <c r="E2161" s="1115" t="s">
        <v>3324</v>
      </c>
      <c r="F2161" s="1115" t="n">
        <v>79410</v>
      </c>
      <c r="G2161" s="1115" t="n">
        <v>58910</v>
      </c>
      <c r="H2161" s="1115" t="s">
        <v>1413</v>
      </c>
      <c r="I2161" s="1115" t="n">
        <v>58310</v>
      </c>
      <c r="J2161" s="1115" t="s">
        <v>764</v>
      </c>
    </row>
    <row r="2162" customFormat="false" ht="14.1" hidden="false" customHeight="true" outlineLevel="0" collapsed="false">
      <c r="A2162" s="1115" t="n">
        <v>58300</v>
      </c>
      <c r="B2162" s="1115" t="s">
        <v>167</v>
      </c>
      <c r="C2162" s="1115" t="n">
        <v>58300</v>
      </c>
      <c r="D2162" s="1115" t="s">
        <v>1486</v>
      </c>
      <c r="E2162" s="1115" t="s">
        <v>2665</v>
      </c>
      <c r="F2162" s="1115" t="n">
        <v>38840</v>
      </c>
      <c r="G2162" s="1115" t="n">
        <v>58920</v>
      </c>
      <c r="H2162" s="1115" t="s">
        <v>2522</v>
      </c>
      <c r="I2162" s="1115" t="n">
        <v>58320</v>
      </c>
      <c r="J2162" s="1115" t="s">
        <v>764</v>
      </c>
    </row>
    <row r="2163" customFormat="false" ht="14.1" hidden="false" customHeight="true" outlineLevel="0" collapsed="false">
      <c r="A2163" s="1115" t="n">
        <v>58310</v>
      </c>
      <c r="B2163" s="1115" t="s">
        <v>167</v>
      </c>
      <c r="C2163" s="1115" t="n">
        <v>58310</v>
      </c>
      <c r="D2163" s="1115" t="s">
        <v>2509</v>
      </c>
      <c r="E2163" s="1115" t="s">
        <v>3325</v>
      </c>
      <c r="F2163" s="1115" t="n">
        <v>73645</v>
      </c>
      <c r="G2163" s="1115" t="n">
        <v>58930</v>
      </c>
      <c r="H2163" s="1115" t="s">
        <v>2520</v>
      </c>
      <c r="I2163" s="1115" t="n">
        <v>58340</v>
      </c>
      <c r="J2163" s="1115" t="s">
        <v>764</v>
      </c>
    </row>
    <row r="2164" customFormat="false" ht="14.1" hidden="false" customHeight="true" outlineLevel="0" collapsed="false">
      <c r="A2164" s="1115" t="n">
        <v>58320</v>
      </c>
      <c r="B2164" s="1115" t="s">
        <v>167</v>
      </c>
      <c r="C2164" s="1115" t="n">
        <v>58320</v>
      </c>
      <c r="D2164" s="1115" t="s">
        <v>3276</v>
      </c>
      <c r="E2164" s="1115" t="s">
        <v>3326</v>
      </c>
      <c r="F2164" s="1115" t="n">
        <v>72310</v>
      </c>
      <c r="G2164" s="1115" t="n">
        <v>58940</v>
      </c>
      <c r="H2164" s="1115" t="s">
        <v>3327</v>
      </c>
      <c r="I2164" s="1115" t="n">
        <v>58350</v>
      </c>
      <c r="J2164" s="1115" t="s">
        <v>1053</v>
      </c>
    </row>
    <row r="2165" customFormat="false" ht="14.1" hidden="false" customHeight="true" outlineLevel="0" collapsed="false">
      <c r="A2165" s="1115" t="n">
        <v>58340</v>
      </c>
      <c r="B2165" s="1115" t="s">
        <v>167</v>
      </c>
      <c r="C2165" s="1115" t="n">
        <v>58340</v>
      </c>
      <c r="D2165" s="1115" t="s">
        <v>3278</v>
      </c>
      <c r="E2165" s="1115" t="s">
        <v>3328</v>
      </c>
      <c r="F2165" s="1115" t="n">
        <v>82675</v>
      </c>
      <c r="G2165" s="1115" t="n">
        <v>58950</v>
      </c>
      <c r="H2165" s="1115" t="s">
        <v>3329</v>
      </c>
      <c r="I2165" s="1115" t="n">
        <v>58360</v>
      </c>
      <c r="J2165" s="1115" t="s">
        <v>1053</v>
      </c>
    </row>
    <row r="2166" customFormat="false" ht="14.1" hidden="false" customHeight="true" outlineLevel="0" collapsed="false">
      <c r="A2166" s="1115" t="n">
        <v>58350</v>
      </c>
      <c r="B2166" s="1115" t="s">
        <v>167</v>
      </c>
      <c r="C2166" s="1115" t="n">
        <v>58350</v>
      </c>
      <c r="D2166" s="1115" t="s">
        <v>3279</v>
      </c>
      <c r="E2166" s="1115" t="s">
        <v>3330</v>
      </c>
      <c r="F2166" s="1115" t="n">
        <v>82220</v>
      </c>
      <c r="G2166" s="1115" t="n">
        <v>58960</v>
      </c>
      <c r="H2166" s="1115" t="s">
        <v>3331</v>
      </c>
      <c r="I2166" s="1115" t="n">
        <v>58370</v>
      </c>
      <c r="J2166" s="1115" t="s">
        <v>1053</v>
      </c>
    </row>
    <row r="2167" customFormat="false" ht="14.1" hidden="false" customHeight="true" outlineLevel="0" collapsed="false">
      <c r="A2167" s="1115" t="n">
        <v>58360</v>
      </c>
      <c r="B2167" s="1115" t="s">
        <v>167</v>
      </c>
      <c r="C2167" s="1115" t="n">
        <v>58360</v>
      </c>
      <c r="D2167" s="1115" t="s">
        <v>3280</v>
      </c>
      <c r="E2167" s="1115" t="s">
        <v>1857</v>
      </c>
      <c r="F2167" s="1115" t="n">
        <v>19320</v>
      </c>
      <c r="G2167" s="1115" t="n">
        <v>59100</v>
      </c>
      <c r="H2167" s="1115" t="s">
        <v>1320</v>
      </c>
      <c r="I2167" s="1115" t="n">
        <v>58390</v>
      </c>
      <c r="J2167" s="1115" t="s">
        <v>1053</v>
      </c>
    </row>
    <row r="2168" customFormat="false" ht="14.1" hidden="false" customHeight="true" outlineLevel="0" collapsed="false">
      <c r="A2168" s="1115" t="n">
        <v>58370</v>
      </c>
      <c r="B2168" s="1115" t="s">
        <v>167</v>
      </c>
      <c r="C2168" s="1115" t="n">
        <v>58370</v>
      </c>
      <c r="D2168" s="1115" t="s">
        <v>2945</v>
      </c>
      <c r="E2168" s="1115" t="s">
        <v>1217</v>
      </c>
      <c r="F2168" s="1115" t="n">
        <v>4130</v>
      </c>
      <c r="G2168" s="1115" t="n">
        <v>59110</v>
      </c>
      <c r="H2168" s="1115" t="s">
        <v>3332</v>
      </c>
      <c r="I2168" s="1115" t="n">
        <v>58410</v>
      </c>
      <c r="J2168" s="1115" t="s">
        <v>1053</v>
      </c>
    </row>
    <row r="2169" customFormat="false" ht="14.1" hidden="false" customHeight="true" outlineLevel="0" collapsed="false">
      <c r="A2169" s="1115" t="n">
        <v>58390</v>
      </c>
      <c r="B2169" s="1115" t="s">
        <v>167</v>
      </c>
      <c r="C2169" s="1115" t="n">
        <v>58390</v>
      </c>
      <c r="D2169" s="1115" t="s">
        <v>3282</v>
      </c>
      <c r="E2169" s="1115" t="s">
        <v>1215</v>
      </c>
      <c r="F2169" s="1115" t="n">
        <v>4110</v>
      </c>
      <c r="G2169" s="1115" t="n">
        <v>59130</v>
      </c>
      <c r="H2169" s="1115" t="s">
        <v>2477</v>
      </c>
      <c r="I2169" s="1115" t="n">
        <v>58420</v>
      </c>
      <c r="J2169" s="1115" t="s">
        <v>1053</v>
      </c>
    </row>
    <row r="2170" customFormat="false" ht="14.1" hidden="false" customHeight="true" outlineLevel="0" collapsed="false">
      <c r="A2170" s="1115" t="n">
        <v>58410</v>
      </c>
      <c r="B2170" s="1115" t="s">
        <v>167</v>
      </c>
      <c r="C2170" s="1115" t="n">
        <v>58410</v>
      </c>
      <c r="D2170" s="1115" t="s">
        <v>1264</v>
      </c>
      <c r="E2170" s="1115" t="s">
        <v>1265</v>
      </c>
      <c r="F2170" s="1115" t="n">
        <v>73300</v>
      </c>
      <c r="G2170" s="1115" t="n">
        <v>59210</v>
      </c>
      <c r="H2170" s="1115" t="s">
        <v>3161</v>
      </c>
      <c r="I2170" s="1115" t="n">
        <v>58430</v>
      </c>
      <c r="J2170" s="1115" t="s">
        <v>1376</v>
      </c>
    </row>
    <row r="2171" customFormat="false" ht="14.1" hidden="false" customHeight="true" outlineLevel="0" collapsed="false">
      <c r="A2171" s="1115" t="n">
        <v>58420</v>
      </c>
      <c r="B2171" s="1115" t="s">
        <v>167</v>
      </c>
      <c r="C2171" s="1115" t="n">
        <v>58420</v>
      </c>
      <c r="D2171" s="1115" t="s">
        <v>3284</v>
      </c>
      <c r="E2171" s="1115" t="s">
        <v>3240</v>
      </c>
      <c r="F2171" s="1115" t="n">
        <v>56550</v>
      </c>
      <c r="G2171" s="1115" t="n">
        <v>59220</v>
      </c>
      <c r="H2171" s="1115" t="s">
        <v>3333</v>
      </c>
      <c r="I2171" s="1115" t="n">
        <v>58440</v>
      </c>
      <c r="J2171" s="1115" t="s">
        <v>1376</v>
      </c>
    </row>
    <row r="2172" customFormat="false" ht="14.1" hidden="false" customHeight="true" outlineLevel="0" collapsed="false">
      <c r="A2172" s="1115" t="n">
        <v>58430</v>
      </c>
      <c r="B2172" s="1115" t="s">
        <v>167</v>
      </c>
      <c r="C2172" s="1115" t="n">
        <v>58430</v>
      </c>
      <c r="D2172" s="1115" t="s">
        <v>2681</v>
      </c>
      <c r="E2172" s="1115" t="s">
        <v>3334</v>
      </c>
      <c r="F2172" s="1115" t="n">
        <v>77210</v>
      </c>
      <c r="G2172" s="1115" t="n">
        <v>59310</v>
      </c>
      <c r="H2172" s="1115" t="s">
        <v>3335</v>
      </c>
      <c r="I2172" s="1115" t="n">
        <v>58450</v>
      </c>
      <c r="J2172" s="1115" t="s">
        <v>1376</v>
      </c>
    </row>
    <row r="2173" customFormat="false" ht="14.1" hidden="false" customHeight="true" outlineLevel="0" collapsed="false">
      <c r="A2173" s="1115" t="n">
        <v>58440</v>
      </c>
      <c r="B2173" s="1115" t="s">
        <v>167</v>
      </c>
      <c r="C2173" s="1115" t="n">
        <v>58440</v>
      </c>
      <c r="D2173" s="1115" t="s">
        <v>3286</v>
      </c>
      <c r="E2173" s="1115" t="s">
        <v>2715</v>
      </c>
      <c r="F2173" s="1115" t="n">
        <v>39870</v>
      </c>
      <c r="G2173" s="1115" t="n">
        <v>59320</v>
      </c>
      <c r="H2173" s="1115" t="s">
        <v>1284</v>
      </c>
      <c r="I2173" s="1115" t="n">
        <v>58460</v>
      </c>
      <c r="J2173" s="1115" t="s">
        <v>1376</v>
      </c>
    </row>
    <row r="2174" customFormat="false" ht="14.1" hidden="false" customHeight="true" outlineLevel="0" collapsed="false">
      <c r="A2174" s="1115" t="n">
        <v>58450</v>
      </c>
      <c r="B2174" s="1115" t="s">
        <v>167</v>
      </c>
      <c r="C2174" s="1115" t="n">
        <v>58450</v>
      </c>
      <c r="D2174" s="1115" t="s">
        <v>1376</v>
      </c>
      <c r="E2174" s="1115" t="s">
        <v>3198</v>
      </c>
      <c r="F2174" s="1115" t="n">
        <v>54715</v>
      </c>
      <c r="G2174" s="1115" t="n">
        <v>59410</v>
      </c>
      <c r="H2174" s="1115" t="s">
        <v>2440</v>
      </c>
      <c r="I2174" s="1115" t="n">
        <v>58470</v>
      </c>
      <c r="J2174" s="1115" t="s">
        <v>1376</v>
      </c>
    </row>
    <row r="2175" customFormat="false" ht="14.1" hidden="false" customHeight="true" outlineLevel="0" collapsed="false">
      <c r="A2175" s="1115" t="n">
        <v>58460</v>
      </c>
      <c r="B2175" s="1115" t="s">
        <v>167</v>
      </c>
      <c r="C2175" s="1115" t="n">
        <v>58460</v>
      </c>
      <c r="D2175" s="1115" t="s">
        <v>3288</v>
      </c>
      <c r="E2175" s="1115" t="s">
        <v>3336</v>
      </c>
      <c r="F2175" s="1115" t="n">
        <v>74250</v>
      </c>
      <c r="G2175" s="1115" t="n">
        <v>59420</v>
      </c>
      <c r="H2175" s="1115" t="s">
        <v>2395</v>
      </c>
      <c r="I2175" s="1115" t="n">
        <v>58480</v>
      </c>
      <c r="J2175" s="1115" t="s">
        <v>1376</v>
      </c>
    </row>
    <row r="2176" customFormat="false" ht="14.1" hidden="false" customHeight="true" outlineLevel="0" collapsed="false">
      <c r="A2176" s="1115" t="n">
        <v>58470</v>
      </c>
      <c r="B2176" s="1115" t="s">
        <v>167</v>
      </c>
      <c r="C2176" s="1115" t="n">
        <v>58470</v>
      </c>
      <c r="D2176" s="1115" t="s">
        <v>3204</v>
      </c>
      <c r="E2176" s="1115" t="s">
        <v>2688</v>
      </c>
      <c r="F2176" s="1115" t="n">
        <v>39350</v>
      </c>
      <c r="G2176" s="1115" t="n">
        <v>59430</v>
      </c>
      <c r="H2176" s="1115" t="s">
        <v>3337</v>
      </c>
      <c r="I2176" s="1115" t="n">
        <v>58490</v>
      </c>
      <c r="J2176" s="1115" t="s">
        <v>1376</v>
      </c>
    </row>
    <row r="2177" customFormat="false" ht="14.1" hidden="false" customHeight="true" outlineLevel="0" collapsed="false">
      <c r="A2177" s="1115" t="n">
        <v>58480</v>
      </c>
      <c r="B2177" s="1115" t="s">
        <v>167</v>
      </c>
      <c r="C2177" s="1115" t="n">
        <v>58480</v>
      </c>
      <c r="D2177" s="1115" t="s">
        <v>3290</v>
      </c>
      <c r="E2177" s="1115" t="s">
        <v>3338</v>
      </c>
      <c r="F2177" s="1115" t="n">
        <v>59720</v>
      </c>
      <c r="G2177" s="1115" t="n">
        <v>59510</v>
      </c>
      <c r="H2177" s="1115" t="s">
        <v>3110</v>
      </c>
      <c r="I2177" s="1115" t="n">
        <v>58500</v>
      </c>
      <c r="J2177" s="1115" t="s">
        <v>1376</v>
      </c>
    </row>
    <row r="2178" customFormat="false" ht="14.1" hidden="false" customHeight="true" outlineLevel="0" collapsed="false">
      <c r="A2178" s="1115" t="n">
        <v>58490</v>
      </c>
      <c r="B2178" s="1115" t="s">
        <v>167</v>
      </c>
      <c r="C2178" s="1115" t="n">
        <v>58490</v>
      </c>
      <c r="D2178" s="1115" t="s">
        <v>3292</v>
      </c>
      <c r="E2178" s="1115" t="s">
        <v>1268</v>
      </c>
      <c r="F2178" s="1115" t="n">
        <v>85500</v>
      </c>
      <c r="G2178" s="1115" t="n">
        <v>59520</v>
      </c>
      <c r="H2178" s="1115" t="s">
        <v>3339</v>
      </c>
      <c r="I2178" s="1115" t="n">
        <v>58510</v>
      </c>
      <c r="J2178" s="1115" t="s">
        <v>1376</v>
      </c>
    </row>
    <row r="2179" customFormat="false" ht="14.1" hidden="false" customHeight="true" outlineLevel="0" collapsed="false">
      <c r="A2179" s="1115" t="n">
        <v>58500</v>
      </c>
      <c r="B2179" s="1115" t="s">
        <v>167</v>
      </c>
      <c r="C2179" s="1115" t="n">
        <v>58500</v>
      </c>
      <c r="D2179" s="1115" t="s">
        <v>3294</v>
      </c>
      <c r="E2179" s="1115" t="s">
        <v>1268</v>
      </c>
      <c r="F2179" s="1115" t="n">
        <v>85540</v>
      </c>
      <c r="G2179" s="1115" t="n">
        <v>59530</v>
      </c>
      <c r="H2179" s="1115" t="s">
        <v>3200</v>
      </c>
      <c r="I2179" s="1115" t="n">
        <v>58520</v>
      </c>
      <c r="J2179" s="1115" t="s">
        <v>1376</v>
      </c>
    </row>
    <row r="2180" customFormat="false" ht="14.1" hidden="false" customHeight="true" outlineLevel="0" collapsed="false">
      <c r="A2180" s="1115" t="n">
        <v>58510</v>
      </c>
      <c r="B2180" s="1115" t="s">
        <v>167</v>
      </c>
      <c r="C2180" s="1115" t="n">
        <v>58510</v>
      </c>
      <c r="D2180" s="1115" t="s">
        <v>1086</v>
      </c>
      <c r="E2180" s="1115" t="s">
        <v>2140</v>
      </c>
      <c r="F2180" s="1115" t="n">
        <v>25840</v>
      </c>
      <c r="G2180" s="1115" t="n">
        <v>59610</v>
      </c>
      <c r="H2180" s="1115" t="s">
        <v>3340</v>
      </c>
      <c r="I2180" s="1115" t="n">
        <v>58530</v>
      </c>
      <c r="J2180" s="1115" t="s">
        <v>1376</v>
      </c>
    </row>
    <row r="2181" customFormat="false" ht="14.1" hidden="false" customHeight="true" outlineLevel="0" collapsed="false">
      <c r="A2181" s="1115" t="n">
        <v>58520</v>
      </c>
      <c r="B2181" s="1115" t="s">
        <v>167</v>
      </c>
      <c r="C2181" s="1115" t="n">
        <v>58520</v>
      </c>
      <c r="D2181" s="1115" t="s">
        <v>1739</v>
      </c>
      <c r="E2181" s="1115" t="s">
        <v>2621</v>
      </c>
      <c r="F2181" s="1115" t="n">
        <v>38110</v>
      </c>
      <c r="G2181" s="1115" t="n">
        <v>59710</v>
      </c>
      <c r="H2181" s="1115" t="s">
        <v>2692</v>
      </c>
      <c r="I2181" s="1115" t="n">
        <v>58540</v>
      </c>
      <c r="J2181" s="1115" t="s">
        <v>1376</v>
      </c>
    </row>
    <row r="2182" customFormat="false" ht="14.1" hidden="false" customHeight="true" outlineLevel="0" collapsed="false">
      <c r="A2182" s="1115" t="n">
        <v>58530</v>
      </c>
      <c r="B2182" s="1115" t="s">
        <v>167</v>
      </c>
      <c r="C2182" s="1115" t="n">
        <v>58530</v>
      </c>
      <c r="D2182" s="1115" t="s">
        <v>3295</v>
      </c>
      <c r="E2182" s="1115" t="s">
        <v>1271</v>
      </c>
      <c r="F2182" s="1115" t="n">
        <v>37100</v>
      </c>
      <c r="G2182" s="1115" t="n">
        <v>59720</v>
      </c>
      <c r="H2182" s="1115" t="s">
        <v>3338</v>
      </c>
      <c r="I2182" s="1115" t="n">
        <v>58550</v>
      </c>
      <c r="J2182" s="1115" t="s">
        <v>1376</v>
      </c>
    </row>
    <row r="2183" customFormat="false" ht="14.1" hidden="false" customHeight="true" outlineLevel="0" collapsed="false">
      <c r="A2183" s="1115" t="n">
        <v>58540</v>
      </c>
      <c r="B2183" s="1115" t="s">
        <v>167</v>
      </c>
      <c r="C2183" s="1115" t="n">
        <v>58540</v>
      </c>
      <c r="D2183" s="1115" t="s">
        <v>3296</v>
      </c>
      <c r="E2183" s="1115" t="s">
        <v>1271</v>
      </c>
      <c r="F2183" s="1115" t="n">
        <v>37120</v>
      </c>
      <c r="G2183" s="1115" t="n">
        <v>59730</v>
      </c>
      <c r="H2183" s="1115" t="s">
        <v>3341</v>
      </c>
      <c r="I2183" s="1115" t="n">
        <v>58560</v>
      </c>
      <c r="J2183" s="1115" t="s">
        <v>1376</v>
      </c>
    </row>
    <row r="2184" customFormat="false" ht="14.1" hidden="false" customHeight="true" outlineLevel="0" collapsed="false">
      <c r="A2184" s="1115" t="n">
        <v>58550</v>
      </c>
      <c r="B2184" s="1115" t="s">
        <v>167</v>
      </c>
      <c r="C2184" s="1115" t="n">
        <v>58550</v>
      </c>
      <c r="D2184" s="1115" t="s">
        <v>3298</v>
      </c>
      <c r="E2184" s="1115" t="s">
        <v>1271</v>
      </c>
      <c r="F2184" s="1115" t="n">
        <v>37130</v>
      </c>
      <c r="G2184" s="1115" t="n">
        <v>59800</v>
      </c>
      <c r="H2184" s="1115" t="s">
        <v>1053</v>
      </c>
      <c r="I2184" s="1115" t="n">
        <v>58570</v>
      </c>
      <c r="J2184" s="1115" t="s">
        <v>1376</v>
      </c>
    </row>
    <row r="2185" customFormat="false" ht="14.1" hidden="false" customHeight="true" outlineLevel="0" collapsed="false">
      <c r="A2185" s="1115" t="n">
        <v>58560</v>
      </c>
      <c r="B2185" s="1115" t="s">
        <v>167</v>
      </c>
      <c r="C2185" s="1115" t="n">
        <v>58560</v>
      </c>
      <c r="D2185" s="1115" t="s">
        <v>3299</v>
      </c>
      <c r="E2185" s="1115" t="s">
        <v>1271</v>
      </c>
      <c r="F2185" s="1115" t="n">
        <v>37140</v>
      </c>
      <c r="G2185" s="1115" t="n">
        <v>59810</v>
      </c>
      <c r="H2185" s="1115" t="s">
        <v>3342</v>
      </c>
      <c r="I2185" s="1115" t="n">
        <v>58580</v>
      </c>
      <c r="J2185" s="1115" t="s">
        <v>1376</v>
      </c>
    </row>
    <row r="2186" customFormat="false" ht="14.1" hidden="false" customHeight="true" outlineLevel="0" collapsed="false">
      <c r="A2186" s="1115" t="n">
        <v>58570</v>
      </c>
      <c r="B2186" s="1115" t="s">
        <v>167</v>
      </c>
      <c r="C2186" s="1115" t="n">
        <v>58570</v>
      </c>
      <c r="D2186" s="1115" t="s">
        <v>3301</v>
      </c>
      <c r="E2186" s="1115" t="s">
        <v>1271</v>
      </c>
      <c r="F2186" s="1115" t="n">
        <v>37150</v>
      </c>
      <c r="G2186" s="1115" t="n">
        <v>59820</v>
      </c>
      <c r="H2186" s="1115" t="s">
        <v>3343</v>
      </c>
      <c r="I2186" s="1115" t="n">
        <v>58610</v>
      </c>
      <c r="J2186" s="1115" t="s">
        <v>1515</v>
      </c>
    </row>
    <row r="2187" customFormat="false" ht="14.1" hidden="false" customHeight="true" outlineLevel="0" collapsed="false">
      <c r="A2187" s="1115" t="n">
        <v>58580</v>
      </c>
      <c r="B2187" s="1115" t="s">
        <v>167</v>
      </c>
      <c r="C2187" s="1115" t="n">
        <v>58580</v>
      </c>
      <c r="D2187" s="1115" t="s">
        <v>3303</v>
      </c>
      <c r="E2187" s="1115" t="s">
        <v>1876</v>
      </c>
      <c r="F2187" s="1115" t="n">
        <v>19560</v>
      </c>
      <c r="G2187" s="1115" t="n">
        <v>59830</v>
      </c>
      <c r="H2187" s="1115" t="s">
        <v>3344</v>
      </c>
      <c r="I2187" s="1115" t="n">
        <v>58620</v>
      </c>
      <c r="J2187" s="1115" t="s">
        <v>1515</v>
      </c>
    </row>
    <row r="2188" customFormat="false" ht="14.1" hidden="false" customHeight="true" outlineLevel="0" collapsed="false">
      <c r="A2188" s="1115" t="n">
        <v>58610</v>
      </c>
      <c r="B2188" s="1115" t="s">
        <v>167</v>
      </c>
      <c r="C2188" s="1115" t="n">
        <v>58610</v>
      </c>
      <c r="D2188" s="1115" t="s">
        <v>3305</v>
      </c>
      <c r="E2188" s="1115" t="s">
        <v>3186</v>
      </c>
      <c r="F2188" s="1115" t="n">
        <v>54480</v>
      </c>
      <c r="G2188" s="1115" t="n">
        <v>59910</v>
      </c>
      <c r="H2188" s="1115" t="s">
        <v>3065</v>
      </c>
      <c r="I2188" s="1115" t="n">
        <v>58620</v>
      </c>
      <c r="J2188" s="1115" t="s">
        <v>1515</v>
      </c>
    </row>
    <row r="2189" customFormat="false" ht="14.1" hidden="false" customHeight="true" outlineLevel="0" collapsed="false">
      <c r="A2189" s="1115" t="n">
        <v>58620</v>
      </c>
      <c r="B2189" s="1115" t="s">
        <v>167</v>
      </c>
      <c r="C2189" s="1115" t="n">
        <v>58620</v>
      </c>
      <c r="D2189" s="1115" t="s">
        <v>3012</v>
      </c>
      <c r="E2189" s="1115" t="s">
        <v>3345</v>
      </c>
      <c r="F2189" s="1115" t="n">
        <v>97880</v>
      </c>
      <c r="G2189" s="1115" t="n">
        <v>60060</v>
      </c>
      <c r="H2189" s="1115" t="s">
        <v>941</v>
      </c>
      <c r="I2189" s="1115" t="n">
        <v>58640</v>
      </c>
      <c r="J2189" s="1115" t="s">
        <v>1515</v>
      </c>
    </row>
    <row r="2190" customFormat="false" ht="14.1" hidden="false" customHeight="true" outlineLevel="0" collapsed="false">
      <c r="A2190" s="1115" t="n">
        <v>58620</v>
      </c>
      <c r="B2190" s="1115" t="s">
        <v>167</v>
      </c>
      <c r="C2190" s="1115" t="n">
        <v>58620</v>
      </c>
      <c r="D2190" s="1115" t="s">
        <v>3307</v>
      </c>
      <c r="E2190" s="1115" t="s">
        <v>1274</v>
      </c>
      <c r="F2190" s="1115" t="n">
        <v>29600</v>
      </c>
      <c r="G2190" s="1115" t="n">
        <v>60100</v>
      </c>
      <c r="H2190" s="1115" t="s">
        <v>1490</v>
      </c>
      <c r="I2190" s="1115" t="n">
        <v>58650</v>
      </c>
      <c r="J2190" s="1115" t="s">
        <v>1515</v>
      </c>
    </row>
    <row r="2191" customFormat="false" ht="14.1" hidden="false" customHeight="true" outlineLevel="0" collapsed="false">
      <c r="A2191" s="1115" t="n">
        <v>58640</v>
      </c>
      <c r="B2191" s="1115" t="s">
        <v>167</v>
      </c>
      <c r="C2191" s="1115" t="n">
        <v>58640</v>
      </c>
      <c r="D2191" s="1115" t="s">
        <v>2994</v>
      </c>
      <c r="E2191" s="1115" t="s">
        <v>3346</v>
      </c>
      <c r="F2191" s="1115" t="n">
        <v>61340</v>
      </c>
      <c r="G2191" s="1115" t="n">
        <v>60110</v>
      </c>
      <c r="H2191" s="1115" t="s">
        <v>1490</v>
      </c>
      <c r="I2191" s="1115" t="n">
        <v>58670</v>
      </c>
      <c r="J2191" s="1115" t="s">
        <v>1515</v>
      </c>
    </row>
    <row r="2192" customFormat="false" ht="14.1" hidden="false" customHeight="true" outlineLevel="0" collapsed="false">
      <c r="A2192" s="1115" t="n">
        <v>58650</v>
      </c>
      <c r="B2192" s="1115" t="s">
        <v>167</v>
      </c>
      <c r="C2192" s="1115" t="n">
        <v>58650</v>
      </c>
      <c r="D2192" s="1115" t="s">
        <v>2450</v>
      </c>
      <c r="E2192" s="1115" t="s">
        <v>3347</v>
      </c>
      <c r="F2192" s="1115" t="n">
        <v>61840</v>
      </c>
      <c r="G2192" s="1115" t="n">
        <v>60120</v>
      </c>
      <c r="H2192" s="1115" t="s">
        <v>1490</v>
      </c>
      <c r="I2192" s="1115" t="n">
        <v>58680</v>
      </c>
      <c r="J2192" s="1115" t="s">
        <v>1515</v>
      </c>
    </row>
    <row r="2193" customFormat="false" ht="14.1" hidden="false" customHeight="true" outlineLevel="0" collapsed="false">
      <c r="A2193" s="1115" t="n">
        <v>58670</v>
      </c>
      <c r="B2193" s="1115" t="s">
        <v>167</v>
      </c>
      <c r="C2193" s="1115" t="n">
        <v>58670</v>
      </c>
      <c r="D2193" s="1115" t="s">
        <v>3311</v>
      </c>
      <c r="E2193" s="1115" t="s">
        <v>3050</v>
      </c>
      <c r="F2193" s="1115" t="n">
        <v>50350</v>
      </c>
      <c r="G2193" s="1115" t="n">
        <v>60150</v>
      </c>
      <c r="H2193" s="1115" t="s">
        <v>1490</v>
      </c>
      <c r="I2193" s="1115" t="n">
        <v>58685</v>
      </c>
      <c r="J2193" s="1115" t="s">
        <v>1515</v>
      </c>
    </row>
    <row r="2194" customFormat="false" ht="14.1" hidden="false" customHeight="true" outlineLevel="0" collapsed="false">
      <c r="A2194" s="1115" t="n">
        <v>58680</v>
      </c>
      <c r="B2194" s="1115" t="s">
        <v>167</v>
      </c>
      <c r="C2194" s="1115" t="n">
        <v>58680</v>
      </c>
      <c r="D2194" s="1115" t="s">
        <v>3312</v>
      </c>
      <c r="E2194" s="1115" t="s">
        <v>3348</v>
      </c>
      <c r="F2194" s="1115" t="n">
        <v>65920</v>
      </c>
      <c r="G2194" s="1115" t="n">
        <v>60200</v>
      </c>
      <c r="H2194" s="1115" t="s">
        <v>1490</v>
      </c>
      <c r="I2194" s="1115" t="n">
        <v>58690</v>
      </c>
      <c r="J2194" s="1115" t="s">
        <v>1515</v>
      </c>
    </row>
    <row r="2195" customFormat="false" ht="14.1" hidden="false" customHeight="true" outlineLevel="0" collapsed="false">
      <c r="A2195" s="1115" t="n">
        <v>58685</v>
      </c>
      <c r="B2195" s="1115" t="s">
        <v>167</v>
      </c>
      <c r="C2195" s="1115" t="n">
        <v>58685</v>
      </c>
      <c r="D2195" s="1115" t="s">
        <v>3313</v>
      </c>
      <c r="E2195" s="1115" t="s">
        <v>3349</v>
      </c>
      <c r="F2195" s="1115" t="n">
        <v>68430</v>
      </c>
      <c r="G2195" s="1115" t="n">
        <v>60220</v>
      </c>
      <c r="H2195" s="1115" t="s">
        <v>1490</v>
      </c>
      <c r="I2195" s="1115" t="n">
        <v>58700</v>
      </c>
      <c r="J2195" s="1115" t="s">
        <v>1515</v>
      </c>
    </row>
    <row r="2196" customFormat="false" ht="14.1" hidden="false" customHeight="true" outlineLevel="0" collapsed="false">
      <c r="A2196" s="1115" t="n">
        <v>58690</v>
      </c>
      <c r="B2196" s="1115" t="s">
        <v>167</v>
      </c>
      <c r="C2196" s="1115" t="n">
        <v>58690</v>
      </c>
      <c r="D2196" s="1115" t="s">
        <v>852</v>
      </c>
      <c r="E2196" s="1115" t="s">
        <v>3350</v>
      </c>
      <c r="F2196" s="1115" t="n">
        <v>64530</v>
      </c>
      <c r="G2196" s="1115" t="n">
        <v>60280</v>
      </c>
      <c r="H2196" s="1115" t="s">
        <v>1490</v>
      </c>
      <c r="I2196" s="1115" t="n">
        <v>58710</v>
      </c>
      <c r="J2196" s="1115" t="s">
        <v>1515</v>
      </c>
    </row>
    <row r="2197" customFormat="false" ht="14.1" hidden="false" customHeight="true" outlineLevel="0" collapsed="false">
      <c r="A2197" s="1115" t="n">
        <v>58700</v>
      </c>
      <c r="B2197" s="1115" t="s">
        <v>167</v>
      </c>
      <c r="C2197" s="1115" t="n">
        <v>58700</v>
      </c>
      <c r="D2197" s="1115" t="s">
        <v>1515</v>
      </c>
      <c r="E2197" s="1115" t="s">
        <v>3350</v>
      </c>
      <c r="F2197" s="1115" t="n">
        <v>64530</v>
      </c>
      <c r="G2197" s="1115" t="n">
        <v>60320</v>
      </c>
      <c r="H2197" s="1115" t="s">
        <v>1490</v>
      </c>
      <c r="I2197" s="1115" t="n">
        <v>58720</v>
      </c>
      <c r="J2197" s="1115" t="s">
        <v>1515</v>
      </c>
    </row>
    <row r="2198" customFormat="false" ht="14.1" hidden="false" customHeight="true" outlineLevel="0" collapsed="false">
      <c r="A2198" s="1115" t="n">
        <v>58710</v>
      </c>
      <c r="B2198" s="1115" t="s">
        <v>167</v>
      </c>
      <c r="C2198" s="1115" t="n">
        <v>58710</v>
      </c>
      <c r="D2198" s="1115" t="s">
        <v>3316</v>
      </c>
      <c r="E2198" s="1115" t="s">
        <v>1992</v>
      </c>
      <c r="F2198" s="1115" t="n">
        <v>21750</v>
      </c>
      <c r="G2198" s="1115" t="n">
        <v>60320</v>
      </c>
      <c r="H2198" s="1115" t="s">
        <v>1490</v>
      </c>
      <c r="I2198" s="1115" t="n">
        <v>58730</v>
      </c>
      <c r="J2198" s="1115" t="s">
        <v>1515</v>
      </c>
    </row>
    <row r="2199" customFormat="false" ht="14.1" hidden="false" customHeight="true" outlineLevel="0" collapsed="false">
      <c r="A2199" s="1115" t="n">
        <v>58720</v>
      </c>
      <c r="B2199" s="1115" t="s">
        <v>167</v>
      </c>
      <c r="C2199" s="1115" t="n">
        <v>58720</v>
      </c>
      <c r="D2199" s="1115" t="s">
        <v>2129</v>
      </c>
      <c r="E2199" s="1115" t="s">
        <v>1277</v>
      </c>
      <c r="F2199" s="1115" t="n">
        <v>21270</v>
      </c>
      <c r="G2199" s="1115" t="n">
        <v>60420</v>
      </c>
      <c r="H2199" s="1115" t="s">
        <v>1490</v>
      </c>
      <c r="I2199" s="1115" t="n">
        <v>58740</v>
      </c>
      <c r="J2199" s="1115" t="s">
        <v>1515</v>
      </c>
    </row>
    <row r="2200" customFormat="false" ht="14.1" hidden="false" customHeight="true" outlineLevel="0" collapsed="false">
      <c r="A2200" s="1115" t="n">
        <v>58730</v>
      </c>
      <c r="B2200" s="1115" t="s">
        <v>167</v>
      </c>
      <c r="C2200" s="1115" t="n">
        <v>58730</v>
      </c>
      <c r="D2200" s="1115" t="s">
        <v>2263</v>
      </c>
      <c r="E2200" s="1115" t="s">
        <v>3351</v>
      </c>
      <c r="F2200" s="1115" t="n">
        <v>98860</v>
      </c>
      <c r="G2200" s="1115" t="n">
        <v>60450</v>
      </c>
      <c r="H2200" s="1115" t="s">
        <v>3223</v>
      </c>
      <c r="I2200" s="1115" t="n">
        <v>58770</v>
      </c>
      <c r="J2200" s="1115" t="s">
        <v>1515</v>
      </c>
    </row>
    <row r="2201" customFormat="false" ht="14.1" hidden="false" customHeight="true" outlineLevel="0" collapsed="false">
      <c r="A2201" s="1115" t="n">
        <v>58740</v>
      </c>
      <c r="B2201" s="1115" t="s">
        <v>167</v>
      </c>
      <c r="C2201" s="1115" t="n">
        <v>58740</v>
      </c>
      <c r="D2201" s="1115" t="s">
        <v>2786</v>
      </c>
      <c r="E2201" s="1115" t="s">
        <v>3169</v>
      </c>
      <c r="F2201" s="1115" t="n">
        <v>54230</v>
      </c>
      <c r="G2201" s="1115" t="n">
        <v>60450</v>
      </c>
      <c r="H2201" s="1115" t="s">
        <v>3223</v>
      </c>
      <c r="I2201" s="1115" t="n">
        <v>58810</v>
      </c>
      <c r="J2201" s="1115" t="s">
        <v>1515</v>
      </c>
    </row>
    <row r="2202" customFormat="false" ht="14.1" hidden="false" customHeight="true" outlineLevel="0" collapsed="false">
      <c r="A2202" s="1115" t="n">
        <v>58770</v>
      </c>
      <c r="B2202" s="1115" t="s">
        <v>167</v>
      </c>
      <c r="C2202" s="1115" t="n">
        <v>58770</v>
      </c>
      <c r="D2202" s="1115" t="s">
        <v>3319</v>
      </c>
      <c r="E2202" s="1115" t="s">
        <v>1306</v>
      </c>
      <c r="F2202" s="1115" t="n">
        <v>5450</v>
      </c>
      <c r="G2202" s="1115" t="n">
        <v>60510</v>
      </c>
      <c r="H2202" s="1115" t="s">
        <v>1841</v>
      </c>
      <c r="I2202" s="1115" t="n">
        <v>58830</v>
      </c>
      <c r="J2202" s="1115" t="s">
        <v>1413</v>
      </c>
    </row>
    <row r="2203" customFormat="false" ht="14.1" hidden="false" customHeight="true" outlineLevel="0" collapsed="false">
      <c r="A2203" s="1115" t="n">
        <v>58810</v>
      </c>
      <c r="B2203" s="1115" t="s">
        <v>167</v>
      </c>
      <c r="C2203" s="1115" t="n">
        <v>58810</v>
      </c>
      <c r="D2203" s="1115" t="s">
        <v>2195</v>
      </c>
      <c r="E2203" s="1115" t="s">
        <v>1169</v>
      </c>
      <c r="F2203" s="1115" t="n">
        <v>3100</v>
      </c>
      <c r="G2203" s="1115" t="n">
        <v>60550</v>
      </c>
      <c r="H2203" s="1115" t="s">
        <v>1286</v>
      </c>
      <c r="I2203" s="1115" t="n">
        <v>58840</v>
      </c>
      <c r="J2203" s="1115" t="s">
        <v>1413</v>
      </c>
    </row>
    <row r="2204" customFormat="false" ht="14.1" hidden="false" customHeight="true" outlineLevel="0" collapsed="false">
      <c r="A2204" s="1115" t="n">
        <v>58830</v>
      </c>
      <c r="B2204" s="1115" t="s">
        <v>167</v>
      </c>
      <c r="C2204" s="1115" t="n">
        <v>58830</v>
      </c>
      <c r="D2204" s="1115" t="s">
        <v>3321</v>
      </c>
      <c r="E2204" s="1115" t="s">
        <v>1249</v>
      </c>
      <c r="F2204" s="1115" t="n">
        <v>4460</v>
      </c>
      <c r="G2204" s="1115" t="n">
        <v>60550</v>
      </c>
      <c r="H2204" s="1115" t="s">
        <v>1286</v>
      </c>
      <c r="I2204" s="1115" t="n">
        <v>58850</v>
      </c>
      <c r="J2204" s="1115" t="s">
        <v>1413</v>
      </c>
    </row>
    <row r="2205" customFormat="false" ht="14.1" hidden="false" customHeight="true" outlineLevel="0" collapsed="false">
      <c r="A2205" s="1115" t="n">
        <v>58840</v>
      </c>
      <c r="B2205" s="1115" t="s">
        <v>167</v>
      </c>
      <c r="C2205" s="1115" t="n">
        <v>58840</v>
      </c>
      <c r="D2205" s="1115" t="s">
        <v>3322</v>
      </c>
      <c r="E2205" s="1115" t="s">
        <v>1524</v>
      </c>
      <c r="F2205" s="1115" t="n">
        <v>9810</v>
      </c>
      <c r="G2205" s="1115" t="n">
        <v>60560</v>
      </c>
      <c r="H2205" s="1115" t="s">
        <v>1335</v>
      </c>
      <c r="I2205" s="1115" t="n">
        <v>58900</v>
      </c>
      <c r="J2205" s="1115" t="s">
        <v>1413</v>
      </c>
    </row>
    <row r="2206" customFormat="false" ht="14.1" hidden="false" customHeight="true" outlineLevel="0" collapsed="false">
      <c r="A2206" s="1115" t="n">
        <v>58850</v>
      </c>
      <c r="B2206" s="1115" t="s">
        <v>167</v>
      </c>
      <c r="C2206" s="1115" t="n">
        <v>58850</v>
      </c>
      <c r="D2206" s="1115" t="s">
        <v>1706</v>
      </c>
      <c r="E2206" s="1115" t="s">
        <v>3352</v>
      </c>
      <c r="F2206" s="1115" t="n">
        <v>61910</v>
      </c>
      <c r="G2206" s="1115" t="n">
        <v>60640</v>
      </c>
      <c r="H2206" s="1115" t="s">
        <v>1960</v>
      </c>
      <c r="I2206" s="1115" t="n">
        <v>58910</v>
      </c>
      <c r="J2206" s="1115" t="s">
        <v>1413</v>
      </c>
    </row>
    <row r="2207" customFormat="false" ht="14.1" hidden="false" customHeight="true" outlineLevel="0" collapsed="false">
      <c r="A2207" s="1115" t="n">
        <v>58900</v>
      </c>
      <c r="B2207" s="1115" t="s">
        <v>167</v>
      </c>
      <c r="C2207" s="1115" t="n">
        <v>58900</v>
      </c>
      <c r="D2207" s="1115" t="s">
        <v>1413</v>
      </c>
      <c r="E2207" s="1115" t="s">
        <v>3353</v>
      </c>
      <c r="F2207" s="1115" t="n">
        <v>61920</v>
      </c>
      <c r="G2207" s="1115" t="n">
        <v>60720</v>
      </c>
      <c r="H2207" s="1115" t="s">
        <v>3354</v>
      </c>
      <c r="I2207" s="1115" t="n">
        <v>58920</v>
      </c>
      <c r="J2207" s="1115" t="s">
        <v>1413</v>
      </c>
    </row>
    <row r="2208" customFormat="false" ht="14.1" hidden="false" customHeight="true" outlineLevel="0" collapsed="false">
      <c r="A2208" s="1115" t="n">
        <v>58910</v>
      </c>
      <c r="B2208" s="1115" t="s">
        <v>167</v>
      </c>
      <c r="C2208" s="1115" t="n">
        <v>58910</v>
      </c>
      <c r="D2208" s="1115" t="s">
        <v>1413</v>
      </c>
      <c r="E2208" s="1115" t="s">
        <v>1263</v>
      </c>
      <c r="F2208" s="1115" t="n">
        <v>4660</v>
      </c>
      <c r="G2208" s="1115" t="n">
        <v>60760</v>
      </c>
      <c r="H2208" s="1115" t="s">
        <v>3355</v>
      </c>
      <c r="I2208" s="1115" t="n">
        <v>58930</v>
      </c>
      <c r="J2208" s="1115" t="s">
        <v>1413</v>
      </c>
    </row>
    <row r="2209" customFormat="false" ht="14.1" hidden="false" customHeight="true" outlineLevel="0" collapsed="false">
      <c r="A2209" s="1115" t="n">
        <v>58920</v>
      </c>
      <c r="B2209" s="1115" t="s">
        <v>167</v>
      </c>
      <c r="C2209" s="1115" t="n">
        <v>58920</v>
      </c>
      <c r="D2209" s="1115" t="s">
        <v>2522</v>
      </c>
      <c r="E2209" s="1115" t="s">
        <v>3356</v>
      </c>
      <c r="F2209" s="1115" t="n">
        <v>99430</v>
      </c>
      <c r="G2209" s="1115" t="n">
        <v>60800</v>
      </c>
      <c r="H2209" s="1115" t="s">
        <v>879</v>
      </c>
      <c r="I2209" s="1115" t="n">
        <v>58940</v>
      </c>
      <c r="J2209" s="1115" t="s">
        <v>1413</v>
      </c>
    </row>
    <row r="2210" customFormat="false" ht="14.1" hidden="false" customHeight="true" outlineLevel="0" collapsed="false">
      <c r="A2210" s="1115" t="n">
        <v>58930</v>
      </c>
      <c r="B2210" s="1115" t="s">
        <v>167</v>
      </c>
      <c r="C2210" s="1115" t="n">
        <v>58930</v>
      </c>
      <c r="D2210" s="1115" t="s">
        <v>2520</v>
      </c>
      <c r="E2210" s="1115" t="s">
        <v>3357</v>
      </c>
      <c r="F2210" s="1115" t="n">
        <v>83940</v>
      </c>
      <c r="G2210" s="1115" t="n">
        <v>61100</v>
      </c>
      <c r="H2210" s="1115" t="s">
        <v>3358</v>
      </c>
      <c r="I2210" s="1115" t="n">
        <v>58950</v>
      </c>
      <c r="J2210" s="1115" t="s">
        <v>1413</v>
      </c>
    </row>
    <row r="2211" customFormat="false" ht="14.1" hidden="false" customHeight="true" outlineLevel="0" collapsed="false">
      <c r="A2211" s="1115" t="n">
        <v>58940</v>
      </c>
      <c r="B2211" s="1115" t="s">
        <v>167</v>
      </c>
      <c r="C2211" s="1115" t="n">
        <v>58940</v>
      </c>
      <c r="D2211" s="1115" t="s">
        <v>3327</v>
      </c>
      <c r="E2211" s="1115" t="s">
        <v>3359</v>
      </c>
      <c r="F2211" s="1115" t="n">
        <v>91790</v>
      </c>
      <c r="G2211" s="1115" t="n">
        <v>61110</v>
      </c>
      <c r="H2211" s="1115" t="s">
        <v>3360</v>
      </c>
      <c r="I2211" s="1115" t="n">
        <v>58960</v>
      </c>
      <c r="J2211" s="1115" t="s">
        <v>1413</v>
      </c>
    </row>
    <row r="2212" customFormat="false" ht="14.1" hidden="false" customHeight="true" outlineLevel="0" collapsed="false">
      <c r="A2212" s="1115" t="n">
        <v>58950</v>
      </c>
      <c r="B2212" s="1115" t="s">
        <v>167</v>
      </c>
      <c r="C2212" s="1115" t="n">
        <v>58950</v>
      </c>
      <c r="D2212" s="1115" t="s">
        <v>3329</v>
      </c>
      <c r="E2212" s="1115" t="s">
        <v>1860</v>
      </c>
      <c r="F2212" s="1115" t="n">
        <v>19370</v>
      </c>
      <c r="G2212" s="1115" t="n">
        <v>61120</v>
      </c>
      <c r="H2212" s="1115" t="s">
        <v>3039</v>
      </c>
      <c r="I2212" s="1115" t="n">
        <v>59100</v>
      </c>
      <c r="J2212" s="1115" t="s">
        <v>1320</v>
      </c>
    </row>
    <row r="2213" customFormat="false" ht="14.1" hidden="false" customHeight="true" outlineLevel="0" collapsed="false">
      <c r="A2213" s="1115" t="n">
        <v>58960</v>
      </c>
      <c r="B2213" s="1115" t="s">
        <v>167</v>
      </c>
      <c r="C2213" s="1115" t="n">
        <v>58960</v>
      </c>
      <c r="D2213" s="1115" t="s">
        <v>3331</v>
      </c>
      <c r="E2213" s="1115" t="s">
        <v>3361</v>
      </c>
      <c r="F2213" s="1115" t="n">
        <v>99990</v>
      </c>
      <c r="G2213" s="1115" t="n">
        <v>61140</v>
      </c>
      <c r="H2213" s="1115" t="s">
        <v>3362</v>
      </c>
      <c r="I2213" s="1115" t="n">
        <v>59110</v>
      </c>
      <c r="J2213" s="1115" t="s">
        <v>1320</v>
      </c>
    </row>
    <row r="2214" customFormat="false" ht="14.1" hidden="false" customHeight="true" outlineLevel="0" collapsed="false">
      <c r="A2214" s="1115" t="n">
        <v>59100</v>
      </c>
      <c r="B2214" s="1115" t="s">
        <v>163</v>
      </c>
      <c r="C2214" s="1115" t="n">
        <v>59100</v>
      </c>
      <c r="D2214" s="1115" t="s">
        <v>1320</v>
      </c>
      <c r="E2214" s="1115" t="s">
        <v>3363</v>
      </c>
      <c r="F2214" s="1115" t="n">
        <v>91330</v>
      </c>
      <c r="G2214" s="1115" t="n">
        <v>61150</v>
      </c>
      <c r="H2214" s="1115" t="s">
        <v>3364</v>
      </c>
      <c r="I2214" s="1115" t="n">
        <v>59130</v>
      </c>
      <c r="J2214" s="1115" t="s">
        <v>1320</v>
      </c>
    </row>
    <row r="2215" customFormat="false" ht="14.1" hidden="false" customHeight="true" outlineLevel="0" collapsed="false">
      <c r="A2215" s="1115" t="n">
        <v>59110</v>
      </c>
      <c r="B2215" s="1115" t="s">
        <v>163</v>
      </c>
      <c r="C2215" s="1115" t="n">
        <v>59110</v>
      </c>
      <c r="D2215" s="1115" t="s">
        <v>3332</v>
      </c>
      <c r="E2215" s="1115" t="s">
        <v>3365</v>
      </c>
      <c r="F2215" s="1115" t="n">
        <v>93245</v>
      </c>
      <c r="G2215" s="1115" t="n">
        <v>61150</v>
      </c>
      <c r="H2215" s="1115" t="s">
        <v>3364</v>
      </c>
      <c r="I2215" s="1115" t="n">
        <v>59210</v>
      </c>
      <c r="J2215" s="1115" t="s">
        <v>1320</v>
      </c>
    </row>
    <row r="2216" customFormat="false" ht="14.1" hidden="false" customHeight="true" outlineLevel="0" collapsed="false">
      <c r="A2216" s="1115" t="n">
        <v>59130</v>
      </c>
      <c r="B2216" s="1115" t="s">
        <v>163</v>
      </c>
      <c r="C2216" s="1115" t="n">
        <v>59130</v>
      </c>
      <c r="D2216" s="1115" t="s">
        <v>2477</v>
      </c>
      <c r="E2216" s="1115" t="s">
        <v>1304</v>
      </c>
      <c r="F2216" s="1115" t="n">
        <v>5430</v>
      </c>
      <c r="G2216" s="1115" t="n">
        <v>61160</v>
      </c>
      <c r="H2216" s="1115" t="s">
        <v>2631</v>
      </c>
      <c r="I2216" s="1115" t="n">
        <v>59220</v>
      </c>
      <c r="J2216" s="1115" t="s">
        <v>1320</v>
      </c>
    </row>
    <row r="2217" customFormat="false" ht="14.1" hidden="false" customHeight="true" outlineLevel="0" collapsed="false">
      <c r="A2217" s="1115" t="n">
        <v>59210</v>
      </c>
      <c r="B2217" s="1115" t="s">
        <v>163</v>
      </c>
      <c r="C2217" s="1115" t="n">
        <v>59210</v>
      </c>
      <c r="D2217" s="1115" t="s">
        <v>3161</v>
      </c>
      <c r="E2217" s="1115" t="s">
        <v>3150</v>
      </c>
      <c r="F2217" s="1115" t="n">
        <v>52960</v>
      </c>
      <c r="G2217" s="1115" t="n">
        <v>61170</v>
      </c>
      <c r="H2217" s="1115" t="s">
        <v>3366</v>
      </c>
      <c r="I2217" s="1115" t="n">
        <v>59310</v>
      </c>
      <c r="J2217" s="1115" t="s">
        <v>1320</v>
      </c>
    </row>
    <row r="2218" customFormat="false" ht="14.1" hidden="false" customHeight="true" outlineLevel="0" collapsed="false">
      <c r="A2218" s="1115" t="n">
        <v>59220</v>
      </c>
      <c r="B2218" s="1115" t="s">
        <v>163</v>
      </c>
      <c r="C2218" s="1115" t="n">
        <v>59220</v>
      </c>
      <c r="D2218" s="1115" t="s">
        <v>3333</v>
      </c>
      <c r="E2218" s="1115" t="s">
        <v>3183</v>
      </c>
      <c r="F2218" s="1115" t="n">
        <v>54450</v>
      </c>
      <c r="G2218" s="1115" t="n">
        <v>61180</v>
      </c>
      <c r="H2218" s="1115" t="s">
        <v>1276</v>
      </c>
      <c r="I2218" s="1115" t="n">
        <v>59320</v>
      </c>
      <c r="J2218" s="1115" t="s">
        <v>1320</v>
      </c>
    </row>
    <row r="2219" customFormat="false" ht="14.1" hidden="false" customHeight="true" outlineLevel="0" collapsed="false">
      <c r="A2219" s="1115" t="n">
        <v>59310</v>
      </c>
      <c r="B2219" s="1115" t="s">
        <v>163</v>
      </c>
      <c r="C2219" s="1115" t="n">
        <v>59310</v>
      </c>
      <c r="D2219" s="1115" t="s">
        <v>3335</v>
      </c>
      <c r="E2219" s="1115" t="s">
        <v>1282</v>
      </c>
      <c r="F2219" s="1115" t="n">
        <v>75500</v>
      </c>
      <c r="G2219" s="1115" t="n">
        <v>61220</v>
      </c>
      <c r="H2219" s="1115" t="s">
        <v>3251</v>
      </c>
      <c r="I2219" s="1115" t="n">
        <v>59410</v>
      </c>
      <c r="J2219" s="1115" t="s">
        <v>1320</v>
      </c>
    </row>
    <row r="2220" customFormat="false" ht="14.1" hidden="false" customHeight="true" outlineLevel="0" collapsed="false">
      <c r="A2220" s="1115" t="n">
        <v>59320</v>
      </c>
      <c r="B2220" s="1115" t="s">
        <v>163</v>
      </c>
      <c r="C2220" s="1115" t="n">
        <v>59320</v>
      </c>
      <c r="D2220" s="1115" t="s">
        <v>1284</v>
      </c>
      <c r="E2220" s="1115" t="s">
        <v>1282</v>
      </c>
      <c r="F2220" s="1115" t="n">
        <v>75520</v>
      </c>
      <c r="G2220" s="1115" t="n">
        <v>61230</v>
      </c>
      <c r="H2220" s="1115" t="s">
        <v>3061</v>
      </c>
      <c r="I2220" s="1115" t="n">
        <v>59420</v>
      </c>
      <c r="J2220" s="1115" t="s">
        <v>1320</v>
      </c>
    </row>
    <row r="2221" customFormat="false" ht="14.1" hidden="false" customHeight="true" outlineLevel="0" collapsed="false">
      <c r="A2221" s="1115" t="n">
        <v>59410</v>
      </c>
      <c r="B2221" s="1115" t="s">
        <v>163</v>
      </c>
      <c r="C2221" s="1115" t="n">
        <v>59410</v>
      </c>
      <c r="D2221" s="1115" t="s">
        <v>2440</v>
      </c>
      <c r="E2221" s="1115" t="s">
        <v>1061</v>
      </c>
      <c r="F2221" s="1115" t="n">
        <v>1900</v>
      </c>
      <c r="G2221" s="1115" t="n">
        <v>61250</v>
      </c>
      <c r="H2221" s="1115" t="s">
        <v>1993</v>
      </c>
      <c r="I2221" s="1115" t="n">
        <v>59430</v>
      </c>
      <c r="J2221" s="1115" t="s">
        <v>1320</v>
      </c>
    </row>
    <row r="2222" customFormat="false" ht="14.1" hidden="false" customHeight="true" outlineLevel="0" collapsed="false">
      <c r="A2222" s="1115" t="n">
        <v>59420</v>
      </c>
      <c r="B2222" s="1115" t="s">
        <v>163</v>
      </c>
      <c r="C2222" s="1115" t="n">
        <v>59420</v>
      </c>
      <c r="D2222" s="1115" t="s">
        <v>2395</v>
      </c>
      <c r="E2222" s="1115" t="s">
        <v>1286</v>
      </c>
      <c r="F2222" s="1115" t="n">
        <v>60550</v>
      </c>
      <c r="G2222" s="1115" t="n">
        <v>61270</v>
      </c>
      <c r="H2222" s="1115" t="s">
        <v>3062</v>
      </c>
      <c r="I2222" s="1115" t="n">
        <v>59510</v>
      </c>
      <c r="J2222" s="1115" t="s">
        <v>1320</v>
      </c>
    </row>
    <row r="2223" customFormat="false" ht="14.1" hidden="false" customHeight="true" outlineLevel="0" collapsed="false">
      <c r="A2223" s="1115" t="n">
        <v>59430</v>
      </c>
      <c r="B2223" s="1115" t="s">
        <v>163</v>
      </c>
      <c r="C2223" s="1115" t="n">
        <v>59430</v>
      </c>
      <c r="D2223" s="1115" t="s">
        <v>3337</v>
      </c>
      <c r="E2223" s="1115" t="s">
        <v>1286</v>
      </c>
      <c r="F2223" s="1115" t="n">
        <v>60550</v>
      </c>
      <c r="G2223" s="1115" t="n">
        <v>61280</v>
      </c>
      <c r="H2223" s="1115" t="s">
        <v>2018</v>
      </c>
      <c r="I2223" s="1115" t="n">
        <v>59520</v>
      </c>
      <c r="J2223" s="1115" t="s">
        <v>1320</v>
      </c>
    </row>
    <row r="2224" customFormat="false" ht="14.1" hidden="false" customHeight="true" outlineLevel="0" collapsed="false">
      <c r="A2224" s="1115" t="n">
        <v>59510</v>
      </c>
      <c r="B2224" s="1115" t="s">
        <v>163</v>
      </c>
      <c r="C2224" s="1115" t="n">
        <v>59510</v>
      </c>
      <c r="D2224" s="1115" t="s">
        <v>3110</v>
      </c>
      <c r="E2224" s="1115" t="s">
        <v>1940</v>
      </c>
      <c r="F2224" s="1115" t="n">
        <v>21260</v>
      </c>
      <c r="G2224" s="1115" t="n">
        <v>61290</v>
      </c>
      <c r="H2224" s="1115" t="s">
        <v>3367</v>
      </c>
      <c r="I2224" s="1115" t="n">
        <v>59530</v>
      </c>
      <c r="J2224" s="1115" t="s">
        <v>1320</v>
      </c>
    </row>
    <row r="2225" customFormat="false" ht="14.1" hidden="false" customHeight="true" outlineLevel="0" collapsed="false">
      <c r="A2225" s="1115" t="n">
        <v>59520</v>
      </c>
      <c r="B2225" s="1115" t="s">
        <v>163</v>
      </c>
      <c r="C2225" s="1115" t="n">
        <v>59520</v>
      </c>
      <c r="D2225" s="1115" t="s">
        <v>3339</v>
      </c>
      <c r="E2225" s="1115" t="s">
        <v>3368</v>
      </c>
      <c r="F2225" s="1115" t="n">
        <v>97710</v>
      </c>
      <c r="G2225" s="1115" t="n">
        <v>61300</v>
      </c>
      <c r="H2225" s="1115" t="s">
        <v>1124</v>
      </c>
      <c r="I2225" s="1115" t="n">
        <v>59610</v>
      </c>
      <c r="J2225" s="1115" t="s">
        <v>1320</v>
      </c>
    </row>
    <row r="2226" customFormat="false" ht="14.1" hidden="false" customHeight="true" outlineLevel="0" collapsed="false">
      <c r="A2226" s="1115" t="n">
        <v>59530</v>
      </c>
      <c r="B2226" s="1115" t="s">
        <v>163</v>
      </c>
      <c r="C2226" s="1115" t="n">
        <v>59530</v>
      </c>
      <c r="D2226" s="1115" t="s">
        <v>3200</v>
      </c>
      <c r="E2226" s="1115" t="s">
        <v>2322</v>
      </c>
      <c r="F2226" s="1115" t="n">
        <v>31160</v>
      </c>
      <c r="G2226" s="1115" t="n">
        <v>61310</v>
      </c>
      <c r="H2226" s="1115" t="s">
        <v>3369</v>
      </c>
      <c r="I2226" s="1115" t="n">
        <v>59710</v>
      </c>
      <c r="J2226" s="1115" t="s">
        <v>1320</v>
      </c>
    </row>
    <row r="2227" customFormat="false" ht="14.1" hidden="false" customHeight="true" outlineLevel="0" collapsed="false">
      <c r="A2227" s="1115" t="n">
        <v>59610</v>
      </c>
      <c r="B2227" s="1115" t="s">
        <v>163</v>
      </c>
      <c r="C2227" s="1115" t="n">
        <v>59610</v>
      </c>
      <c r="D2227" s="1115" t="s">
        <v>3340</v>
      </c>
      <c r="E2227" s="1115" t="s">
        <v>3090</v>
      </c>
      <c r="F2227" s="1115" t="n">
        <v>51760</v>
      </c>
      <c r="G2227" s="1115" t="n">
        <v>61310</v>
      </c>
      <c r="H2227" s="1115" t="s">
        <v>3369</v>
      </c>
      <c r="I2227" s="1115" t="n">
        <v>59720</v>
      </c>
      <c r="J2227" s="1115" t="s">
        <v>1320</v>
      </c>
    </row>
    <row r="2228" customFormat="false" ht="14.1" hidden="false" customHeight="true" outlineLevel="0" collapsed="false">
      <c r="A2228" s="1115" t="n">
        <v>59710</v>
      </c>
      <c r="B2228" s="1115" t="s">
        <v>163</v>
      </c>
      <c r="C2228" s="1115" t="n">
        <v>59710</v>
      </c>
      <c r="D2228" s="1115" t="s">
        <v>2692</v>
      </c>
      <c r="E2228" s="1115" t="s">
        <v>3370</v>
      </c>
      <c r="F2228" s="1115" t="n">
        <v>99970</v>
      </c>
      <c r="G2228" s="1115" t="n">
        <v>61330</v>
      </c>
      <c r="H2228" s="1115" t="s">
        <v>2584</v>
      </c>
      <c r="I2228" s="1115" t="n">
        <v>59730</v>
      </c>
      <c r="J2228" s="1115" t="s">
        <v>1320</v>
      </c>
    </row>
    <row r="2229" customFormat="false" ht="14.1" hidden="false" customHeight="true" outlineLevel="0" collapsed="false">
      <c r="A2229" s="1115" t="n">
        <v>59720</v>
      </c>
      <c r="B2229" s="1115" t="s">
        <v>163</v>
      </c>
      <c r="C2229" s="1115" t="n">
        <v>59720</v>
      </c>
      <c r="D2229" s="1115" t="s">
        <v>3338</v>
      </c>
      <c r="E2229" s="1115" t="s">
        <v>3371</v>
      </c>
      <c r="F2229" s="1115" t="n">
        <v>66250</v>
      </c>
      <c r="G2229" s="1115" t="n">
        <v>61340</v>
      </c>
      <c r="H2229" s="1115" t="s">
        <v>3346</v>
      </c>
      <c r="I2229" s="1115" t="n">
        <v>59800</v>
      </c>
      <c r="J2229" s="1115" t="s">
        <v>1053</v>
      </c>
    </row>
    <row r="2230" customFormat="false" ht="14.1" hidden="false" customHeight="true" outlineLevel="0" collapsed="false">
      <c r="A2230" s="1115" t="n">
        <v>59730</v>
      </c>
      <c r="B2230" s="1115" t="s">
        <v>163</v>
      </c>
      <c r="C2230" s="1115" t="n">
        <v>59730</v>
      </c>
      <c r="D2230" s="1115" t="s">
        <v>3341</v>
      </c>
      <c r="E2230" s="1115" t="s">
        <v>3087</v>
      </c>
      <c r="F2230" s="1115" t="n">
        <v>51670</v>
      </c>
      <c r="G2230" s="1115" t="n">
        <v>61350</v>
      </c>
      <c r="H2230" s="1115" t="s">
        <v>1799</v>
      </c>
      <c r="I2230" s="1115" t="n">
        <v>59810</v>
      </c>
      <c r="J2230" s="1115" t="s">
        <v>1053</v>
      </c>
    </row>
    <row r="2231" customFormat="false" ht="14.1" hidden="false" customHeight="true" outlineLevel="0" collapsed="false">
      <c r="A2231" s="1115" t="n">
        <v>59800</v>
      </c>
      <c r="B2231" s="1115" t="s">
        <v>163</v>
      </c>
      <c r="C2231" s="1115" t="n">
        <v>59800</v>
      </c>
      <c r="D2231" s="1115" t="s">
        <v>1053</v>
      </c>
      <c r="E2231" s="1115" t="s">
        <v>2813</v>
      </c>
      <c r="F2231" s="1115" t="n">
        <v>41945</v>
      </c>
      <c r="G2231" s="1115" t="n">
        <v>61360</v>
      </c>
      <c r="H2231" s="1115" t="s">
        <v>3188</v>
      </c>
      <c r="I2231" s="1115" t="n">
        <v>59820</v>
      </c>
      <c r="J2231" s="1115" t="s">
        <v>1053</v>
      </c>
    </row>
    <row r="2232" customFormat="false" ht="14.1" hidden="false" customHeight="true" outlineLevel="0" collapsed="false">
      <c r="A2232" s="1115" t="n">
        <v>59810</v>
      </c>
      <c r="B2232" s="1115" t="s">
        <v>163</v>
      </c>
      <c r="C2232" s="1115" t="n">
        <v>59810</v>
      </c>
      <c r="D2232" s="1115" t="s">
        <v>3342</v>
      </c>
      <c r="E2232" s="1115" t="s">
        <v>1812</v>
      </c>
      <c r="F2232" s="1115" t="n">
        <v>17510</v>
      </c>
      <c r="G2232" s="1115" t="n">
        <v>61370</v>
      </c>
      <c r="H2232" s="1115" t="s">
        <v>3013</v>
      </c>
      <c r="I2232" s="1115" t="n">
        <v>59830</v>
      </c>
      <c r="J2232" s="1115" t="s">
        <v>1053</v>
      </c>
    </row>
    <row r="2233" customFormat="false" ht="14.1" hidden="false" customHeight="true" outlineLevel="0" collapsed="false">
      <c r="A2233" s="1115" t="n">
        <v>59820</v>
      </c>
      <c r="B2233" s="1115" t="s">
        <v>163</v>
      </c>
      <c r="C2233" s="1115" t="n">
        <v>59820</v>
      </c>
      <c r="D2233" s="1115" t="s">
        <v>3343</v>
      </c>
      <c r="E2233" s="1115" t="s">
        <v>1996</v>
      </c>
      <c r="F2233" s="1115" t="n">
        <v>21780</v>
      </c>
      <c r="G2233" s="1115" t="n">
        <v>61380</v>
      </c>
      <c r="H2233" s="1115" t="s">
        <v>3372</v>
      </c>
      <c r="I2233" s="1115" t="n">
        <v>59910</v>
      </c>
      <c r="J2233" s="1115" t="s">
        <v>1053</v>
      </c>
    </row>
    <row r="2234" customFormat="false" ht="14.1" hidden="false" customHeight="true" outlineLevel="0" collapsed="false">
      <c r="A2234" s="1115" t="n">
        <v>59830</v>
      </c>
      <c r="B2234" s="1115" t="s">
        <v>163</v>
      </c>
      <c r="C2234" s="1115" t="n">
        <v>59830</v>
      </c>
      <c r="D2234" s="1115" t="s">
        <v>3344</v>
      </c>
      <c r="E2234" s="1115" t="s">
        <v>3373</v>
      </c>
      <c r="F2234" s="1115" t="n">
        <v>89670</v>
      </c>
      <c r="G2234" s="1115" t="n">
        <v>61400</v>
      </c>
      <c r="H2234" s="1115" t="s">
        <v>1636</v>
      </c>
      <c r="I2234" s="1115" t="n">
        <v>60060</v>
      </c>
      <c r="J2234" s="1115" t="s">
        <v>1490</v>
      </c>
    </row>
    <row r="2235" customFormat="false" ht="14.1" hidden="false" customHeight="true" outlineLevel="0" collapsed="false">
      <c r="A2235" s="1115" t="n">
        <v>59910</v>
      </c>
      <c r="B2235" s="1115" t="s">
        <v>163</v>
      </c>
      <c r="C2235" s="1115" t="n">
        <v>59910</v>
      </c>
      <c r="D2235" s="1115" t="s">
        <v>3065</v>
      </c>
      <c r="E2235" s="1115" t="s">
        <v>3374</v>
      </c>
      <c r="F2235" s="1115" t="n">
        <v>64510</v>
      </c>
      <c r="G2235" s="1115" t="n">
        <v>61410</v>
      </c>
      <c r="H2235" s="1115" t="s">
        <v>1636</v>
      </c>
      <c r="I2235" s="1115" t="n">
        <v>60100</v>
      </c>
      <c r="J2235" s="1115" t="s">
        <v>1490</v>
      </c>
    </row>
    <row r="2236" customFormat="false" ht="14.1" hidden="false" customHeight="true" outlineLevel="0" collapsed="false">
      <c r="A2236" s="1115" t="n">
        <v>60060</v>
      </c>
      <c r="B2236" s="1115" t="s">
        <v>161</v>
      </c>
      <c r="C2236" s="1115" t="n">
        <v>60060</v>
      </c>
      <c r="D2236" s="1115" t="s">
        <v>941</v>
      </c>
      <c r="E2236" s="1115" t="s">
        <v>3375</v>
      </c>
      <c r="F2236" s="1115" t="n">
        <v>72360</v>
      </c>
      <c r="G2236" s="1115" t="n">
        <v>61430</v>
      </c>
      <c r="H2236" s="1115" t="s">
        <v>1965</v>
      </c>
      <c r="I2236" s="1115" t="n">
        <v>60110</v>
      </c>
      <c r="J2236" s="1115" t="s">
        <v>1490</v>
      </c>
    </row>
    <row r="2237" customFormat="false" ht="14.1" hidden="false" customHeight="true" outlineLevel="0" collapsed="false">
      <c r="A2237" s="1115" t="n">
        <v>60100</v>
      </c>
      <c r="B2237" s="1115" t="s">
        <v>161</v>
      </c>
      <c r="C2237" s="1115" t="n">
        <v>60100</v>
      </c>
      <c r="D2237" s="1115" t="s">
        <v>1490</v>
      </c>
      <c r="E2237" s="1115" t="s">
        <v>1289</v>
      </c>
      <c r="F2237" s="1115" t="n">
        <v>64200</v>
      </c>
      <c r="G2237" s="1115" t="n">
        <v>61440</v>
      </c>
      <c r="H2237" s="1115" t="s">
        <v>3362</v>
      </c>
      <c r="I2237" s="1115" t="n">
        <v>60120</v>
      </c>
      <c r="J2237" s="1115" t="s">
        <v>1490</v>
      </c>
    </row>
    <row r="2238" customFormat="false" ht="14.1" hidden="false" customHeight="true" outlineLevel="0" collapsed="false">
      <c r="A2238" s="1115" t="n">
        <v>60110</v>
      </c>
      <c r="B2238" s="1115" t="s">
        <v>161</v>
      </c>
      <c r="C2238" s="1115" t="n">
        <v>60110</v>
      </c>
      <c r="D2238" s="1115" t="s">
        <v>1490</v>
      </c>
      <c r="E2238" s="1115" t="s">
        <v>1289</v>
      </c>
      <c r="F2238" s="1115" t="n">
        <v>64230</v>
      </c>
      <c r="G2238" s="1115" t="n">
        <v>61440</v>
      </c>
      <c r="H2238" s="1115" t="s">
        <v>3376</v>
      </c>
      <c r="I2238" s="1115" t="n">
        <v>60150</v>
      </c>
      <c r="J2238" s="1115" t="s">
        <v>1490</v>
      </c>
    </row>
    <row r="2239" customFormat="false" ht="14.1" hidden="false" customHeight="true" outlineLevel="0" collapsed="false">
      <c r="A2239" s="1115" t="n">
        <v>60120</v>
      </c>
      <c r="B2239" s="1115" t="s">
        <v>161</v>
      </c>
      <c r="C2239" s="1115" t="n">
        <v>60120</v>
      </c>
      <c r="D2239" s="1115" t="s">
        <v>1490</v>
      </c>
      <c r="E2239" s="1115" t="s">
        <v>3377</v>
      </c>
      <c r="F2239" s="1115" t="n">
        <v>82590</v>
      </c>
      <c r="G2239" s="1115" t="n">
        <v>61450</v>
      </c>
      <c r="H2239" s="1115" t="s">
        <v>2777</v>
      </c>
      <c r="I2239" s="1115" t="n">
        <v>60200</v>
      </c>
      <c r="J2239" s="1115" t="s">
        <v>1490</v>
      </c>
    </row>
    <row r="2240" customFormat="false" ht="14.1" hidden="false" customHeight="true" outlineLevel="0" collapsed="false">
      <c r="A2240" s="1115" t="n">
        <v>60150</v>
      </c>
      <c r="B2240" s="1115" t="s">
        <v>161</v>
      </c>
      <c r="C2240" s="1115" t="n">
        <v>60150</v>
      </c>
      <c r="D2240" s="1115" t="s">
        <v>1490</v>
      </c>
      <c r="E2240" s="1115" t="s">
        <v>3378</v>
      </c>
      <c r="F2240" s="1115" t="n">
        <v>66370</v>
      </c>
      <c r="G2240" s="1115" t="n">
        <v>61460</v>
      </c>
      <c r="H2240" s="1115" t="s">
        <v>1375</v>
      </c>
      <c r="I2240" s="1115" t="n">
        <v>60220</v>
      </c>
      <c r="J2240" s="1115" t="s">
        <v>1490</v>
      </c>
    </row>
    <row r="2241" customFormat="false" ht="14.1" hidden="false" customHeight="true" outlineLevel="0" collapsed="false">
      <c r="A2241" s="1115" t="n">
        <v>60200</v>
      </c>
      <c r="B2241" s="1115" t="s">
        <v>161</v>
      </c>
      <c r="C2241" s="1115" t="n">
        <v>60200</v>
      </c>
      <c r="D2241" s="1115" t="s">
        <v>1490</v>
      </c>
      <c r="E2241" s="1115" t="s">
        <v>3379</v>
      </c>
      <c r="F2241" s="1115" t="n">
        <v>95280</v>
      </c>
      <c r="G2241" s="1115" t="n">
        <v>61470</v>
      </c>
      <c r="H2241" s="1115" t="s">
        <v>2444</v>
      </c>
      <c r="I2241" s="1115" t="n">
        <v>60280</v>
      </c>
      <c r="J2241" s="1115" t="s">
        <v>1490</v>
      </c>
    </row>
    <row r="2242" customFormat="false" ht="14.1" hidden="false" customHeight="true" outlineLevel="0" collapsed="false">
      <c r="A2242" s="1115" t="n">
        <v>60220</v>
      </c>
      <c r="B2242" s="1115" t="s">
        <v>161</v>
      </c>
      <c r="C2242" s="1115" t="n">
        <v>60220</v>
      </c>
      <c r="D2242" s="1115" t="s">
        <v>1490</v>
      </c>
      <c r="E2242" s="1115" t="s">
        <v>3380</v>
      </c>
      <c r="F2242" s="1115" t="n">
        <v>79330</v>
      </c>
      <c r="G2242" s="1115" t="n">
        <v>61500</v>
      </c>
      <c r="H2242" s="1115" t="s">
        <v>891</v>
      </c>
      <c r="I2242" s="1115" t="n">
        <v>60320</v>
      </c>
      <c r="J2242" s="1115" t="s">
        <v>879</v>
      </c>
    </row>
    <row r="2243" customFormat="false" ht="14.1" hidden="false" customHeight="true" outlineLevel="0" collapsed="false">
      <c r="A2243" s="1115" t="n">
        <v>60280</v>
      </c>
      <c r="B2243" s="1115" t="s">
        <v>161</v>
      </c>
      <c r="C2243" s="1115" t="n">
        <v>60280</v>
      </c>
      <c r="D2243" s="1115" t="s">
        <v>1490</v>
      </c>
      <c r="E2243" s="1115" t="s">
        <v>3094</v>
      </c>
      <c r="F2243" s="1115" t="n">
        <v>51830</v>
      </c>
      <c r="G2243" s="1115" t="n">
        <v>61510</v>
      </c>
      <c r="H2243" s="1115" t="s">
        <v>3381</v>
      </c>
      <c r="I2243" s="1115" t="n">
        <v>60320</v>
      </c>
      <c r="J2243" s="1115" t="s">
        <v>1490</v>
      </c>
    </row>
    <row r="2244" customFormat="false" ht="14.1" hidden="false" customHeight="true" outlineLevel="0" collapsed="false">
      <c r="A2244" s="1115" t="n">
        <v>60320</v>
      </c>
      <c r="B2244" s="1115" t="s">
        <v>161</v>
      </c>
      <c r="C2244" s="1115" t="n">
        <v>60320</v>
      </c>
      <c r="D2244" s="1115" t="s">
        <v>1490</v>
      </c>
      <c r="E2244" s="1115" t="s">
        <v>3382</v>
      </c>
      <c r="F2244" s="1115" t="n">
        <v>99940</v>
      </c>
      <c r="G2244" s="1115" t="n">
        <v>61520</v>
      </c>
      <c r="H2244" s="1115" t="s">
        <v>2936</v>
      </c>
      <c r="I2244" s="1115" t="n">
        <v>60420</v>
      </c>
      <c r="J2244" s="1115" t="s">
        <v>1490</v>
      </c>
    </row>
    <row r="2245" customFormat="false" ht="14.1" hidden="false" customHeight="true" outlineLevel="0" collapsed="false">
      <c r="A2245" s="1115" t="n">
        <v>60320</v>
      </c>
      <c r="B2245" s="1115" t="s">
        <v>161</v>
      </c>
      <c r="C2245" s="1115" t="n">
        <v>60320</v>
      </c>
      <c r="D2245" s="1115" t="s">
        <v>1490</v>
      </c>
      <c r="E2245" s="1115" t="s">
        <v>1985</v>
      </c>
      <c r="F2245" s="1115" t="n">
        <v>21680</v>
      </c>
      <c r="G2245" s="1115" t="n">
        <v>61530</v>
      </c>
      <c r="H2245" s="1115" t="s">
        <v>2791</v>
      </c>
      <c r="I2245" s="1115" t="n">
        <v>60450</v>
      </c>
      <c r="J2245" s="1115" t="s">
        <v>1490</v>
      </c>
    </row>
    <row r="2246" customFormat="false" ht="14.1" hidden="false" customHeight="true" outlineLevel="0" collapsed="false">
      <c r="A2246" s="1115" t="n">
        <v>60420</v>
      </c>
      <c r="B2246" s="1115" t="s">
        <v>161</v>
      </c>
      <c r="C2246" s="1115" t="n">
        <v>60420</v>
      </c>
      <c r="D2246" s="1115" t="s">
        <v>1490</v>
      </c>
      <c r="E2246" s="1115" t="s">
        <v>3383</v>
      </c>
      <c r="F2246" s="1115" t="n">
        <v>74520</v>
      </c>
      <c r="G2246" s="1115" t="n">
        <v>61540</v>
      </c>
      <c r="H2246" s="1115" t="s">
        <v>830</v>
      </c>
      <c r="I2246" s="1115" t="n">
        <v>60450</v>
      </c>
      <c r="J2246" s="1115" t="s">
        <v>1490</v>
      </c>
    </row>
    <row r="2247" customFormat="false" ht="14.1" hidden="false" customHeight="true" outlineLevel="0" collapsed="false">
      <c r="A2247" s="1115" t="n">
        <v>60450</v>
      </c>
      <c r="B2247" s="1115" t="s">
        <v>161</v>
      </c>
      <c r="C2247" s="1115" t="n">
        <v>60450</v>
      </c>
      <c r="D2247" s="1115" t="s">
        <v>3223</v>
      </c>
      <c r="E2247" s="1115" t="s">
        <v>1256</v>
      </c>
      <c r="F2247" s="1115" t="n">
        <v>4530</v>
      </c>
      <c r="G2247" s="1115" t="n">
        <v>61550</v>
      </c>
      <c r="H2247" s="1115" t="s">
        <v>3384</v>
      </c>
      <c r="I2247" s="1115" t="n">
        <v>60510</v>
      </c>
      <c r="J2247" s="1115" t="s">
        <v>1490</v>
      </c>
    </row>
    <row r="2248" customFormat="false" ht="14.1" hidden="false" customHeight="true" outlineLevel="0" collapsed="false">
      <c r="A2248" s="1115" t="n">
        <v>60450</v>
      </c>
      <c r="B2248" s="1115" t="s">
        <v>161</v>
      </c>
      <c r="C2248" s="1115" t="n">
        <v>60450</v>
      </c>
      <c r="D2248" s="1115" t="s">
        <v>3223</v>
      </c>
      <c r="E2248" s="1115" t="s">
        <v>3385</v>
      </c>
      <c r="F2248" s="1115" t="n">
        <v>64330</v>
      </c>
      <c r="G2248" s="1115" t="n">
        <v>61550</v>
      </c>
      <c r="H2248" s="1115" t="s">
        <v>3384</v>
      </c>
      <c r="I2248" s="1115" t="n">
        <v>60550</v>
      </c>
      <c r="J2248" s="1115" t="s">
        <v>1154</v>
      </c>
    </row>
    <row r="2249" customFormat="false" ht="14.1" hidden="false" customHeight="true" outlineLevel="0" collapsed="false">
      <c r="A2249" s="1115" t="n">
        <v>60510</v>
      </c>
      <c r="B2249" s="1115" t="s">
        <v>161</v>
      </c>
      <c r="C2249" s="1115" t="n">
        <v>60510</v>
      </c>
      <c r="D2249" s="1115" t="s">
        <v>1841</v>
      </c>
      <c r="E2249" s="1115" t="s">
        <v>2506</v>
      </c>
      <c r="F2249" s="1115" t="n">
        <v>34950</v>
      </c>
      <c r="G2249" s="1115" t="n">
        <v>61560</v>
      </c>
      <c r="H2249" s="1115" t="s">
        <v>3386</v>
      </c>
      <c r="I2249" s="1115" t="n">
        <v>60550</v>
      </c>
      <c r="J2249" s="1115" t="s">
        <v>1154</v>
      </c>
    </row>
    <row r="2250" customFormat="false" ht="14.1" hidden="false" customHeight="true" outlineLevel="0" collapsed="false">
      <c r="A2250" s="1115" t="n">
        <v>60550</v>
      </c>
      <c r="B2250" s="1115" t="s">
        <v>161</v>
      </c>
      <c r="C2250" s="1115" t="n">
        <v>60550</v>
      </c>
      <c r="D2250" s="1115" t="s">
        <v>1286</v>
      </c>
      <c r="E2250" s="1115" t="s">
        <v>3387</v>
      </c>
      <c r="F2250" s="1115" t="n">
        <v>95160</v>
      </c>
      <c r="G2250" s="1115" t="n">
        <v>61560</v>
      </c>
      <c r="H2250" s="1115" t="s">
        <v>3386</v>
      </c>
      <c r="I2250" s="1115" t="n">
        <v>60560</v>
      </c>
      <c r="J2250" s="1115" t="s">
        <v>1154</v>
      </c>
    </row>
    <row r="2251" customFormat="false" ht="14.1" hidden="false" customHeight="true" outlineLevel="0" collapsed="false">
      <c r="A2251" s="1115" t="n">
        <v>60550</v>
      </c>
      <c r="B2251" s="1115" t="s">
        <v>161</v>
      </c>
      <c r="C2251" s="1115" t="n">
        <v>60550</v>
      </c>
      <c r="D2251" s="1115" t="s">
        <v>1286</v>
      </c>
      <c r="E2251" s="1115" t="s">
        <v>3388</v>
      </c>
      <c r="F2251" s="1115" t="n">
        <v>97610</v>
      </c>
      <c r="G2251" s="1115" t="n">
        <v>61570</v>
      </c>
      <c r="H2251" s="1115" t="s">
        <v>3289</v>
      </c>
      <c r="I2251" s="1115" t="n">
        <v>60640</v>
      </c>
      <c r="J2251" s="1115" t="s">
        <v>1154</v>
      </c>
    </row>
    <row r="2252" customFormat="false" ht="14.1" hidden="false" customHeight="true" outlineLevel="0" collapsed="false">
      <c r="A2252" s="1115" t="n">
        <v>60560</v>
      </c>
      <c r="B2252" s="1115" t="s">
        <v>161</v>
      </c>
      <c r="C2252" s="1115" t="n">
        <v>60560</v>
      </c>
      <c r="D2252" s="1115" t="s">
        <v>1335</v>
      </c>
      <c r="E2252" s="1115" t="s">
        <v>2878</v>
      </c>
      <c r="F2252" s="1115" t="n">
        <v>43740</v>
      </c>
      <c r="G2252" s="1115" t="n">
        <v>61580</v>
      </c>
      <c r="H2252" s="1115" t="s">
        <v>3389</v>
      </c>
      <c r="I2252" s="1115" t="n">
        <v>60720</v>
      </c>
      <c r="J2252" s="1115" t="s">
        <v>1154</v>
      </c>
    </row>
    <row r="2253" customFormat="false" ht="14.1" hidden="false" customHeight="true" outlineLevel="0" collapsed="false">
      <c r="A2253" s="1115" t="n">
        <v>60640</v>
      </c>
      <c r="B2253" s="1115" t="s">
        <v>161</v>
      </c>
      <c r="C2253" s="1115" t="n">
        <v>60640</v>
      </c>
      <c r="D2253" s="1115" t="s">
        <v>1960</v>
      </c>
      <c r="E2253" s="1115" t="s">
        <v>3390</v>
      </c>
      <c r="F2253" s="1115" t="n">
        <v>98470</v>
      </c>
      <c r="G2253" s="1115" t="n">
        <v>61600</v>
      </c>
      <c r="H2253" s="1115" t="s">
        <v>897</v>
      </c>
      <c r="I2253" s="1115" t="n">
        <v>60760</v>
      </c>
      <c r="J2253" s="1115" t="s">
        <v>1154</v>
      </c>
    </row>
    <row r="2254" customFormat="false" ht="14.1" hidden="false" customHeight="true" outlineLevel="0" collapsed="false">
      <c r="A2254" s="1115" t="n">
        <v>60720</v>
      </c>
      <c r="B2254" s="1115" t="s">
        <v>161</v>
      </c>
      <c r="C2254" s="1115" t="n">
        <v>60720</v>
      </c>
      <c r="D2254" s="1115" t="s">
        <v>3354</v>
      </c>
      <c r="E2254" s="1115" t="s">
        <v>1134</v>
      </c>
      <c r="F2254" s="1115" t="n">
        <v>2510</v>
      </c>
      <c r="G2254" s="1115" t="n">
        <v>61630</v>
      </c>
      <c r="H2254" s="1115" t="s">
        <v>1727</v>
      </c>
      <c r="I2254" s="1115" t="n">
        <v>60800</v>
      </c>
      <c r="J2254" s="1115" t="s">
        <v>1154</v>
      </c>
    </row>
    <row r="2255" customFormat="false" ht="14.1" hidden="false" customHeight="true" outlineLevel="0" collapsed="false">
      <c r="A2255" s="1115" t="n">
        <v>60760</v>
      </c>
      <c r="B2255" s="1115" t="s">
        <v>161</v>
      </c>
      <c r="C2255" s="1115" t="n">
        <v>60760</v>
      </c>
      <c r="D2255" s="1115" t="s">
        <v>3355</v>
      </c>
      <c r="E2255" s="1115" t="s">
        <v>1588</v>
      </c>
      <c r="F2255" s="1115" t="n">
        <v>12100</v>
      </c>
      <c r="G2255" s="1115" t="n">
        <v>61640</v>
      </c>
      <c r="H2255" s="1115" t="s">
        <v>856</v>
      </c>
      <c r="I2255" s="1115" t="n">
        <v>61100</v>
      </c>
      <c r="J2255" s="1115" t="s">
        <v>1154</v>
      </c>
    </row>
    <row r="2256" customFormat="false" ht="14.1" hidden="false" customHeight="true" outlineLevel="0" collapsed="false">
      <c r="A2256" s="1115" t="n">
        <v>60800</v>
      </c>
      <c r="B2256" s="1115" t="s">
        <v>161</v>
      </c>
      <c r="C2256" s="1115" t="n">
        <v>60800</v>
      </c>
      <c r="D2256" s="1115" t="s">
        <v>879</v>
      </c>
      <c r="E2256" s="1115" t="s">
        <v>1899</v>
      </c>
      <c r="F2256" s="1115" t="n">
        <v>19980</v>
      </c>
      <c r="G2256" s="1115" t="n">
        <v>61650</v>
      </c>
      <c r="H2256" s="1115" t="s">
        <v>2173</v>
      </c>
      <c r="I2256" s="1115" t="n">
        <v>61110</v>
      </c>
      <c r="J2256" s="1115" t="s">
        <v>1154</v>
      </c>
    </row>
    <row r="2257" customFormat="false" ht="14.1" hidden="false" customHeight="true" outlineLevel="0" collapsed="false">
      <c r="A2257" s="1115" t="n">
        <v>61100</v>
      </c>
      <c r="B2257" s="1115" t="s">
        <v>161</v>
      </c>
      <c r="C2257" s="1115" t="n">
        <v>61100</v>
      </c>
      <c r="D2257" s="1115" t="s">
        <v>3358</v>
      </c>
      <c r="E2257" s="1115" t="s">
        <v>3391</v>
      </c>
      <c r="F2257" s="1115" t="n">
        <v>93660</v>
      </c>
      <c r="G2257" s="1115" t="n">
        <v>61680</v>
      </c>
      <c r="H2257" s="1115" t="s">
        <v>3126</v>
      </c>
      <c r="I2257" s="1115" t="n">
        <v>61120</v>
      </c>
      <c r="J2257" s="1115" t="s">
        <v>1154</v>
      </c>
    </row>
    <row r="2258" customFormat="false" ht="14.1" hidden="false" customHeight="true" outlineLevel="0" collapsed="false">
      <c r="A2258" s="1115" t="n">
        <v>61110</v>
      </c>
      <c r="B2258" s="1115" t="s">
        <v>161</v>
      </c>
      <c r="C2258" s="1115" t="n">
        <v>61110</v>
      </c>
      <c r="D2258" s="1115" t="s">
        <v>3360</v>
      </c>
      <c r="E2258" s="1115" t="s">
        <v>3392</v>
      </c>
      <c r="F2258" s="1115" t="n">
        <v>86120</v>
      </c>
      <c r="G2258" s="1115" t="n">
        <v>61680</v>
      </c>
      <c r="H2258" s="1115" t="s">
        <v>3126</v>
      </c>
      <c r="I2258" s="1115" t="n">
        <v>61140</v>
      </c>
      <c r="J2258" s="1115" t="s">
        <v>1154</v>
      </c>
    </row>
    <row r="2259" customFormat="false" ht="14.1" hidden="false" customHeight="true" outlineLevel="0" collapsed="false">
      <c r="A2259" s="1115" t="n">
        <v>61120</v>
      </c>
      <c r="B2259" s="1115" t="s">
        <v>161</v>
      </c>
      <c r="C2259" s="1115" t="n">
        <v>61120</v>
      </c>
      <c r="D2259" s="1115" t="s">
        <v>3039</v>
      </c>
      <c r="E2259" s="1115" t="s">
        <v>1177</v>
      </c>
      <c r="F2259" s="1115" t="n">
        <v>3250</v>
      </c>
      <c r="G2259" s="1115" t="n">
        <v>61710</v>
      </c>
      <c r="H2259" s="1115" t="s">
        <v>3393</v>
      </c>
      <c r="I2259" s="1115" t="n">
        <v>61150</v>
      </c>
      <c r="J2259" s="1115" t="s">
        <v>1154</v>
      </c>
    </row>
    <row r="2260" customFormat="false" ht="14.1" hidden="false" customHeight="true" outlineLevel="0" collapsed="false">
      <c r="A2260" s="1115" t="n">
        <v>61140</v>
      </c>
      <c r="B2260" s="1115" t="s">
        <v>161</v>
      </c>
      <c r="C2260" s="1115" t="n">
        <v>61140</v>
      </c>
      <c r="D2260" s="1115" t="s">
        <v>3362</v>
      </c>
      <c r="E2260" s="1115" t="s">
        <v>1859</v>
      </c>
      <c r="F2260" s="1115" t="n">
        <v>19350</v>
      </c>
      <c r="G2260" s="1115" t="n">
        <v>61720</v>
      </c>
      <c r="H2260" s="1115" t="s">
        <v>2600</v>
      </c>
      <c r="I2260" s="1115" t="n">
        <v>61150</v>
      </c>
      <c r="J2260" s="1115" t="s">
        <v>1154</v>
      </c>
    </row>
    <row r="2261" customFormat="false" ht="14.1" hidden="false" customHeight="true" outlineLevel="0" collapsed="false">
      <c r="A2261" s="1115" t="n">
        <v>61150</v>
      </c>
      <c r="B2261" s="1115" t="s">
        <v>161</v>
      </c>
      <c r="C2261" s="1115" t="n">
        <v>61150</v>
      </c>
      <c r="D2261" s="1115" t="s">
        <v>3364</v>
      </c>
      <c r="E2261" s="1115" t="s">
        <v>3394</v>
      </c>
      <c r="F2261" s="1115" t="n">
        <v>88290</v>
      </c>
      <c r="G2261" s="1115" t="n">
        <v>61730</v>
      </c>
      <c r="H2261" s="1115" t="s">
        <v>3395</v>
      </c>
      <c r="I2261" s="1115" t="n">
        <v>61160</v>
      </c>
      <c r="J2261" s="1115" t="s">
        <v>1154</v>
      </c>
    </row>
    <row r="2262" customFormat="false" ht="14.1" hidden="false" customHeight="true" outlineLevel="0" collapsed="false">
      <c r="A2262" s="1115" t="n">
        <v>61150</v>
      </c>
      <c r="B2262" s="1115" t="s">
        <v>161</v>
      </c>
      <c r="C2262" s="1115" t="n">
        <v>61150</v>
      </c>
      <c r="D2262" s="1115" t="s">
        <v>3364</v>
      </c>
      <c r="E2262" s="1115" t="s">
        <v>1718</v>
      </c>
      <c r="F2262" s="1115" t="n">
        <v>16160</v>
      </c>
      <c r="G2262" s="1115" t="n">
        <v>61760</v>
      </c>
      <c r="H2262" s="1115" t="s">
        <v>1928</v>
      </c>
      <c r="I2262" s="1115" t="n">
        <v>61170</v>
      </c>
      <c r="J2262" s="1115" t="s">
        <v>1154</v>
      </c>
    </row>
    <row r="2263" customFormat="false" ht="14.1" hidden="false" customHeight="true" outlineLevel="0" collapsed="false">
      <c r="A2263" s="1115" t="n">
        <v>61160</v>
      </c>
      <c r="B2263" s="1115" t="s">
        <v>161</v>
      </c>
      <c r="C2263" s="1115" t="n">
        <v>61160</v>
      </c>
      <c r="D2263" s="1115" t="s">
        <v>2631</v>
      </c>
      <c r="E2263" s="1115" t="s">
        <v>3396</v>
      </c>
      <c r="F2263" s="1115" t="n">
        <v>69920</v>
      </c>
      <c r="G2263" s="1115" t="n">
        <v>61800</v>
      </c>
      <c r="H2263" s="1115" t="s">
        <v>1018</v>
      </c>
      <c r="I2263" s="1115" t="n">
        <v>61180</v>
      </c>
      <c r="J2263" s="1115" t="s">
        <v>1154</v>
      </c>
    </row>
    <row r="2264" customFormat="false" ht="14.1" hidden="false" customHeight="true" outlineLevel="0" collapsed="false">
      <c r="A2264" s="1115" t="n">
        <v>61170</v>
      </c>
      <c r="B2264" s="1115" t="s">
        <v>161</v>
      </c>
      <c r="C2264" s="1115" t="n">
        <v>61170</v>
      </c>
      <c r="D2264" s="1115" t="s">
        <v>3366</v>
      </c>
      <c r="E2264" s="1115" t="s">
        <v>3397</v>
      </c>
      <c r="F2264" s="1115" t="n">
        <v>85820</v>
      </c>
      <c r="G2264" s="1115" t="n">
        <v>61810</v>
      </c>
      <c r="H2264" s="1115" t="s">
        <v>3060</v>
      </c>
      <c r="I2264" s="1115" t="n">
        <v>61220</v>
      </c>
      <c r="J2264" s="1115" t="s">
        <v>1124</v>
      </c>
    </row>
    <row r="2265" customFormat="false" ht="14.1" hidden="false" customHeight="true" outlineLevel="0" collapsed="false">
      <c r="A2265" s="1115" t="n">
        <v>61180</v>
      </c>
      <c r="B2265" s="1115" t="s">
        <v>161</v>
      </c>
      <c r="C2265" s="1115" t="n">
        <v>61180</v>
      </c>
      <c r="D2265" s="1115" t="s">
        <v>1276</v>
      </c>
      <c r="E2265" s="1115" t="s">
        <v>3250</v>
      </c>
      <c r="F2265" s="1115" t="n">
        <v>57150</v>
      </c>
      <c r="G2265" s="1115" t="n">
        <v>61820</v>
      </c>
      <c r="H2265" s="1115" t="s">
        <v>2141</v>
      </c>
      <c r="I2265" s="1115" t="n">
        <v>61230</v>
      </c>
      <c r="J2265" s="1115" t="s">
        <v>1124</v>
      </c>
    </row>
    <row r="2266" customFormat="false" ht="14.1" hidden="false" customHeight="true" outlineLevel="0" collapsed="false">
      <c r="A2266" s="1115" t="n">
        <v>61220</v>
      </c>
      <c r="B2266" s="1115" t="s">
        <v>161</v>
      </c>
      <c r="C2266" s="1115" t="n">
        <v>61220</v>
      </c>
      <c r="D2266" s="1115" t="s">
        <v>3251</v>
      </c>
      <c r="E2266" s="1115" t="s">
        <v>3398</v>
      </c>
      <c r="F2266" s="1115" t="n">
        <v>91140</v>
      </c>
      <c r="G2266" s="1115" t="n">
        <v>61840</v>
      </c>
      <c r="H2266" s="1115" t="s">
        <v>3347</v>
      </c>
      <c r="I2266" s="1115" t="n">
        <v>61250</v>
      </c>
      <c r="J2266" s="1115" t="s">
        <v>897</v>
      </c>
    </row>
    <row r="2267" customFormat="false" ht="14.1" hidden="false" customHeight="true" outlineLevel="0" collapsed="false">
      <c r="A2267" s="1115" t="n">
        <v>61230</v>
      </c>
      <c r="B2267" s="1115" t="s">
        <v>161</v>
      </c>
      <c r="C2267" s="1115" t="n">
        <v>61230</v>
      </c>
      <c r="D2267" s="1115" t="s">
        <v>3061</v>
      </c>
      <c r="E2267" s="1115" t="s">
        <v>2174</v>
      </c>
      <c r="F2267" s="1115" t="n">
        <v>27160</v>
      </c>
      <c r="G2267" s="1115" t="n">
        <v>61850</v>
      </c>
      <c r="H2267" s="1115" t="s">
        <v>1018</v>
      </c>
      <c r="I2267" s="1115" t="n">
        <v>61270</v>
      </c>
      <c r="J2267" s="1115" t="s">
        <v>897</v>
      </c>
    </row>
    <row r="2268" customFormat="false" ht="14.1" hidden="false" customHeight="true" outlineLevel="0" collapsed="false">
      <c r="A2268" s="1115" t="n">
        <v>61250</v>
      </c>
      <c r="B2268" s="1115" t="s">
        <v>161</v>
      </c>
      <c r="C2268" s="1115" t="n">
        <v>61250</v>
      </c>
      <c r="D2268" s="1115" t="s">
        <v>1993</v>
      </c>
      <c r="E2268" s="1115" t="s">
        <v>1191</v>
      </c>
      <c r="F2268" s="1115" t="n">
        <v>3450</v>
      </c>
      <c r="G2268" s="1115" t="n">
        <v>61860</v>
      </c>
      <c r="H2268" s="1115" t="s">
        <v>1401</v>
      </c>
      <c r="I2268" s="1115" t="n">
        <v>61280</v>
      </c>
      <c r="J2268" s="1115" t="s">
        <v>897</v>
      </c>
    </row>
    <row r="2269" customFormat="false" ht="14.1" hidden="false" customHeight="true" outlineLevel="0" collapsed="false">
      <c r="A2269" s="1115" t="n">
        <v>61270</v>
      </c>
      <c r="B2269" s="1115" t="s">
        <v>161</v>
      </c>
      <c r="C2269" s="1115" t="n">
        <v>61270</v>
      </c>
      <c r="D2269" s="1115" t="s">
        <v>3062</v>
      </c>
      <c r="E2269" s="1115" t="s">
        <v>3139</v>
      </c>
      <c r="F2269" s="1115" t="n">
        <v>52770</v>
      </c>
      <c r="G2269" s="1115" t="n">
        <v>61880</v>
      </c>
      <c r="H2269" s="1115" t="s">
        <v>1916</v>
      </c>
      <c r="I2269" s="1115" t="n">
        <v>61290</v>
      </c>
      <c r="J2269" s="1115" t="s">
        <v>897</v>
      </c>
    </row>
    <row r="2270" customFormat="false" ht="14.1" hidden="false" customHeight="true" outlineLevel="0" collapsed="false">
      <c r="A2270" s="1115" t="n">
        <v>61280</v>
      </c>
      <c r="B2270" s="1115" t="s">
        <v>161</v>
      </c>
      <c r="C2270" s="1115" t="n">
        <v>61280</v>
      </c>
      <c r="D2270" s="1115" t="s">
        <v>2018</v>
      </c>
      <c r="E2270" s="1115" t="s">
        <v>3038</v>
      </c>
      <c r="F2270" s="1115" t="n">
        <v>49780</v>
      </c>
      <c r="G2270" s="1115" t="n">
        <v>61880</v>
      </c>
      <c r="H2270" s="1115" t="s">
        <v>1916</v>
      </c>
      <c r="I2270" s="1115" t="n">
        <v>61300</v>
      </c>
      <c r="J2270" s="1115" t="s">
        <v>897</v>
      </c>
    </row>
    <row r="2271" customFormat="false" ht="14.1" hidden="false" customHeight="true" outlineLevel="0" collapsed="false">
      <c r="A2271" s="1115" t="n">
        <v>61290</v>
      </c>
      <c r="B2271" s="1115" t="s">
        <v>161</v>
      </c>
      <c r="C2271" s="1115" t="n">
        <v>61290</v>
      </c>
      <c r="D2271" s="1115" t="s">
        <v>3367</v>
      </c>
      <c r="E2271" s="1115" t="s">
        <v>3399</v>
      </c>
      <c r="F2271" s="1115" t="n">
        <v>82360</v>
      </c>
      <c r="G2271" s="1115" t="n">
        <v>61910</v>
      </c>
      <c r="H2271" s="1115" t="s">
        <v>3352</v>
      </c>
      <c r="I2271" s="1115" t="n">
        <v>61310</v>
      </c>
      <c r="J2271" s="1115" t="s">
        <v>897</v>
      </c>
    </row>
    <row r="2272" customFormat="false" ht="14.1" hidden="false" customHeight="true" outlineLevel="0" collapsed="false">
      <c r="A2272" s="1115" t="n">
        <v>61300</v>
      </c>
      <c r="B2272" s="1115" t="s">
        <v>161</v>
      </c>
      <c r="C2272" s="1115" t="n">
        <v>61300</v>
      </c>
      <c r="D2272" s="1115" t="s">
        <v>1124</v>
      </c>
      <c r="E2272" s="1115" t="s">
        <v>3400</v>
      </c>
      <c r="F2272" s="1115" t="n">
        <v>98970</v>
      </c>
      <c r="G2272" s="1115" t="n">
        <v>61920</v>
      </c>
      <c r="H2272" s="1115" t="s">
        <v>3353</v>
      </c>
      <c r="I2272" s="1115" t="n">
        <v>61310</v>
      </c>
      <c r="J2272" s="1115" t="s">
        <v>897</v>
      </c>
    </row>
    <row r="2273" customFormat="false" ht="14.1" hidden="false" customHeight="true" outlineLevel="0" collapsed="false">
      <c r="A2273" s="1115" t="n">
        <v>61310</v>
      </c>
      <c r="B2273" s="1115" t="s">
        <v>161</v>
      </c>
      <c r="C2273" s="1115" t="n">
        <v>61310</v>
      </c>
      <c r="D2273" s="1115" t="s">
        <v>3369</v>
      </c>
      <c r="E2273" s="1115" t="s">
        <v>2599</v>
      </c>
      <c r="F2273" s="1115" t="n">
        <v>37450</v>
      </c>
      <c r="G2273" s="1115" t="n">
        <v>61940</v>
      </c>
      <c r="H2273" s="1115" t="s">
        <v>1867</v>
      </c>
      <c r="I2273" s="1115" t="n">
        <v>61330</v>
      </c>
      <c r="J2273" s="1115" t="s">
        <v>897</v>
      </c>
    </row>
    <row r="2274" customFormat="false" ht="14.1" hidden="false" customHeight="true" outlineLevel="0" collapsed="false">
      <c r="A2274" s="1115" t="n">
        <v>61310</v>
      </c>
      <c r="B2274" s="1115" t="s">
        <v>161</v>
      </c>
      <c r="C2274" s="1115" t="n">
        <v>61310</v>
      </c>
      <c r="D2274" s="1115" t="s">
        <v>3369</v>
      </c>
      <c r="E2274" s="1115" t="s">
        <v>3401</v>
      </c>
      <c r="F2274" s="1115" t="n">
        <v>73140</v>
      </c>
      <c r="G2274" s="1115" t="n">
        <v>61950</v>
      </c>
      <c r="H2274" s="1115" t="s">
        <v>2050</v>
      </c>
      <c r="I2274" s="1115" t="n">
        <v>61340</v>
      </c>
      <c r="J2274" s="1115" t="s">
        <v>897</v>
      </c>
    </row>
    <row r="2275" customFormat="false" ht="14.1" hidden="false" customHeight="true" outlineLevel="0" collapsed="false">
      <c r="A2275" s="1115" t="n">
        <v>61330</v>
      </c>
      <c r="B2275" s="1115" t="s">
        <v>161</v>
      </c>
      <c r="C2275" s="1115" t="n">
        <v>61330</v>
      </c>
      <c r="D2275" s="1115" t="s">
        <v>2584</v>
      </c>
      <c r="E2275" s="1115" t="s">
        <v>1406</v>
      </c>
      <c r="F2275" s="1115" t="n">
        <v>7530</v>
      </c>
      <c r="G2275" s="1115" t="n">
        <v>61960</v>
      </c>
      <c r="H2275" s="1115" t="s">
        <v>2789</v>
      </c>
      <c r="I2275" s="1115" t="n">
        <v>61350</v>
      </c>
      <c r="J2275" s="1115" t="s">
        <v>897</v>
      </c>
    </row>
    <row r="2276" customFormat="false" ht="14.1" hidden="false" customHeight="true" outlineLevel="0" collapsed="false">
      <c r="A2276" s="1115" t="n">
        <v>61340</v>
      </c>
      <c r="B2276" s="1115" t="s">
        <v>161</v>
      </c>
      <c r="C2276" s="1115" t="n">
        <v>61340</v>
      </c>
      <c r="D2276" s="1115" t="s">
        <v>3346</v>
      </c>
      <c r="E2276" s="1115" t="s">
        <v>1853</v>
      </c>
      <c r="F2276" s="1115" t="n">
        <v>19230</v>
      </c>
      <c r="G2276" s="1115" t="n">
        <v>61980</v>
      </c>
      <c r="H2276" s="1115" t="s">
        <v>3402</v>
      </c>
      <c r="I2276" s="1115" t="n">
        <v>61360</v>
      </c>
      <c r="J2276" s="1115" t="s">
        <v>897</v>
      </c>
    </row>
    <row r="2277" customFormat="false" ht="14.1" hidden="false" customHeight="true" outlineLevel="0" collapsed="false">
      <c r="A2277" s="1115" t="n">
        <v>61350</v>
      </c>
      <c r="B2277" s="1115" t="s">
        <v>161</v>
      </c>
      <c r="C2277" s="1115" t="n">
        <v>61350</v>
      </c>
      <c r="D2277" s="1115" t="s">
        <v>1799</v>
      </c>
      <c r="E2277" s="1115" t="s">
        <v>3403</v>
      </c>
      <c r="F2277" s="1115" t="n">
        <v>73655</v>
      </c>
      <c r="G2277" s="1115" t="n">
        <v>62100</v>
      </c>
      <c r="H2277" s="1115" t="s">
        <v>1154</v>
      </c>
      <c r="I2277" s="1115" t="n">
        <v>61370</v>
      </c>
      <c r="J2277" s="1115" t="s">
        <v>897</v>
      </c>
    </row>
    <row r="2278" customFormat="false" ht="14.1" hidden="false" customHeight="true" outlineLevel="0" collapsed="false">
      <c r="A2278" s="1115" t="n">
        <v>61360</v>
      </c>
      <c r="B2278" s="1115" t="s">
        <v>161</v>
      </c>
      <c r="C2278" s="1115" t="n">
        <v>61360</v>
      </c>
      <c r="D2278" s="1115" t="s">
        <v>3188</v>
      </c>
      <c r="E2278" s="1115" t="s">
        <v>3404</v>
      </c>
      <c r="F2278" s="1115" t="n">
        <v>82560</v>
      </c>
      <c r="G2278" s="1115" t="n">
        <v>62130</v>
      </c>
      <c r="H2278" s="1115" t="s">
        <v>1552</v>
      </c>
      <c r="I2278" s="1115" t="n">
        <v>61380</v>
      </c>
      <c r="J2278" s="1115" t="s">
        <v>897</v>
      </c>
    </row>
    <row r="2279" customFormat="false" ht="14.1" hidden="false" customHeight="true" outlineLevel="0" collapsed="false">
      <c r="A2279" s="1115" t="n">
        <v>61370</v>
      </c>
      <c r="B2279" s="1115" t="s">
        <v>161</v>
      </c>
      <c r="C2279" s="1115" t="n">
        <v>61370</v>
      </c>
      <c r="D2279" s="1115" t="s">
        <v>3013</v>
      </c>
      <c r="E2279" s="1115" t="s">
        <v>3405</v>
      </c>
      <c r="F2279" s="1115" t="n">
        <v>88640</v>
      </c>
      <c r="G2279" s="1115" t="n">
        <v>62130</v>
      </c>
      <c r="H2279" s="1115" t="s">
        <v>1552</v>
      </c>
      <c r="I2279" s="1115" t="n">
        <v>61400</v>
      </c>
      <c r="J2279" s="1115" t="s">
        <v>1636</v>
      </c>
    </row>
    <row r="2280" customFormat="false" ht="14.1" hidden="false" customHeight="true" outlineLevel="0" collapsed="false">
      <c r="A2280" s="1115" t="n">
        <v>61380</v>
      </c>
      <c r="B2280" s="1115" t="s">
        <v>161</v>
      </c>
      <c r="C2280" s="1115" t="n">
        <v>61380</v>
      </c>
      <c r="D2280" s="1115" t="s">
        <v>3372</v>
      </c>
      <c r="E2280" s="1115" t="s">
        <v>3406</v>
      </c>
      <c r="F2280" s="1115" t="n">
        <v>80510</v>
      </c>
      <c r="G2280" s="1115" t="n">
        <v>62150</v>
      </c>
      <c r="H2280" s="1115" t="s">
        <v>3407</v>
      </c>
      <c r="I2280" s="1115" t="n">
        <v>61410</v>
      </c>
      <c r="J2280" s="1115" t="s">
        <v>1636</v>
      </c>
    </row>
    <row r="2281" customFormat="false" ht="14.1" hidden="false" customHeight="true" outlineLevel="0" collapsed="false">
      <c r="A2281" s="1115" t="n">
        <v>61400</v>
      </c>
      <c r="B2281" s="1115" t="s">
        <v>161</v>
      </c>
      <c r="C2281" s="1115" t="n">
        <v>61400</v>
      </c>
      <c r="D2281" s="1115" t="s">
        <v>1636</v>
      </c>
      <c r="E2281" s="1115" t="s">
        <v>2112</v>
      </c>
      <c r="F2281" s="1115" t="n">
        <v>25480</v>
      </c>
      <c r="G2281" s="1115" t="n">
        <v>62160</v>
      </c>
      <c r="H2281" s="1115" t="s">
        <v>2245</v>
      </c>
      <c r="I2281" s="1115" t="n">
        <v>61430</v>
      </c>
      <c r="J2281" s="1115" t="s">
        <v>1636</v>
      </c>
    </row>
    <row r="2282" customFormat="false" ht="14.1" hidden="false" customHeight="true" outlineLevel="0" collapsed="false">
      <c r="A2282" s="1115" t="n">
        <v>61410</v>
      </c>
      <c r="B2282" s="1115" t="s">
        <v>161</v>
      </c>
      <c r="C2282" s="1115" t="n">
        <v>61410</v>
      </c>
      <c r="D2282" s="1115" t="s">
        <v>1636</v>
      </c>
      <c r="E2282" s="1115" t="s">
        <v>2112</v>
      </c>
      <c r="F2282" s="1115" t="n">
        <v>95750</v>
      </c>
      <c r="G2282" s="1115" t="n">
        <v>62165</v>
      </c>
      <c r="H2282" s="1115" t="s">
        <v>3408</v>
      </c>
      <c r="I2282" s="1115" t="n">
        <v>61440</v>
      </c>
      <c r="J2282" s="1115" t="s">
        <v>723</v>
      </c>
    </row>
    <row r="2283" customFormat="false" ht="14.1" hidden="false" customHeight="true" outlineLevel="0" collapsed="false">
      <c r="A2283" s="1115" t="n">
        <v>61430</v>
      </c>
      <c r="B2283" s="1115" t="s">
        <v>161</v>
      </c>
      <c r="C2283" s="1115" t="n">
        <v>61430</v>
      </c>
      <c r="D2283" s="1115" t="s">
        <v>1965</v>
      </c>
      <c r="E2283" s="1115" t="s">
        <v>3409</v>
      </c>
      <c r="F2283" s="1115" t="n">
        <v>99560</v>
      </c>
      <c r="G2283" s="1115" t="n">
        <v>62170</v>
      </c>
      <c r="H2283" s="1115" t="s">
        <v>2873</v>
      </c>
      <c r="I2283" s="1115" t="n">
        <v>61440</v>
      </c>
      <c r="J2283" s="1115" t="s">
        <v>723</v>
      </c>
    </row>
    <row r="2284" customFormat="false" ht="14.1" hidden="false" customHeight="true" outlineLevel="0" collapsed="false">
      <c r="A2284" s="1115" t="n">
        <v>61440</v>
      </c>
      <c r="B2284" s="1115" t="s">
        <v>161</v>
      </c>
      <c r="C2284" s="1115" t="n">
        <v>61440</v>
      </c>
      <c r="D2284" s="1115" t="s">
        <v>3362</v>
      </c>
      <c r="E2284" s="1115" t="s">
        <v>1291</v>
      </c>
      <c r="F2284" s="1115" t="n">
        <v>66800</v>
      </c>
      <c r="G2284" s="1115" t="n">
        <v>62175</v>
      </c>
      <c r="H2284" s="1115" t="s">
        <v>3410</v>
      </c>
      <c r="I2284" s="1115" t="n">
        <v>61450</v>
      </c>
      <c r="J2284" s="1115" t="s">
        <v>723</v>
      </c>
    </row>
    <row r="2285" customFormat="false" ht="14.1" hidden="false" customHeight="true" outlineLevel="0" collapsed="false">
      <c r="A2285" s="1115" t="n">
        <v>61440</v>
      </c>
      <c r="B2285" s="1115" t="s">
        <v>161</v>
      </c>
      <c r="C2285" s="1115" t="n">
        <v>61440</v>
      </c>
      <c r="D2285" s="1115" t="s">
        <v>3376</v>
      </c>
      <c r="E2285" s="1115" t="s">
        <v>3411</v>
      </c>
      <c r="F2285" s="1115" t="n">
        <v>66830</v>
      </c>
      <c r="G2285" s="1115" t="n">
        <v>62185</v>
      </c>
      <c r="H2285" s="1115" t="s">
        <v>3254</v>
      </c>
      <c r="I2285" s="1115" t="n">
        <v>61460</v>
      </c>
      <c r="J2285" s="1115" t="s">
        <v>723</v>
      </c>
    </row>
    <row r="2286" customFormat="false" ht="14.1" hidden="false" customHeight="true" outlineLevel="0" collapsed="false">
      <c r="A2286" s="1115" t="n">
        <v>61450</v>
      </c>
      <c r="B2286" s="1115" t="s">
        <v>161</v>
      </c>
      <c r="C2286" s="1115" t="n">
        <v>61450</v>
      </c>
      <c r="D2286" s="1115" t="s">
        <v>2777</v>
      </c>
      <c r="E2286" s="1115" t="s">
        <v>2953</v>
      </c>
      <c r="F2286" s="1115" t="n">
        <v>45940</v>
      </c>
      <c r="G2286" s="1115" t="n">
        <v>62190</v>
      </c>
      <c r="H2286" s="1115" t="s">
        <v>3412</v>
      </c>
      <c r="I2286" s="1115" t="n">
        <v>61470</v>
      </c>
      <c r="J2286" s="1115" t="s">
        <v>723</v>
      </c>
    </row>
    <row r="2287" customFormat="false" ht="14.1" hidden="false" customHeight="true" outlineLevel="0" collapsed="false">
      <c r="A2287" s="1115" t="n">
        <v>61460</v>
      </c>
      <c r="B2287" s="1115" t="s">
        <v>161</v>
      </c>
      <c r="C2287" s="1115" t="n">
        <v>61460</v>
      </c>
      <c r="D2287" s="1115" t="s">
        <v>1375</v>
      </c>
      <c r="E2287" s="1115" t="s">
        <v>2794</v>
      </c>
      <c r="F2287" s="1115" t="n">
        <v>41630</v>
      </c>
      <c r="G2287" s="1115" t="n">
        <v>62200</v>
      </c>
      <c r="H2287" s="1115" t="s">
        <v>1021</v>
      </c>
      <c r="I2287" s="1115" t="n">
        <v>61470</v>
      </c>
      <c r="J2287" s="1115" t="s">
        <v>723</v>
      </c>
    </row>
    <row r="2288" customFormat="false" ht="14.1" hidden="false" customHeight="true" outlineLevel="0" collapsed="false">
      <c r="A2288" s="1115" t="n">
        <v>61470</v>
      </c>
      <c r="B2288" s="1115" t="s">
        <v>161</v>
      </c>
      <c r="C2288" s="1115" t="n">
        <v>61470</v>
      </c>
      <c r="D2288" s="1115" t="s">
        <v>2444</v>
      </c>
      <c r="E2288" s="1115" t="s">
        <v>3258</v>
      </c>
      <c r="F2288" s="1115" t="n">
        <v>58130</v>
      </c>
      <c r="G2288" s="1115" t="n">
        <v>62220</v>
      </c>
      <c r="H2288" s="1115" t="s">
        <v>3413</v>
      </c>
      <c r="I2288" s="1115" t="n">
        <v>61470</v>
      </c>
      <c r="J2288" s="1115" t="s">
        <v>723</v>
      </c>
    </row>
    <row r="2289" customFormat="false" ht="14.1" hidden="false" customHeight="true" outlineLevel="0" collapsed="false">
      <c r="A2289" s="1115" t="n">
        <v>61470</v>
      </c>
      <c r="B2289" s="1115" t="s">
        <v>161</v>
      </c>
      <c r="C2289" s="1115" t="n">
        <v>61470</v>
      </c>
      <c r="D2289" s="1115" t="s">
        <v>2444</v>
      </c>
      <c r="E2289" s="1115" t="s">
        <v>3414</v>
      </c>
      <c r="F2289" s="1115" t="n">
        <v>71470</v>
      </c>
      <c r="G2289" s="1115" t="n">
        <v>62230</v>
      </c>
      <c r="H2289" s="1115" t="s">
        <v>2074</v>
      </c>
      <c r="I2289" s="1115" t="n">
        <v>61500</v>
      </c>
      <c r="J2289" s="1115" t="s">
        <v>891</v>
      </c>
    </row>
    <row r="2290" customFormat="false" ht="14.1" hidden="false" customHeight="true" outlineLevel="0" collapsed="false">
      <c r="A2290" s="1115" t="n">
        <v>61470</v>
      </c>
      <c r="B2290" s="1115" t="s">
        <v>161</v>
      </c>
      <c r="C2290" s="1115" t="n">
        <v>61470</v>
      </c>
      <c r="D2290" s="1115" t="s">
        <v>2444</v>
      </c>
      <c r="E2290" s="1115" t="s">
        <v>3415</v>
      </c>
      <c r="F2290" s="1115" t="n">
        <v>82310</v>
      </c>
      <c r="G2290" s="1115" t="n">
        <v>62240</v>
      </c>
      <c r="H2290" s="1115" t="s">
        <v>1786</v>
      </c>
      <c r="I2290" s="1115" t="n">
        <v>61510</v>
      </c>
      <c r="J2290" s="1115" t="s">
        <v>891</v>
      </c>
    </row>
    <row r="2291" customFormat="false" ht="14.1" hidden="false" customHeight="true" outlineLevel="0" collapsed="false">
      <c r="A2291" s="1115" t="n">
        <v>61500</v>
      </c>
      <c r="B2291" s="1115" t="s">
        <v>161</v>
      </c>
      <c r="C2291" s="1115" t="n">
        <v>61500</v>
      </c>
      <c r="D2291" s="1115" t="s">
        <v>891</v>
      </c>
      <c r="E2291" s="1115" t="s">
        <v>3146</v>
      </c>
      <c r="F2291" s="1115" t="n">
        <v>52930</v>
      </c>
      <c r="G2291" s="1115" t="n">
        <v>62260</v>
      </c>
      <c r="H2291" s="1115" t="s">
        <v>1725</v>
      </c>
      <c r="I2291" s="1115" t="n">
        <v>61520</v>
      </c>
      <c r="J2291" s="1115" t="s">
        <v>891</v>
      </c>
    </row>
    <row r="2292" customFormat="false" ht="14.1" hidden="false" customHeight="true" outlineLevel="0" collapsed="false">
      <c r="A2292" s="1115" t="n">
        <v>61510</v>
      </c>
      <c r="B2292" s="1115" t="s">
        <v>161</v>
      </c>
      <c r="C2292" s="1115" t="n">
        <v>61510</v>
      </c>
      <c r="D2292" s="1115" t="s">
        <v>3381</v>
      </c>
      <c r="E2292" s="1115" t="s">
        <v>1294</v>
      </c>
      <c r="F2292" s="1115" t="n">
        <v>16300</v>
      </c>
      <c r="G2292" s="1115" t="n">
        <v>62280</v>
      </c>
      <c r="H2292" s="1115" t="s">
        <v>3229</v>
      </c>
      <c r="I2292" s="1115" t="n">
        <v>61530</v>
      </c>
      <c r="J2292" s="1115" t="s">
        <v>891</v>
      </c>
    </row>
    <row r="2293" customFormat="false" ht="14.1" hidden="false" customHeight="true" outlineLevel="0" collapsed="false">
      <c r="A2293" s="1115" t="n">
        <v>61520</v>
      </c>
      <c r="B2293" s="1115" t="s">
        <v>161</v>
      </c>
      <c r="C2293" s="1115" t="n">
        <v>61520</v>
      </c>
      <c r="D2293" s="1115" t="s">
        <v>2936</v>
      </c>
      <c r="E2293" s="1115" t="s">
        <v>2373</v>
      </c>
      <c r="F2293" s="1115" t="n">
        <v>31810</v>
      </c>
      <c r="G2293" s="1115" t="n">
        <v>62290</v>
      </c>
      <c r="H2293" s="1115" t="s">
        <v>1730</v>
      </c>
      <c r="I2293" s="1115" t="n">
        <v>61540</v>
      </c>
      <c r="J2293" s="1115" t="s">
        <v>891</v>
      </c>
    </row>
    <row r="2294" customFormat="false" ht="14.1" hidden="false" customHeight="true" outlineLevel="0" collapsed="false">
      <c r="A2294" s="1115" t="n">
        <v>61530</v>
      </c>
      <c r="B2294" s="1115" t="s">
        <v>161</v>
      </c>
      <c r="C2294" s="1115" t="n">
        <v>61530</v>
      </c>
      <c r="D2294" s="1115" t="s">
        <v>2791</v>
      </c>
      <c r="E2294" s="1115" t="s">
        <v>1297</v>
      </c>
      <c r="F2294" s="1115" t="n">
        <v>32500</v>
      </c>
      <c r="G2294" s="1115" t="n">
        <v>62295</v>
      </c>
      <c r="H2294" s="1115" t="s">
        <v>2313</v>
      </c>
      <c r="I2294" s="1115" t="n">
        <v>61550</v>
      </c>
      <c r="J2294" s="1115" t="s">
        <v>891</v>
      </c>
    </row>
    <row r="2295" customFormat="false" ht="14.1" hidden="false" customHeight="true" outlineLevel="0" collapsed="false">
      <c r="A2295" s="1115" t="n">
        <v>61540</v>
      </c>
      <c r="B2295" s="1115" t="s">
        <v>161</v>
      </c>
      <c r="C2295" s="1115" t="n">
        <v>61540</v>
      </c>
      <c r="D2295" s="1115" t="s">
        <v>830</v>
      </c>
      <c r="E2295" s="1115" t="s">
        <v>3386</v>
      </c>
      <c r="F2295" s="1115" t="n">
        <v>61560</v>
      </c>
      <c r="G2295" s="1115" t="n">
        <v>62300</v>
      </c>
      <c r="H2295" s="1115" t="s">
        <v>1900</v>
      </c>
      <c r="I2295" s="1115" t="n">
        <v>61550</v>
      </c>
      <c r="J2295" s="1115" t="s">
        <v>891</v>
      </c>
    </row>
    <row r="2296" customFormat="false" ht="14.1" hidden="false" customHeight="true" outlineLevel="0" collapsed="false">
      <c r="A2296" s="1115" t="n">
        <v>61550</v>
      </c>
      <c r="B2296" s="1115" t="s">
        <v>161</v>
      </c>
      <c r="C2296" s="1115" t="n">
        <v>61550</v>
      </c>
      <c r="D2296" s="1115" t="s">
        <v>3384</v>
      </c>
      <c r="E2296" s="1115" t="s">
        <v>3386</v>
      </c>
      <c r="F2296" s="1115" t="n">
        <v>61560</v>
      </c>
      <c r="G2296" s="1115" t="n">
        <v>62310</v>
      </c>
      <c r="H2296" s="1115" t="s">
        <v>3416</v>
      </c>
      <c r="I2296" s="1115" t="n">
        <v>61560</v>
      </c>
      <c r="J2296" s="1115" t="s">
        <v>891</v>
      </c>
    </row>
    <row r="2297" customFormat="false" ht="14.1" hidden="false" customHeight="true" outlineLevel="0" collapsed="false">
      <c r="A2297" s="1115" t="n">
        <v>61550</v>
      </c>
      <c r="B2297" s="1115" t="s">
        <v>161</v>
      </c>
      <c r="C2297" s="1115" t="n">
        <v>61550</v>
      </c>
      <c r="D2297" s="1115" t="s">
        <v>3384</v>
      </c>
      <c r="E2297" s="1115" t="s">
        <v>3384</v>
      </c>
      <c r="F2297" s="1115" t="n">
        <v>61550</v>
      </c>
      <c r="G2297" s="1115" t="n">
        <v>62340</v>
      </c>
      <c r="H2297" s="1115" t="s">
        <v>2721</v>
      </c>
      <c r="I2297" s="1115" t="n">
        <v>61560</v>
      </c>
      <c r="J2297" s="1115" t="s">
        <v>891</v>
      </c>
    </row>
    <row r="2298" customFormat="false" ht="14.1" hidden="false" customHeight="true" outlineLevel="0" collapsed="false">
      <c r="A2298" s="1115" t="n">
        <v>61560</v>
      </c>
      <c r="B2298" s="1115" t="s">
        <v>161</v>
      </c>
      <c r="C2298" s="1115" t="n">
        <v>61560</v>
      </c>
      <c r="D2298" s="1115" t="s">
        <v>3386</v>
      </c>
      <c r="E2298" s="1115" t="s">
        <v>3384</v>
      </c>
      <c r="F2298" s="1115" t="n">
        <v>61550</v>
      </c>
      <c r="G2298" s="1115" t="n">
        <v>62350</v>
      </c>
      <c r="H2298" s="1115" t="s">
        <v>1064</v>
      </c>
      <c r="I2298" s="1115" t="n">
        <v>61570</v>
      </c>
      <c r="J2298" s="1115" t="s">
        <v>891</v>
      </c>
    </row>
    <row r="2299" customFormat="false" ht="14.1" hidden="false" customHeight="true" outlineLevel="0" collapsed="false">
      <c r="A2299" s="1115" t="n">
        <v>61560</v>
      </c>
      <c r="B2299" s="1115" t="s">
        <v>161</v>
      </c>
      <c r="C2299" s="1115" t="n">
        <v>61560</v>
      </c>
      <c r="D2299" s="1115" t="s">
        <v>3386</v>
      </c>
      <c r="E2299" s="1115" t="s">
        <v>2382</v>
      </c>
      <c r="F2299" s="1115" t="n">
        <v>31960</v>
      </c>
      <c r="G2299" s="1115" t="n">
        <v>62370</v>
      </c>
      <c r="H2299" s="1115" t="s">
        <v>2222</v>
      </c>
      <c r="I2299" s="1115" t="n">
        <v>61580</v>
      </c>
      <c r="J2299" s="1115" t="s">
        <v>891</v>
      </c>
    </row>
    <row r="2300" customFormat="false" ht="14.1" hidden="false" customHeight="true" outlineLevel="0" collapsed="false">
      <c r="A2300" s="1115" t="n">
        <v>61570</v>
      </c>
      <c r="B2300" s="1115" t="s">
        <v>161</v>
      </c>
      <c r="C2300" s="1115" t="n">
        <v>61570</v>
      </c>
      <c r="D2300" s="1115" t="s">
        <v>3289</v>
      </c>
      <c r="E2300" s="1115" t="s">
        <v>1300</v>
      </c>
      <c r="F2300" s="1115" t="n">
        <v>35100</v>
      </c>
      <c r="G2300" s="1115" t="n">
        <v>62375</v>
      </c>
      <c r="H2300" s="1115" t="s">
        <v>1634</v>
      </c>
      <c r="I2300" s="1115" t="n">
        <v>61600</v>
      </c>
      <c r="J2300" s="1115" t="s">
        <v>891</v>
      </c>
    </row>
    <row r="2301" customFormat="false" ht="14.1" hidden="false" customHeight="true" outlineLevel="0" collapsed="false">
      <c r="A2301" s="1115" t="n">
        <v>61580</v>
      </c>
      <c r="B2301" s="1115" t="s">
        <v>161</v>
      </c>
      <c r="C2301" s="1115" t="n">
        <v>61580</v>
      </c>
      <c r="D2301" s="1115" t="s">
        <v>3389</v>
      </c>
      <c r="E2301" s="1115" t="s">
        <v>1300</v>
      </c>
      <c r="F2301" s="1115" t="n">
        <v>35300</v>
      </c>
      <c r="G2301" s="1115" t="n">
        <v>62375</v>
      </c>
      <c r="H2301" s="1115" t="s">
        <v>1634</v>
      </c>
      <c r="I2301" s="1115" t="n">
        <v>61630</v>
      </c>
      <c r="J2301" s="1115" t="s">
        <v>891</v>
      </c>
    </row>
    <row r="2302" customFormat="false" ht="14.1" hidden="false" customHeight="true" outlineLevel="0" collapsed="false">
      <c r="A2302" s="1115" t="n">
        <v>61600</v>
      </c>
      <c r="B2302" s="1115" t="s">
        <v>161</v>
      </c>
      <c r="C2302" s="1115" t="n">
        <v>61600</v>
      </c>
      <c r="D2302" s="1115" t="s">
        <v>897</v>
      </c>
      <c r="E2302" s="1115" t="s">
        <v>2685</v>
      </c>
      <c r="F2302" s="1115" t="n">
        <v>39230</v>
      </c>
      <c r="G2302" s="1115" t="n">
        <v>62380</v>
      </c>
      <c r="H2302" s="1115" t="s">
        <v>2602</v>
      </c>
      <c r="I2302" s="1115" t="n">
        <v>61640</v>
      </c>
      <c r="J2302" s="1115" t="s">
        <v>891</v>
      </c>
    </row>
    <row r="2303" customFormat="false" ht="14.1" hidden="false" customHeight="true" outlineLevel="0" collapsed="false">
      <c r="A2303" s="1115" t="n">
        <v>61630</v>
      </c>
      <c r="B2303" s="1115" t="s">
        <v>161</v>
      </c>
      <c r="C2303" s="1115" t="n">
        <v>61630</v>
      </c>
      <c r="D2303" s="1115" t="s">
        <v>1727</v>
      </c>
      <c r="E2303" s="1115" t="s">
        <v>3417</v>
      </c>
      <c r="F2303" s="1115" t="n">
        <v>82160</v>
      </c>
      <c r="G2303" s="1115" t="n">
        <v>62395</v>
      </c>
      <c r="H2303" s="1115" t="s">
        <v>3418</v>
      </c>
      <c r="I2303" s="1115" t="n">
        <v>61650</v>
      </c>
      <c r="J2303" s="1115" t="s">
        <v>891</v>
      </c>
    </row>
    <row r="2304" customFormat="false" ht="14.1" hidden="false" customHeight="true" outlineLevel="0" collapsed="false">
      <c r="A2304" s="1115" t="n">
        <v>61640</v>
      </c>
      <c r="B2304" s="1115" t="s">
        <v>161</v>
      </c>
      <c r="C2304" s="1115" t="n">
        <v>61640</v>
      </c>
      <c r="D2304" s="1115" t="s">
        <v>856</v>
      </c>
      <c r="E2304" s="1115" t="s">
        <v>3419</v>
      </c>
      <c r="F2304" s="1115" t="n">
        <v>82165</v>
      </c>
      <c r="G2304" s="1115" t="n">
        <v>62395</v>
      </c>
      <c r="H2304" s="1115" t="s">
        <v>3418</v>
      </c>
      <c r="I2304" s="1115" t="n">
        <v>61680</v>
      </c>
      <c r="J2304" s="1115" t="s">
        <v>891</v>
      </c>
    </row>
    <row r="2305" customFormat="false" ht="14.1" hidden="false" customHeight="true" outlineLevel="0" collapsed="false">
      <c r="A2305" s="1115" t="n">
        <v>61650</v>
      </c>
      <c r="B2305" s="1115" t="s">
        <v>161</v>
      </c>
      <c r="C2305" s="1115" t="n">
        <v>61650</v>
      </c>
      <c r="D2305" s="1115" t="s">
        <v>2173</v>
      </c>
      <c r="E2305" s="1115" t="s">
        <v>2217</v>
      </c>
      <c r="F2305" s="1115" t="n">
        <v>27920</v>
      </c>
      <c r="G2305" s="1115" t="n">
        <v>62410</v>
      </c>
      <c r="H2305" s="1115" t="s">
        <v>3420</v>
      </c>
      <c r="I2305" s="1115" t="n">
        <v>61680</v>
      </c>
      <c r="J2305" s="1115" t="s">
        <v>891</v>
      </c>
    </row>
    <row r="2306" customFormat="false" ht="14.1" hidden="false" customHeight="true" outlineLevel="0" collapsed="false">
      <c r="A2306" s="1115" t="n">
        <v>61680</v>
      </c>
      <c r="B2306" s="1115" t="s">
        <v>161</v>
      </c>
      <c r="C2306" s="1115" t="n">
        <v>61680</v>
      </c>
      <c r="D2306" s="1115" t="s">
        <v>3126</v>
      </c>
      <c r="E2306" s="1115" t="s">
        <v>1180</v>
      </c>
      <c r="F2306" s="1115" t="n">
        <v>3300</v>
      </c>
      <c r="G2306" s="1115" t="n">
        <v>62420</v>
      </c>
      <c r="H2306" s="1115" t="s">
        <v>1104</v>
      </c>
      <c r="I2306" s="1115" t="n">
        <v>61710</v>
      </c>
      <c r="J2306" s="1115" t="s">
        <v>891</v>
      </c>
    </row>
    <row r="2307" customFormat="false" ht="14.1" hidden="false" customHeight="true" outlineLevel="0" collapsed="false">
      <c r="A2307" s="1115" t="n">
        <v>61680</v>
      </c>
      <c r="B2307" s="1115" t="s">
        <v>161</v>
      </c>
      <c r="C2307" s="1115" t="n">
        <v>61680</v>
      </c>
      <c r="D2307" s="1115" t="s">
        <v>3126</v>
      </c>
      <c r="E2307" s="1115" t="s">
        <v>2289</v>
      </c>
      <c r="F2307" s="1115" t="n">
        <v>29860</v>
      </c>
      <c r="G2307" s="1115" t="n">
        <v>62430</v>
      </c>
      <c r="H2307" s="1115" t="s">
        <v>3421</v>
      </c>
      <c r="I2307" s="1115" t="n">
        <v>61720</v>
      </c>
      <c r="J2307" s="1115" t="s">
        <v>891</v>
      </c>
    </row>
    <row r="2308" customFormat="false" ht="14.1" hidden="false" customHeight="true" outlineLevel="0" collapsed="false">
      <c r="A2308" s="1115" t="n">
        <v>61710</v>
      </c>
      <c r="B2308" s="1115" t="s">
        <v>161</v>
      </c>
      <c r="C2308" s="1115" t="n">
        <v>61710</v>
      </c>
      <c r="D2308" s="1115" t="s">
        <v>3393</v>
      </c>
      <c r="E2308" s="1115" t="s">
        <v>3422</v>
      </c>
      <c r="F2308" s="1115" t="n">
        <v>88200</v>
      </c>
      <c r="G2308" s="1115" t="n">
        <v>62435</v>
      </c>
      <c r="H2308" s="1115" t="s">
        <v>3423</v>
      </c>
      <c r="I2308" s="1115" t="n">
        <v>61730</v>
      </c>
      <c r="J2308" s="1115" t="s">
        <v>891</v>
      </c>
    </row>
    <row r="2309" customFormat="false" ht="14.1" hidden="false" customHeight="true" outlineLevel="0" collapsed="false">
      <c r="A2309" s="1115" t="n">
        <v>61720</v>
      </c>
      <c r="B2309" s="1115" t="s">
        <v>161</v>
      </c>
      <c r="C2309" s="1115" t="n">
        <v>61720</v>
      </c>
      <c r="D2309" s="1115" t="s">
        <v>2600</v>
      </c>
      <c r="E2309" s="1115" t="s">
        <v>3117</v>
      </c>
      <c r="F2309" s="1115" t="n">
        <v>52250</v>
      </c>
      <c r="G2309" s="1115" t="n">
        <v>62440</v>
      </c>
      <c r="H2309" s="1115" t="s">
        <v>3424</v>
      </c>
      <c r="I2309" s="1115" t="n">
        <v>61760</v>
      </c>
      <c r="J2309" s="1115" t="s">
        <v>891</v>
      </c>
    </row>
    <row r="2310" customFormat="false" ht="14.1" hidden="false" customHeight="true" outlineLevel="0" collapsed="false">
      <c r="A2310" s="1115" t="n">
        <v>61730</v>
      </c>
      <c r="B2310" s="1115" t="s">
        <v>161</v>
      </c>
      <c r="C2310" s="1115" t="n">
        <v>61730</v>
      </c>
      <c r="D2310" s="1115" t="s">
        <v>3395</v>
      </c>
      <c r="E2310" s="1115" t="s">
        <v>3053</v>
      </c>
      <c r="F2310" s="1115" t="n">
        <v>50670</v>
      </c>
      <c r="G2310" s="1115" t="n">
        <v>62470</v>
      </c>
      <c r="H2310" s="1115" t="s">
        <v>3425</v>
      </c>
      <c r="I2310" s="1115" t="n">
        <v>61800</v>
      </c>
      <c r="J2310" s="1115" t="s">
        <v>1018</v>
      </c>
    </row>
    <row r="2311" customFormat="false" ht="14.1" hidden="false" customHeight="true" outlineLevel="0" collapsed="false">
      <c r="A2311" s="1115" t="n">
        <v>61760</v>
      </c>
      <c r="B2311" s="1115" t="s">
        <v>161</v>
      </c>
      <c r="C2311" s="1115" t="n">
        <v>61760</v>
      </c>
      <c r="D2311" s="1115" t="s">
        <v>1928</v>
      </c>
      <c r="E2311" s="1115" t="s">
        <v>3426</v>
      </c>
      <c r="F2311" s="1115" t="n">
        <v>91720</v>
      </c>
      <c r="G2311" s="1115" t="n">
        <v>62470</v>
      </c>
      <c r="H2311" s="1115" t="s">
        <v>3425</v>
      </c>
      <c r="I2311" s="1115" t="n">
        <v>61810</v>
      </c>
      <c r="J2311" s="1115" t="s">
        <v>1018</v>
      </c>
    </row>
    <row r="2312" customFormat="false" ht="14.1" hidden="false" customHeight="true" outlineLevel="0" collapsed="false">
      <c r="A2312" s="1115" t="n">
        <v>61800</v>
      </c>
      <c r="B2312" s="1115" t="s">
        <v>161</v>
      </c>
      <c r="C2312" s="1115" t="n">
        <v>61800</v>
      </c>
      <c r="D2312" s="1115" t="s">
        <v>1018</v>
      </c>
      <c r="E2312" s="1115" t="s">
        <v>1303</v>
      </c>
      <c r="F2312" s="1115" t="n">
        <v>86300</v>
      </c>
      <c r="G2312" s="1115" t="n">
        <v>62500</v>
      </c>
      <c r="H2312" s="1115" t="s">
        <v>786</v>
      </c>
      <c r="I2312" s="1115" t="n">
        <v>61820</v>
      </c>
      <c r="J2312" s="1115" t="s">
        <v>1018</v>
      </c>
    </row>
    <row r="2313" customFormat="false" ht="14.1" hidden="false" customHeight="true" outlineLevel="0" collapsed="false">
      <c r="A2313" s="1115" t="n">
        <v>61810</v>
      </c>
      <c r="B2313" s="1115" t="s">
        <v>161</v>
      </c>
      <c r="C2313" s="1115" t="n">
        <v>61810</v>
      </c>
      <c r="D2313" s="1115" t="s">
        <v>3060</v>
      </c>
      <c r="E2313" s="1115" t="s">
        <v>3427</v>
      </c>
      <c r="F2313" s="1115" t="n">
        <v>86310</v>
      </c>
      <c r="G2313" s="1115" t="n">
        <v>62500</v>
      </c>
      <c r="H2313" s="1115" t="s">
        <v>786</v>
      </c>
      <c r="I2313" s="1115" t="n">
        <v>61840</v>
      </c>
      <c r="J2313" s="1115" t="s">
        <v>1563</v>
      </c>
    </row>
    <row r="2314" customFormat="false" ht="14.1" hidden="false" customHeight="true" outlineLevel="0" collapsed="false">
      <c r="A2314" s="1115" t="n">
        <v>61820</v>
      </c>
      <c r="B2314" s="1115" t="s">
        <v>161</v>
      </c>
      <c r="C2314" s="1115" t="n">
        <v>61820</v>
      </c>
      <c r="D2314" s="1115" t="s">
        <v>2141</v>
      </c>
      <c r="E2314" s="1115" t="s">
        <v>169</v>
      </c>
      <c r="F2314" s="1115" t="n">
        <v>90100</v>
      </c>
      <c r="G2314" s="1115" t="n">
        <v>62510</v>
      </c>
      <c r="H2314" s="1115" t="s">
        <v>2722</v>
      </c>
      <c r="I2314" s="1115" t="n">
        <v>61850</v>
      </c>
      <c r="J2314" s="1115" t="s">
        <v>1018</v>
      </c>
    </row>
    <row r="2315" customFormat="false" ht="14.1" hidden="false" customHeight="true" outlineLevel="0" collapsed="false">
      <c r="A2315" s="1115" t="n">
        <v>61840</v>
      </c>
      <c r="B2315" s="1115" t="s">
        <v>161</v>
      </c>
      <c r="C2315" s="1115" t="n">
        <v>61840</v>
      </c>
      <c r="D2315" s="1115" t="s">
        <v>3347</v>
      </c>
      <c r="E2315" s="1115" t="s">
        <v>169</v>
      </c>
      <c r="F2315" s="1115" t="n">
        <v>90100</v>
      </c>
      <c r="G2315" s="1115" t="n">
        <v>62520</v>
      </c>
      <c r="H2315" s="1115" t="s">
        <v>2335</v>
      </c>
      <c r="I2315" s="1115" t="n">
        <v>61860</v>
      </c>
      <c r="J2315" s="1115" t="s">
        <v>1018</v>
      </c>
    </row>
    <row r="2316" customFormat="false" ht="14.1" hidden="false" customHeight="true" outlineLevel="0" collapsed="false">
      <c r="A2316" s="1115" t="n">
        <v>61850</v>
      </c>
      <c r="B2316" s="1115" t="s">
        <v>161</v>
      </c>
      <c r="C2316" s="1115" t="n">
        <v>61850</v>
      </c>
      <c r="D2316" s="1115" t="s">
        <v>1018</v>
      </c>
      <c r="E2316" s="1115" t="s">
        <v>169</v>
      </c>
      <c r="F2316" s="1115" t="n">
        <v>90100</v>
      </c>
      <c r="G2316" s="1115" t="n">
        <v>62540</v>
      </c>
      <c r="H2316" s="1115" t="s">
        <v>3428</v>
      </c>
      <c r="I2316" s="1115" t="n">
        <v>61880</v>
      </c>
      <c r="J2316" s="1115" t="s">
        <v>1018</v>
      </c>
    </row>
    <row r="2317" customFormat="false" ht="14.1" hidden="false" customHeight="true" outlineLevel="0" collapsed="false">
      <c r="A2317" s="1115" t="n">
        <v>61860</v>
      </c>
      <c r="B2317" s="1115" t="s">
        <v>161</v>
      </c>
      <c r="C2317" s="1115" t="n">
        <v>61860</v>
      </c>
      <c r="D2317" s="1115" t="s">
        <v>1401</v>
      </c>
      <c r="E2317" s="1115" t="s">
        <v>169</v>
      </c>
      <c r="F2317" s="1115" t="n">
        <v>90130</v>
      </c>
      <c r="G2317" s="1115" t="n">
        <v>62570</v>
      </c>
      <c r="H2317" s="1115" t="s">
        <v>3429</v>
      </c>
      <c r="I2317" s="1115" t="n">
        <v>61880</v>
      </c>
      <c r="J2317" s="1115" t="s">
        <v>1018</v>
      </c>
    </row>
    <row r="2318" customFormat="false" ht="14.1" hidden="false" customHeight="true" outlineLevel="0" collapsed="false">
      <c r="A2318" s="1115" t="n">
        <v>61880</v>
      </c>
      <c r="B2318" s="1115" t="s">
        <v>161</v>
      </c>
      <c r="C2318" s="1115" t="n">
        <v>61880</v>
      </c>
      <c r="D2318" s="1115" t="s">
        <v>1916</v>
      </c>
      <c r="E2318" s="1115" t="s">
        <v>169</v>
      </c>
      <c r="F2318" s="1115" t="n">
        <v>90140</v>
      </c>
      <c r="G2318" s="1115" t="n">
        <v>62600</v>
      </c>
      <c r="H2318" s="1115" t="s">
        <v>1152</v>
      </c>
      <c r="I2318" s="1115" t="n">
        <v>61910</v>
      </c>
      <c r="J2318" s="1115" t="s">
        <v>1018</v>
      </c>
    </row>
    <row r="2319" customFormat="false" ht="14.1" hidden="false" customHeight="true" outlineLevel="0" collapsed="false">
      <c r="A2319" s="1115" t="n">
        <v>61880</v>
      </c>
      <c r="B2319" s="1115" t="s">
        <v>161</v>
      </c>
      <c r="C2319" s="1115" t="n">
        <v>61880</v>
      </c>
      <c r="D2319" s="1115" t="s">
        <v>1916</v>
      </c>
      <c r="E2319" s="1115" t="s">
        <v>169</v>
      </c>
      <c r="F2319" s="1115" t="n">
        <v>90150</v>
      </c>
      <c r="G2319" s="1115" t="n">
        <v>62610</v>
      </c>
      <c r="H2319" s="1115" t="s">
        <v>3430</v>
      </c>
      <c r="I2319" s="1115" t="n">
        <v>61920</v>
      </c>
      <c r="J2319" s="1115" t="s">
        <v>1018</v>
      </c>
    </row>
    <row r="2320" customFormat="false" ht="14.1" hidden="false" customHeight="true" outlineLevel="0" collapsed="false">
      <c r="A2320" s="1115" t="n">
        <v>61910</v>
      </c>
      <c r="B2320" s="1115" t="s">
        <v>161</v>
      </c>
      <c r="C2320" s="1115" t="n">
        <v>61910</v>
      </c>
      <c r="D2320" s="1115" t="s">
        <v>3352</v>
      </c>
      <c r="E2320" s="1115" t="s">
        <v>169</v>
      </c>
      <c r="F2320" s="1115" t="n">
        <v>90160</v>
      </c>
      <c r="G2320" s="1115" t="n">
        <v>62620</v>
      </c>
      <c r="H2320" s="1115" t="s">
        <v>846</v>
      </c>
      <c r="I2320" s="1115" t="n">
        <v>61940</v>
      </c>
      <c r="J2320" s="1115" t="s">
        <v>1018</v>
      </c>
    </row>
    <row r="2321" customFormat="false" ht="14.1" hidden="false" customHeight="true" outlineLevel="0" collapsed="false">
      <c r="A2321" s="1115" t="n">
        <v>61920</v>
      </c>
      <c r="B2321" s="1115" t="s">
        <v>161</v>
      </c>
      <c r="C2321" s="1115" t="n">
        <v>61920</v>
      </c>
      <c r="D2321" s="1115" t="s">
        <v>3353</v>
      </c>
      <c r="E2321" s="1115" t="s">
        <v>169</v>
      </c>
      <c r="F2321" s="1115" t="n">
        <v>90210</v>
      </c>
      <c r="G2321" s="1115" t="n">
        <v>62630</v>
      </c>
      <c r="H2321" s="1115" t="s">
        <v>2278</v>
      </c>
      <c r="I2321" s="1115" t="n">
        <v>61950</v>
      </c>
      <c r="J2321" s="1115" t="s">
        <v>1018</v>
      </c>
    </row>
    <row r="2322" customFormat="false" ht="14.1" hidden="false" customHeight="true" outlineLevel="0" collapsed="false">
      <c r="A2322" s="1115" t="n">
        <v>61940</v>
      </c>
      <c r="B2322" s="1115" t="s">
        <v>161</v>
      </c>
      <c r="C2322" s="1115" t="n">
        <v>61940</v>
      </c>
      <c r="D2322" s="1115" t="s">
        <v>1867</v>
      </c>
      <c r="E2322" s="1115" t="s">
        <v>169</v>
      </c>
      <c r="F2322" s="1115" t="n">
        <v>90220</v>
      </c>
      <c r="G2322" s="1115" t="n">
        <v>62630</v>
      </c>
      <c r="H2322" s="1115" t="s">
        <v>2278</v>
      </c>
      <c r="I2322" s="1115" t="n">
        <v>61960</v>
      </c>
      <c r="J2322" s="1115" t="s">
        <v>1018</v>
      </c>
    </row>
    <row r="2323" customFormat="false" ht="14.1" hidden="false" customHeight="true" outlineLevel="0" collapsed="false">
      <c r="A2323" s="1115" t="n">
        <v>61950</v>
      </c>
      <c r="B2323" s="1115" t="s">
        <v>161</v>
      </c>
      <c r="C2323" s="1115" t="n">
        <v>61950</v>
      </c>
      <c r="D2323" s="1115" t="s">
        <v>2050</v>
      </c>
      <c r="E2323" s="1115" t="s">
        <v>169</v>
      </c>
      <c r="F2323" s="1115" t="n">
        <v>90230</v>
      </c>
      <c r="G2323" s="1115" t="n">
        <v>62640</v>
      </c>
      <c r="H2323" s="1115" t="s">
        <v>3431</v>
      </c>
      <c r="I2323" s="1115" t="n">
        <v>61980</v>
      </c>
      <c r="J2323" s="1115" t="s">
        <v>1018</v>
      </c>
    </row>
    <row r="2324" customFormat="false" ht="14.1" hidden="false" customHeight="true" outlineLevel="0" collapsed="false">
      <c r="A2324" s="1115" t="n">
        <v>61960</v>
      </c>
      <c r="B2324" s="1115" t="s">
        <v>161</v>
      </c>
      <c r="C2324" s="1115" t="n">
        <v>61960</v>
      </c>
      <c r="D2324" s="1115" t="s">
        <v>2789</v>
      </c>
      <c r="E2324" s="1115" t="s">
        <v>169</v>
      </c>
      <c r="F2324" s="1115" t="n">
        <v>90250</v>
      </c>
      <c r="G2324" s="1115" t="n">
        <v>62660</v>
      </c>
      <c r="H2324" s="1115" t="s">
        <v>1974</v>
      </c>
      <c r="I2324" s="1115" t="n">
        <v>62100</v>
      </c>
      <c r="J2324" s="1115" t="s">
        <v>1154</v>
      </c>
    </row>
    <row r="2325" customFormat="false" ht="14.1" hidden="false" customHeight="true" outlineLevel="0" collapsed="false">
      <c r="A2325" s="1115" t="n">
        <v>61980</v>
      </c>
      <c r="B2325" s="1115" t="s">
        <v>161</v>
      </c>
      <c r="C2325" s="1115" t="n">
        <v>61980</v>
      </c>
      <c r="D2325" s="1115" t="s">
        <v>3402</v>
      </c>
      <c r="E2325" s="1115" t="s">
        <v>169</v>
      </c>
      <c r="F2325" s="1115" t="n">
        <v>90310</v>
      </c>
      <c r="G2325" s="1115" t="n">
        <v>62660</v>
      </c>
      <c r="H2325" s="1115" t="s">
        <v>1974</v>
      </c>
      <c r="I2325" s="1115" t="n">
        <v>62130</v>
      </c>
      <c r="J2325" s="1115" t="s">
        <v>1021</v>
      </c>
    </row>
    <row r="2326" customFormat="false" ht="14.1" hidden="false" customHeight="true" outlineLevel="0" collapsed="false">
      <c r="A2326" s="1115" t="n">
        <v>62100</v>
      </c>
      <c r="B2326" s="1115" t="s">
        <v>165</v>
      </c>
      <c r="C2326" s="1115" t="n">
        <v>62100</v>
      </c>
      <c r="D2326" s="1115" t="s">
        <v>1154</v>
      </c>
      <c r="E2326" s="1115" t="s">
        <v>169</v>
      </c>
      <c r="F2326" s="1115" t="n">
        <v>90420</v>
      </c>
      <c r="G2326" s="1115" t="n">
        <v>62710</v>
      </c>
      <c r="H2326" s="1115" t="s">
        <v>2728</v>
      </c>
      <c r="I2326" s="1115" t="n">
        <v>62130</v>
      </c>
      <c r="J2326" s="1115" t="s">
        <v>1021</v>
      </c>
    </row>
    <row r="2327" customFormat="false" ht="14.1" hidden="false" customHeight="true" outlineLevel="0" collapsed="false">
      <c r="A2327" s="1115" t="n">
        <v>62130</v>
      </c>
      <c r="B2327" s="1115" t="s">
        <v>165</v>
      </c>
      <c r="C2327" s="1115" t="n">
        <v>62130</v>
      </c>
      <c r="D2327" s="1115" t="s">
        <v>1552</v>
      </c>
      <c r="E2327" s="1115" t="s">
        <v>169</v>
      </c>
      <c r="F2327" s="1115" t="n">
        <v>90500</v>
      </c>
      <c r="G2327" s="1115" t="n">
        <v>62720</v>
      </c>
      <c r="H2327" s="1115" t="s">
        <v>3432</v>
      </c>
      <c r="I2327" s="1115" t="n">
        <v>62150</v>
      </c>
      <c r="J2327" s="1115" t="s">
        <v>1021</v>
      </c>
    </row>
    <row r="2328" customFormat="false" ht="14.1" hidden="false" customHeight="true" outlineLevel="0" collapsed="false">
      <c r="A2328" s="1115" t="n">
        <v>62130</v>
      </c>
      <c r="B2328" s="1115" t="s">
        <v>165</v>
      </c>
      <c r="C2328" s="1115" t="n">
        <v>62130</v>
      </c>
      <c r="D2328" s="1115" t="s">
        <v>1552</v>
      </c>
      <c r="E2328" s="1115" t="s">
        <v>169</v>
      </c>
      <c r="F2328" s="1115" t="n">
        <v>90520</v>
      </c>
      <c r="G2328" s="1115" t="n">
        <v>62730</v>
      </c>
      <c r="H2328" s="1115" t="s">
        <v>1483</v>
      </c>
      <c r="I2328" s="1115" t="n">
        <v>62160</v>
      </c>
      <c r="J2328" s="1115" t="s">
        <v>1021</v>
      </c>
    </row>
    <row r="2329" customFormat="false" ht="14.1" hidden="false" customHeight="true" outlineLevel="0" collapsed="false">
      <c r="A2329" s="1115" t="n">
        <v>62150</v>
      </c>
      <c r="B2329" s="1115" t="s">
        <v>165</v>
      </c>
      <c r="C2329" s="1115" t="n">
        <v>62150</v>
      </c>
      <c r="D2329" s="1115" t="s">
        <v>3407</v>
      </c>
      <c r="E2329" s="1115" t="s">
        <v>169</v>
      </c>
      <c r="F2329" s="1115" t="n">
        <v>90530</v>
      </c>
      <c r="G2329" s="1115" t="n">
        <v>62740</v>
      </c>
      <c r="H2329" s="1115" t="s">
        <v>2590</v>
      </c>
      <c r="I2329" s="1115" t="n">
        <v>62165</v>
      </c>
      <c r="J2329" s="1115" t="s">
        <v>1154</v>
      </c>
    </row>
    <row r="2330" customFormat="false" ht="14.1" hidden="false" customHeight="true" outlineLevel="0" collapsed="false">
      <c r="A2330" s="1115" t="n">
        <v>62160</v>
      </c>
      <c r="B2330" s="1115" t="s">
        <v>165</v>
      </c>
      <c r="C2330" s="1115" t="n">
        <v>62160</v>
      </c>
      <c r="D2330" s="1115" t="s">
        <v>2245</v>
      </c>
      <c r="E2330" s="1115" t="s">
        <v>169</v>
      </c>
      <c r="F2330" s="1115" t="n">
        <v>90550</v>
      </c>
      <c r="G2330" s="1115" t="n">
        <v>62750</v>
      </c>
      <c r="H2330" s="1115" t="s">
        <v>3433</v>
      </c>
      <c r="I2330" s="1115" t="n">
        <v>62170</v>
      </c>
      <c r="J2330" s="1115" t="s">
        <v>1122</v>
      </c>
    </row>
    <row r="2331" customFormat="false" ht="14.1" hidden="false" customHeight="true" outlineLevel="0" collapsed="false">
      <c r="A2331" s="1115" t="n">
        <v>62165</v>
      </c>
      <c r="B2331" s="1115" t="s">
        <v>165</v>
      </c>
      <c r="C2331" s="1115" t="n">
        <v>62165</v>
      </c>
      <c r="D2331" s="1115" t="s">
        <v>3408</v>
      </c>
      <c r="E2331" s="1115" t="s">
        <v>169</v>
      </c>
      <c r="F2331" s="1115" t="n">
        <v>90560</v>
      </c>
      <c r="G2331" s="1115" t="n">
        <v>62760</v>
      </c>
      <c r="H2331" s="1115" t="s">
        <v>3167</v>
      </c>
      <c r="I2331" s="1115" t="n">
        <v>62170</v>
      </c>
      <c r="J2331" s="1115" t="s">
        <v>1122</v>
      </c>
    </row>
    <row r="2332" customFormat="false" ht="14.1" hidden="false" customHeight="true" outlineLevel="0" collapsed="false">
      <c r="A2332" s="1115" t="n">
        <v>62170</v>
      </c>
      <c r="B2332" s="1115" t="s">
        <v>165</v>
      </c>
      <c r="C2332" s="1115" t="n">
        <v>62170</v>
      </c>
      <c r="D2332" s="1115" t="s">
        <v>2873</v>
      </c>
      <c r="E2332" s="1115" t="s">
        <v>169</v>
      </c>
      <c r="F2332" s="1115" t="n">
        <v>90570</v>
      </c>
      <c r="G2332" s="1115" t="n">
        <v>62800</v>
      </c>
      <c r="H2332" s="1115" t="s">
        <v>1625</v>
      </c>
      <c r="I2332" s="1115" t="n">
        <v>62175</v>
      </c>
      <c r="J2332" s="1115" t="s">
        <v>1122</v>
      </c>
    </row>
    <row r="2333" customFormat="false" ht="14.1" hidden="false" customHeight="true" outlineLevel="0" collapsed="false">
      <c r="A2333" s="1115" t="n">
        <v>62170</v>
      </c>
      <c r="B2333" s="1115" t="s">
        <v>165</v>
      </c>
      <c r="C2333" s="1115" t="n">
        <v>62170</v>
      </c>
      <c r="D2333" s="1115" t="s">
        <v>2873</v>
      </c>
      <c r="E2333" s="1115" t="s">
        <v>169</v>
      </c>
      <c r="F2333" s="1115" t="n">
        <v>90580</v>
      </c>
      <c r="G2333" s="1115" t="n">
        <v>62810</v>
      </c>
      <c r="H2333" s="1115" t="s">
        <v>3434</v>
      </c>
      <c r="I2333" s="1115" t="n">
        <v>62185</v>
      </c>
      <c r="J2333" s="1115" t="s">
        <v>1122</v>
      </c>
    </row>
    <row r="2334" customFormat="false" ht="14.1" hidden="false" customHeight="true" outlineLevel="0" collapsed="false">
      <c r="A2334" s="1115" t="n">
        <v>62175</v>
      </c>
      <c r="B2334" s="1115" t="s">
        <v>165</v>
      </c>
      <c r="C2334" s="1115" t="n">
        <v>62175</v>
      </c>
      <c r="D2334" s="1115" t="s">
        <v>3410</v>
      </c>
      <c r="E2334" s="1115" t="s">
        <v>169</v>
      </c>
      <c r="F2334" s="1115" t="n">
        <v>90600</v>
      </c>
      <c r="G2334" s="1115" t="n">
        <v>62830</v>
      </c>
      <c r="H2334" s="1115" t="s">
        <v>3058</v>
      </c>
      <c r="I2334" s="1115" t="n">
        <v>62190</v>
      </c>
      <c r="J2334" s="1115" t="s">
        <v>1122</v>
      </c>
    </row>
    <row r="2335" customFormat="false" ht="14.1" hidden="false" customHeight="true" outlineLevel="0" collapsed="false">
      <c r="A2335" s="1115" t="n">
        <v>62185</v>
      </c>
      <c r="B2335" s="1115" t="s">
        <v>165</v>
      </c>
      <c r="C2335" s="1115" t="n">
        <v>62185</v>
      </c>
      <c r="D2335" s="1115" t="s">
        <v>3254</v>
      </c>
      <c r="E2335" s="1115" t="s">
        <v>169</v>
      </c>
      <c r="F2335" s="1115" t="n">
        <v>90630</v>
      </c>
      <c r="G2335" s="1115" t="n">
        <v>62840</v>
      </c>
      <c r="H2335" s="1115" t="s">
        <v>2876</v>
      </c>
      <c r="I2335" s="1115" t="n">
        <v>62200</v>
      </c>
      <c r="J2335" s="1115" t="s">
        <v>1021</v>
      </c>
    </row>
    <row r="2336" customFormat="false" ht="14.1" hidden="false" customHeight="true" outlineLevel="0" collapsed="false">
      <c r="A2336" s="1115" t="n">
        <v>62190</v>
      </c>
      <c r="B2336" s="1115" t="s">
        <v>165</v>
      </c>
      <c r="C2336" s="1115" t="n">
        <v>62190</v>
      </c>
      <c r="D2336" s="1115" t="s">
        <v>3412</v>
      </c>
      <c r="E2336" s="1115" t="s">
        <v>169</v>
      </c>
      <c r="F2336" s="1115" t="n">
        <v>90650</v>
      </c>
      <c r="G2336" s="1115" t="n">
        <v>62860</v>
      </c>
      <c r="H2336" s="1115" t="s">
        <v>3435</v>
      </c>
      <c r="I2336" s="1115" t="n">
        <v>62220</v>
      </c>
      <c r="J2336" s="1115" t="s">
        <v>1021</v>
      </c>
    </row>
    <row r="2337" customFormat="false" ht="14.1" hidden="false" customHeight="true" outlineLevel="0" collapsed="false">
      <c r="A2337" s="1115" t="n">
        <v>62200</v>
      </c>
      <c r="B2337" s="1115" t="s">
        <v>165</v>
      </c>
      <c r="C2337" s="1115" t="n">
        <v>62200</v>
      </c>
      <c r="D2337" s="1115" t="s">
        <v>1021</v>
      </c>
      <c r="E2337" s="1115" t="s">
        <v>169</v>
      </c>
      <c r="F2337" s="1115" t="n">
        <v>90800</v>
      </c>
      <c r="G2337" s="1115" t="n">
        <v>62860</v>
      </c>
      <c r="H2337" s="1115" t="s">
        <v>3435</v>
      </c>
      <c r="I2337" s="1115" t="n">
        <v>62230</v>
      </c>
      <c r="J2337" s="1115" t="s">
        <v>1021</v>
      </c>
    </row>
    <row r="2338" customFormat="false" ht="14.1" hidden="false" customHeight="true" outlineLevel="0" collapsed="false">
      <c r="A2338" s="1115" t="n">
        <v>62220</v>
      </c>
      <c r="B2338" s="1115" t="s">
        <v>165</v>
      </c>
      <c r="C2338" s="1115" t="n">
        <v>62220</v>
      </c>
      <c r="D2338" s="1115" t="s">
        <v>3413</v>
      </c>
      <c r="E2338" s="1115" t="s">
        <v>1309</v>
      </c>
      <c r="F2338" s="1115" t="n">
        <v>90460</v>
      </c>
      <c r="G2338" s="1115" t="n">
        <v>62870</v>
      </c>
      <c r="H2338" s="1115" t="s">
        <v>3436</v>
      </c>
      <c r="I2338" s="1115" t="n">
        <v>62240</v>
      </c>
      <c r="J2338" s="1115" t="s">
        <v>1021</v>
      </c>
    </row>
    <row r="2339" customFormat="false" ht="14.1" hidden="false" customHeight="true" outlineLevel="0" collapsed="false">
      <c r="A2339" s="1115" t="n">
        <v>62230</v>
      </c>
      <c r="B2339" s="1115" t="s">
        <v>165</v>
      </c>
      <c r="C2339" s="1115" t="n">
        <v>62230</v>
      </c>
      <c r="D2339" s="1115" t="s">
        <v>2074</v>
      </c>
      <c r="E2339" s="1115" t="s">
        <v>3437</v>
      </c>
      <c r="F2339" s="1115" t="n">
        <v>99960</v>
      </c>
      <c r="G2339" s="1115" t="n">
        <v>62880</v>
      </c>
      <c r="H2339" s="1115" t="s">
        <v>3438</v>
      </c>
      <c r="I2339" s="1115" t="n">
        <v>62260</v>
      </c>
      <c r="J2339" s="1115" t="s">
        <v>1021</v>
      </c>
    </row>
    <row r="2340" customFormat="false" ht="14.1" hidden="false" customHeight="true" outlineLevel="0" collapsed="false">
      <c r="A2340" s="1115" t="n">
        <v>62240</v>
      </c>
      <c r="B2340" s="1115" t="s">
        <v>165</v>
      </c>
      <c r="C2340" s="1115" t="n">
        <v>62240</v>
      </c>
      <c r="D2340" s="1115" t="s">
        <v>1786</v>
      </c>
      <c r="E2340" s="1115" t="s">
        <v>1311</v>
      </c>
      <c r="F2340" s="1115" t="n">
        <v>83500</v>
      </c>
      <c r="G2340" s="1115" t="n">
        <v>62900</v>
      </c>
      <c r="H2340" s="1115" t="s">
        <v>704</v>
      </c>
      <c r="I2340" s="1115" t="n">
        <v>62280</v>
      </c>
      <c r="J2340" s="1115" t="s">
        <v>1021</v>
      </c>
    </row>
    <row r="2341" customFormat="false" ht="14.1" hidden="false" customHeight="true" outlineLevel="0" collapsed="false">
      <c r="A2341" s="1115" t="n">
        <v>62260</v>
      </c>
      <c r="B2341" s="1115" t="s">
        <v>165</v>
      </c>
      <c r="C2341" s="1115" t="n">
        <v>62260</v>
      </c>
      <c r="D2341" s="1115" t="s">
        <v>1725</v>
      </c>
      <c r="E2341" s="1115" t="s">
        <v>1311</v>
      </c>
      <c r="F2341" s="1115" t="n">
        <v>83520</v>
      </c>
      <c r="G2341" s="1115" t="n">
        <v>62920</v>
      </c>
      <c r="H2341" s="1115" t="s">
        <v>2982</v>
      </c>
      <c r="I2341" s="1115" t="n">
        <v>62290</v>
      </c>
      <c r="J2341" s="1115" t="s">
        <v>1021</v>
      </c>
    </row>
    <row r="2342" customFormat="false" ht="14.1" hidden="false" customHeight="true" outlineLevel="0" collapsed="false">
      <c r="A2342" s="1115" t="n">
        <v>62280</v>
      </c>
      <c r="B2342" s="1115" t="s">
        <v>165</v>
      </c>
      <c r="C2342" s="1115" t="n">
        <v>62280</v>
      </c>
      <c r="D2342" s="1115" t="s">
        <v>3229</v>
      </c>
      <c r="E2342" s="1115" t="s">
        <v>2865</v>
      </c>
      <c r="F2342" s="1115" t="n">
        <v>43450</v>
      </c>
      <c r="G2342" s="1115" t="n">
        <v>62930</v>
      </c>
      <c r="H2342" s="1115" t="s">
        <v>2575</v>
      </c>
      <c r="I2342" s="1115" t="n">
        <v>62295</v>
      </c>
      <c r="J2342" s="1115" t="s">
        <v>1021</v>
      </c>
    </row>
    <row r="2343" customFormat="false" ht="14.1" hidden="false" customHeight="true" outlineLevel="0" collapsed="false">
      <c r="A2343" s="1115" t="n">
        <v>62290</v>
      </c>
      <c r="B2343" s="1115" t="s">
        <v>165</v>
      </c>
      <c r="C2343" s="1115" t="n">
        <v>62290</v>
      </c>
      <c r="D2343" s="1115" t="s">
        <v>1730</v>
      </c>
      <c r="E2343" s="1115" t="s">
        <v>3439</v>
      </c>
      <c r="F2343" s="1115" t="n">
        <v>88530</v>
      </c>
      <c r="G2343" s="1115" t="n">
        <v>62940</v>
      </c>
      <c r="H2343" s="1115" t="s">
        <v>1746</v>
      </c>
      <c r="I2343" s="1115" t="n">
        <v>62300</v>
      </c>
      <c r="J2343" s="1115" t="s">
        <v>1021</v>
      </c>
    </row>
    <row r="2344" customFormat="false" ht="14.1" hidden="false" customHeight="true" outlineLevel="0" collapsed="false">
      <c r="A2344" s="1115" t="n">
        <v>62295</v>
      </c>
      <c r="B2344" s="1115" t="s">
        <v>165</v>
      </c>
      <c r="C2344" s="1115" t="n">
        <v>62295</v>
      </c>
      <c r="D2344" s="1115" t="s">
        <v>2313</v>
      </c>
      <c r="E2344" s="1115" t="s">
        <v>3440</v>
      </c>
      <c r="F2344" s="1115" t="n">
        <v>71240</v>
      </c>
      <c r="G2344" s="1115" t="n">
        <v>62950</v>
      </c>
      <c r="H2344" s="1115" t="s">
        <v>3441</v>
      </c>
      <c r="I2344" s="1115" t="n">
        <v>62310</v>
      </c>
      <c r="J2344" s="1115" t="s">
        <v>1021</v>
      </c>
    </row>
    <row r="2345" customFormat="false" ht="14.1" hidden="false" customHeight="true" outlineLevel="0" collapsed="false">
      <c r="A2345" s="1115" t="n">
        <v>62300</v>
      </c>
      <c r="B2345" s="1115" t="s">
        <v>165</v>
      </c>
      <c r="C2345" s="1115" t="n">
        <v>62300</v>
      </c>
      <c r="D2345" s="1115" t="s">
        <v>1900</v>
      </c>
      <c r="E2345" s="1115" t="s">
        <v>3442</v>
      </c>
      <c r="F2345" s="1115" t="n">
        <v>95325</v>
      </c>
      <c r="G2345" s="1115" t="n">
        <v>62990</v>
      </c>
      <c r="H2345" s="1115" t="s">
        <v>3272</v>
      </c>
      <c r="I2345" s="1115" t="n">
        <v>62340</v>
      </c>
      <c r="J2345" s="1115" t="s">
        <v>1021</v>
      </c>
    </row>
    <row r="2346" customFormat="false" ht="14.1" hidden="false" customHeight="true" outlineLevel="0" collapsed="false">
      <c r="A2346" s="1115" t="n">
        <v>62310</v>
      </c>
      <c r="B2346" s="1115" t="s">
        <v>165</v>
      </c>
      <c r="C2346" s="1115" t="n">
        <v>62310</v>
      </c>
      <c r="D2346" s="1115" t="s">
        <v>3416</v>
      </c>
      <c r="E2346" s="1115" t="s">
        <v>3443</v>
      </c>
      <c r="F2346" s="1115" t="n">
        <v>83910</v>
      </c>
      <c r="G2346" s="1115" t="n">
        <v>63100</v>
      </c>
      <c r="H2346" s="1115" t="s">
        <v>1122</v>
      </c>
      <c r="I2346" s="1115" t="n">
        <v>62350</v>
      </c>
      <c r="J2346" s="1115" t="s">
        <v>1021</v>
      </c>
    </row>
    <row r="2347" customFormat="false" ht="14.1" hidden="false" customHeight="true" outlineLevel="0" collapsed="false">
      <c r="A2347" s="1115" t="n">
        <v>62340</v>
      </c>
      <c r="B2347" s="1115" t="s">
        <v>165</v>
      </c>
      <c r="C2347" s="1115" t="n">
        <v>62340</v>
      </c>
      <c r="D2347" s="1115" t="s">
        <v>2721</v>
      </c>
      <c r="E2347" s="1115" t="s">
        <v>3441</v>
      </c>
      <c r="F2347" s="1115" t="n">
        <v>62950</v>
      </c>
      <c r="G2347" s="1115" t="n">
        <v>63120</v>
      </c>
      <c r="H2347" s="1115" t="s">
        <v>2972</v>
      </c>
      <c r="I2347" s="1115" t="n">
        <v>62370</v>
      </c>
      <c r="J2347" s="1115" t="s">
        <v>1021</v>
      </c>
    </row>
    <row r="2348" customFormat="false" ht="14.1" hidden="false" customHeight="true" outlineLevel="0" collapsed="false">
      <c r="A2348" s="1115" t="n">
        <v>62350</v>
      </c>
      <c r="B2348" s="1115" t="s">
        <v>165</v>
      </c>
      <c r="C2348" s="1115" t="n">
        <v>62350</v>
      </c>
      <c r="D2348" s="1115" t="s">
        <v>1064</v>
      </c>
      <c r="E2348" s="1115" t="s">
        <v>3063</v>
      </c>
      <c r="F2348" s="1115" t="n">
        <v>51350</v>
      </c>
      <c r="G2348" s="1115" t="n">
        <v>63120</v>
      </c>
      <c r="H2348" s="1115" t="s">
        <v>2972</v>
      </c>
      <c r="I2348" s="1115" t="n">
        <v>62375</v>
      </c>
      <c r="J2348" s="1115" t="s">
        <v>1634</v>
      </c>
    </row>
    <row r="2349" customFormat="false" ht="14.1" hidden="false" customHeight="true" outlineLevel="0" collapsed="false">
      <c r="A2349" s="1115" t="n">
        <v>62370</v>
      </c>
      <c r="B2349" s="1115" t="s">
        <v>165</v>
      </c>
      <c r="C2349" s="1115" t="n">
        <v>62370</v>
      </c>
      <c r="D2349" s="1115" t="s">
        <v>2222</v>
      </c>
      <c r="E2349" s="1115" t="s">
        <v>3444</v>
      </c>
      <c r="F2349" s="1115" t="n">
        <v>89250</v>
      </c>
      <c r="G2349" s="1115" t="n">
        <v>63130</v>
      </c>
      <c r="H2349" s="1115" t="s">
        <v>3267</v>
      </c>
      <c r="I2349" s="1115" t="n">
        <v>62375</v>
      </c>
      <c r="J2349" s="1115" t="s">
        <v>1634</v>
      </c>
    </row>
    <row r="2350" customFormat="false" ht="14.1" hidden="false" customHeight="true" outlineLevel="0" collapsed="false">
      <c r="A2350" s="1115" t="n">
        <v>62375</v>
      </c>
      <c r="B2350" s="1115" t="s">
        <v>165</v>
      </c>
      <c r="C2350" s="1115" t="n">
        <v>62375</v>
      </c>
      <c r="D2350" s="1115" t="s">
        <v>1634</v>
      </c>
      <c r="E2350" s="1115" t="s">
        <v>3445</v>
      </c>
      <c r="F2350" s="1115" t="n">
        <v>90760</v>
      </c>
      <c r="G2350" s="1115" t="n">
        <v>63150</v>
      </c>
      <c r="H2350" s="1115" t="s">
        <v>3446</v>
      </c>
      <c r="I2350" s="1115" t="n">
        <v>62380</v>
      </c>
      <c r="J2350" s="1115" t="s">
        <v>1634</v>
      </c>
    </row>
    <row r="2351" customFormat="false" ht="14.1" hidden="false" customHeight="true" outlineLevel="0" collapsed="false">
      <c r="A2351" s="1115" t="n">
        <v>62375</v>
      </c>
      <c r="B2351" s="1115" t="s">
        <v>165</v>
      </c>
      <c r="C2351" s="1115" t="n">
        <v>62375</v>
      </c>
      <c r="D2351" s="1115" t="s">
        <v>1634</v>
      </c>
      <c r="E2351" s="1115" t="s">
        <v>3447</v>
      </c>
      <c r="F2351" s="1115" t="n">
        <v>74580</v>
      </c>
      <c r="G2351" s="1115" t="n">
        <v>63150</v>
      </c>
      <c r="H2351" s="1115" t="s">
        <v>3446</v>
      </c>
      <c r="I2351" s="1115" t="n">
        <v>62395</v>
      </c>
      <c r="J2351" s="1115" t="s">
        <v>1634</v>
      </c>
    </row>
    <row r="2352" customFormat="false" ht="14.1" hidden="false" customHeight="true" outlineLevel="0" collapsed="false">
      <c r="A2352" s="1115" t="n">
        <v>62380</v>
      </c>
      <c r="B2352" s="1115" t="s">
        <v>165</v>
      </c>
      <c r="C2352" s="1115" t="n">
        <v>62380</v>
      </c>
      <c r="D2352" s="1115" t="s">
        <v>2602</v>
      </c>
      <c r="E2352" s="1115" t="s">
        <v>1855</v>
      </c>
      <c r="F2352" s="1115" t="n">
        <v>19260</v>
      </c>
      <c r="G2352" s="1115" t="n">
        <v>63160</v>
      </c>
      <c r="H2352" s="1115" t="s">
        <v>3448</v>
      </c>
      <c r="I2352" s="1115" t="n">
        <v>62395</v>
      </c>
      <c r="J2352" s="1115" t="s">
        <v>1632</v>
      </c>
    </row>
    <row r="2353" customFormat="false" ht="14.1" hidden="false" customHeight="true" outlineLevel="0" collapsed="false">
      <c r="A2353" s="1115" t="n">
        <v>62395</v>
      </c>
      <c r="B2353" s="1115" t="s">
        <v>165</v>
      </c>
      <c r="C2353" s="1115" t="n">
        <v>62395</v>
      </c>
      <c r="D2353" s="1115" t="s">
        <v>3418</v>
      </c>
      <c r="E2353" s="1115" t="s">
        <v>3107</v>
      </c>
      <c r="F2353" s="1115" t="n">
        <v>51930</v>
      </c>
      <c r="G2353" s="1115" t="n">
        <v>63160</v>
      </c>
      <c r="H2353" s="1115" t="s">
        <v>3448</v>
      </c>
      <c r="I2353" s="1115" t="n">
        <v>62410</v>
      </c>
      <c r="J2353" s="1115" t="s">
        <v>1634</v>
      </c>
    </row>
    <row r="2354" customFormat="false" ht="14.1" hidden="false" customHeight="true" outlineLevel="0" collapsed="false">
      <c r="A2354" s="1115" t="n">
        <v>62395</v>
      </c>
      <c r="B2354" s="1115" t="s">
        <v>165</v>
      </c>
      <c r="C2354" s="1115" t="n">
        <v>62395</v>
      </c>
      <c r="D2354" s="1115" t="s">
        <v>3418</v>
      </c>
      <c r="E2354" s="1115" t="s">
        <v>1947</v>
      </c>
      <c r="F2354" s="1115" t="n">
        <v>21330</v>
      </c>
      <c r="G2354" s="1115" t="n">
        <v>63160</v>
      </c>
      <c r="H2354" s="1115" t="s">
        <v>3448</v>
      </c>
      <c r="I2354" s="1115" t="n">
        <v>62420</v>
      </c>
      <c r="J2354" s="1115" t="s">
        <v>1104</v>
      </c>
    </row>
    <row r="2355" customFormat="false" ht="14.1" hidden="false" customHeight="true" outlineLevel="0" collapsed="false">
      <c r="A2355" s="1115" t="n">
        <v>62410</v>
      </c>
      <c r="B2355" s="1115" t="s">
        <v>165</v>
      </c>
      <c r="C2355" s="1115" t="n">
        <v>62410</v>
      </c>
      <c r="D2355" s="1115" t="s">
        <v>3420</v>
      </c>
      <c r="E2355" s="1115" t="s">
        <v>3449</v>
      </c>
      <c r="F2355" s="1115" t="n">
        <v>92430</v>
      </c>
      <c r="G2355" s="1115" t="n">
        <v>63210</v>
      </c>
      <c r="H2355" s="1115" t="s">
        <v>3323</v>
      </c>
      <c r="I2355" s="1115" t="n">
        <v>62430</v>
      </c>
      <c r="J2355" s="1115" t="s">
        <v>1104</v>
      </c>
    </row>
    <row r="2356" customFormat="false" ht="14.1" hidden="false" customHeight="true" outlineLevel="0" collapsed="false">
      <c r="A2356" s="1115" t="n">
        <v>62420</v>
      </c>
      <c r="B2356" s="1115" t="s">
        <v>165</v>
      </c>
      <c r="C2356" s="1115" t="n">
        <v>62420</v>
      </c>
      <c r="D2356" s="1115" t="s">
        <v>1104</v>
      </c>
      <c r="E2356" s="1115" t="s">
        <v>2578</v>
      </c>
      <c r="F2356" s="1115" t="n">
        <v>36950</v>
      </c>
      <c r="G2356" s="1115" t="n">
        <v>63230</v>
      </c>
      <c r="H2356" s="1115" t="s">
        <v>2957</v>
      </c>
      <c r="I2356" s="1115" t="n">
        <v>62435</v>
      </c>
      <c r="J2356" s="1115" t="s">
        <v>1104</v>
      </c>
    </row>
    <row r="2357" customFormat="false" ht="14.1" hidden="false" customHeight="true" outlineLevel="0" collapsed="false">
      <c r="A2357" s="1115" t="n">
        <v>62430</v>
      </c>
      <c r="B2357" s="1115" t="s">
        <v>165</v>
      </c>
      <c r="C2357" s="1115" t="n">
        <v>62430</v>
      </c>
      <c r="D2357" s="1115" t="s">
        <v>3421</v>
      </c>
      <c r="E2357" s="1115" t="s">
        <v>1313</v>
      </c>
      <c r="F2357" s="1115" t="n">
        <v>17500</v>
      </c>
      <c r="G2357" s="1115" t="n">
        <v>63250</v>
      </c>
      <c r="H2357" s="1115" t="s">
        <v>3450</v>
      </c>
      <c r="I2357" s="1115" t="n">
        <v>62440</v>
      </c>
      <c r="J2357" s="1115" t="s">
        <v>1104</v>
      </c>
    </row>
    <row r="2358" customFormat="false" ht="14.1" hidden="false" customHeight="true" outlineLevel="0" collapsed="false">
      <c r="A2358" s="1115" t="n">
        <v>62435</v>
      </c>
      <c r="B2358" s="1115" t="s">
        <v>165</v>
      </c>
      <c r="C2358" s="1115" t="n">
        <v>62435</v>
      </c>
      <c r="D2358" s="1115" t="s">
        <v>3423</v>
      </c>
      <c r="E2358" s="1115" t="s">
        <v>3451</v>
      </c>
      <c r="F2358" s="1115" t="n">
        <v>63330</v>
      </c>
      <c r="G2358" s="1115" t="n">
        <v>63300</v>
      </c>
      <c r="H2358" s="1115" t="s">
        <v>723</v>
      </c>
      <c r="I2358" s="1115" t="n">
        <v>62470</v>
      </c>
      <c r="J2358" s="1115" t="s">
        <v>1104</v>
      </c>
    </row>
    <row r="2359" customFormat="false" ht="14.1" hidden="false" customHeight="true" outlineLevel="0" collapsed="false">
      <c r="A2359" s="1115" t="n">
        <v>62440</v>
      </c>
      <c r="B2359" s="1115" t="s">
        <v>165</v>
      </c>
      <c r="C2359" s="1115" t="n">
        <v>62440</v>
      </c>
      <c r="D2359" s="1115" t="s">
        <v>3424</v>
      </c>
      <c r="E2359" s="1115" t="s">
        <v>3452</v>
      </c>
      <c r="F2359" s="1115" t="n">
        <v>91260</v>
      </c>
      <c r="G2359" s="1115" t="n">
        <v>63320</v>
      </c>
      <c r="H2359" s="1115" t="s">
        <v>2307</v>
      </c>
      <c r="I2359" s="1115" t="n">
        <v>62470</v>
      </c>
      <c r="J2359" s="1115" t="s">
        <v>1152</v>
      </c>
    </row>
    <row r="2360" customFormat="false" ht="14.1" hidden="false" customHeight="true" outlineLevel="0" collapsed="false">
      <c r="A2360" s="1115" t="n">
        <v>62470</v>
      </c>
      <c r="B2360" s="1115" t="s">
        <v>165</v>
      </c>
      <c r="C2360" s="1115" t="n">
        <v>62470</v>
      </c>
      <c r="D2360" s="1115" t="s">
        <v>3425</v>
      </c>
      <c r="E2360" s="1115" t="s">
        <v>3453</v>
      </c>
      <c r="F2360" s="1115" t="n">
        <v>98620</v>
      </c>
      <c r="G2360" s="1115" t="n">
        <v>63330</v>
      </c>
      <c r="H2360" s="1115" t="s">
        <v>3451</v>
      </c>
      <c r="I2360" s="1115" t="n">
        <v>62500</v>
      </c>
      <c r="J2360" s="1115" t="s">
        <v>786</v>
      </c>
    </row>
    <row r="2361" customFormat="false" ht="14.1" hidden="false" customHeight="true" outlineLevel="0" collapsed="false">
      <c r="A2361" s="1115" t="n">
        <v>62470</v>
      </c>
      <c r="B2361" s="1115" t="s">
        <v>165</v>
      </c>
      <c r="C2361" s="1115" t="n">
        <v>62470</v>
      </c>
      <c r="D2361" s="1115" t="s">
        <v>3425</v>
      </c>
      <c r="E2361" s="1115" t="s">
        <v>3454</v>
      </c>
      <c r="F2361" s="1115" t="n">
        <v>82910</v>
      </c>
      <c r="G2361" s="1115" t="n">
        <v>63340</v>
      </c>
      <c r="H2361" s="1115" t="s">
        <v>3455</v>
      </c>
      <c r="I2361" s="1115" t="n">
        <v>62500</v>
      </c>
      <c r="J2361" s="1115" t="s">
        <v>786</v>
      </c>
    </row>
    <row r="2362" customFormat="false" ht="14.1" hidden="false" customHeight="true" outlineLevel="0" collapsed="false">
      <c r="A2362" s="1115" t="n">
        <v>62500</v>
      </c>
      <c r="B2362" s="1115" t="s">
        <v>165</v>
      </c>
      <c r="C2362" s="1115" t="n">
        <v>62500</v>
      </c>
      <c r="D2362" s="1115" t="s">
        <v>786</v>
      </c>
      <c r="E2362" s="1115" t="s">
        <v>3456</v>
      </c>
      <c r="F2362" s="1115" t="n">
        <v>80850</v>
      </c>
      <c r="G2362" s="1115" t="n">
        <v>63350</v>
      </c>
      <c r="H2362" s="1115" t="s">
        <v>3457</v>
      </c>
      <c r="I2362" s="1115" t="n">
        <v>62510</v>
      </c>
      <c r="J2362" s="1115" t="s">
        <v>786</v>
      </c>
    </row>
    <row r="2363" customFormat="false" ht="14.1" hidden="false" customHeight="true" outlineLevel="0" collapsed="false">
      <c r="A2363" s="1115" t="n">
        <v>62500</v>
      </c>
      <c r="B2363" s="1115" t="s">
        <v>165</v>
      </c>
      <c r="C2363" s="1115" t="n">
        <v>62500</v>
      </c>
      <c r="D2363" s="1115" t="s">
        <v>786</v>
      </c>
      <c r="E2363" s="1115" t="s">
        <v>3025</v>
      </c>
      <c r="F2363" s="1115" t="n">
        <v>49640</v>
      </c>
      <c r="G2363" s="1115" t="n">
        <v>63355</v>
      </c>
      <c r="H2363" s="1115" t="s">
        <v>3458</v>
      </c>
      <c r="I2363" s="1115" t="n">
        <v>62520</v>
      </c>
      <c r="J2363" s="1115" t="s">
        <v>786</v>
      </c>
    </row>
    <row r="2364" customFormat="false" ht="14.1" hidden="false" customHeight="true" outlineLevel="0" collapsed="false">
      <c r="A2364" s="1115" t="n">
        <v>62510</v>
      </c>
      <c r="B2364" s="1115" t="s">
        <v>165</v>
      </c>
      <c r="C2364" s="1115" t="n">
        <v>62510</v>
      </c>
      <c r="D2364" s="1115" t="s">
        <v>2722</v>
      </c>
      <c r="E2364" s="1115" t="s">
        <v>1789</v>
      </c>
      <c r="F2364" s="1115" t="n">
        <v>17120</v>
      </c>
      <c r="G2364" s="1115" t="n">
        <v>63360</v>
      </c>
      <c r="H2364" s="1115" t="s">
        <v>2670</v>
      </c>
      <c r="I2364" s="1115" t="n">
        <v>62540</v>
      </c>
      <c r="J2364" s="1115" t="s">
        <v>786</v>
      </c>
    </row>
    <row r="2365" customFormat="false" ht="14.1" hidden="false" customHeight="true" outlineLevel="0" collapsed="false">
      <c r="A2365" s="1115" t="n">
        <v>62520</v>
      </c>
      <c r="B2365" s="1115" t="s">
        <v>165</v>
      </c>
      <c r="C2365" s="1115" t="n">
        <v>62520</v>
      </c>
      <c r="D2365" s="1115" t="s">
        <v>2335</v>
      </c>
      <c r="E2365" s="1115" t="s">
        <v>1314</v>
      </c>
      <c r="F2365" s="1115" t="n">
        <v>21530</v>
      </c>
      <c r="G2365" s="1115" t="n">
        <v>63370</v>
      </c>
      <c r="H2365" s="1115" t="s">
        <v>3459</v>
      </c>
      <c r="I2365" s="1115" t="n">
        <v>62570</v>
      </c>
      <c r="J2365" s="1115" t="s">
        <v>786</v>
      </c>
    </row>
    <row r="2366" customFormat="false" ht="14.1" hidden="false" customHeight="true" outlineLevel="0" collapsed="false">
      <c r="A2366" s="1115" t="n">
        <v>62540</v>
      </c>
      <c r="B2366" s="1115" t="s">
        <v>165</v>
      </c>
      <c r="C2366" s="1115" t="n">
        <v>62540</v>
      </c>
      <c r="D2366" s="1115" t="s">
        <v>3428</v>
      </c>
      <c r="E2366" s="1115" t="s">
        <v>1222</v>
      </c>
      <c r="F2366" s="1115" t="n">
        <v>4170</v>
      </c>
      <c r="G2366" s="1115" t="n">
        <v>63400</v>
      </c>
      <c r="H2366" s="1115" t="s">
        <v>723</v>
      </c>
      <c r="I2366" s="1115" t="n">
        <v>62600</v>
      </c>
      <c r="J2366" s="1115" t="s">
        <v>1152</v>
      </c>
    </row>
    <row r="2367" customFormat="false" ht="14.1" hidden="false" customHeight="true" outlineLevel="0" collapsed="false">
      <c r="A2367" s="1115" t="n">
        <v>62570</v>
      </c>
      <c r="B2367" s="1115" t="s">
        <v>165</v>
      </c>
      <c r="C2367" s="1115" t="n">
        <v>62570</v>
      </c>
      <c r="D2367" s="1115" t="s">
        <v>3429</v>
      </c>
      <c r="E2367" s="1115" t="s">
        <v>3316</v>
      </c>
      <c r="F2367" s="1115" t="n">
        <v>58710</v>
      </c>
      <c r="G2367" s="1115" t="n">
        <v>63410</v>
      </c>
      <c r="H2367" s="1115" t="s">
        <v>3460</v>
      </c>
      <c r="I2367" s="1115" t="n">
        <v>62610</v>
      </c>
      <c r="J2367" s="1115" t="s">
        <v>1152</v>
      </c>
    </row>
    <row r="2368" customFormat="false" ht="14.1" hidden="false" customHeight="true" outlineLevel="0" collapsed="false">
      <c r="A2368" s="1115" t="n">
        <v>62600</v>
      </c>
      <c r="B2368" s="1115" t="s">
        <v>165</v>
      </c>
      <c r="C2368" s="1115" t="n">
        <v>62600</v>
      </c>
      <c r="D2368" s="1115" t="s">
        <v>1152</v>
      </c>
      <c r="E2368" s="1115" t="s">
        <v>3461</v>
      </c>
      <c r="F2368" s="1115" t="n">
        <v>71920</v>
      </c>
      <c r="G2368" s="1115" t="n">
        <v>63430</v>
      </c>
      <c r="H2368" s="1115" t="s">
        <v>2820</v>
      </c>
      <c r="I2368" s="1115" t="n">
        <v>62620</v>
      </c>
      <c r="J2368" s="1115" t="s">
        <v>1152</v>
      </c>
    </row>
    <row r="2369" customFormat="false" ht="14.1" hidden="false" customHeight="true" outlineLevel="0" collapsed="false">
      <c r="A2369" s="1115" t="n">
        <v>62610</v>
      </c>
      <c r="B2369" s="1115" t="s">
        <v>165</v>
      </c>
      <c r="C2369" s="1115" t="n">
        <v>62610</v>
      </c>
      <c r="D2369" s="1115" t="s">
        <v>3430</v>
      </c>
      <c r="E2369" s="1115" t="s">
        <v>3462</v>
      </c>
      <c r="F2369" s="1115" t="n">
        <v>75740</v>
      </c>
      <c r="G2369" s="1115" t="n">
        <v>63450</v>
      </c>
      <c r="H2369" s="1115" t="s">
        <v>3097</v>
      </c>
      <c r="I2369" s="1115" t="n">
        <v>62630</v>
      </c>
      <c r="J2369" s="1115" t="s">
        <v>786</v>
      </c>
    </row>
    <row r="2370" customFormat="false" ht="14.1" hidden="false" customHeight="true" outlineLevel="0" collapsed="false">
      <c r="A2370" s="1115" t="n">
        <v>62620</v>
      </c>
      <c r="B2370" s="1115" t="s">
        <v>165</v>
      </c>
      <c r="C2370" s="1115" t="n">
        <v>62620</v>
      </c>
      <c r="D2370" s="1115" t="s">
        <v>846</v>
      </c>
      <c r="E2370" s="1115" t="s">
        <v>3463</v>
      </c>
      <c r="F2370" s="1115" t="n">
        <v>73360</v>
      </c>
      <c r="G2370" s="1115" t="n">
        <v>63500</v>
      </c>
      <c r="H2370" s="1115" t="s">
        <v>1158</v>
      </c>
      <c r="I2370" s="1115" t="n">
        <v>62630</v>
      </c>
      <c r="J2370" s="1115" t="s">
        <v>786</v>
      </c>
    </row>
    <row r="2371" customFormat="false" ht="14.1" hidden="false" customHeight="true" outlineLevel="0" collapsed="false">
      <c r="A2371" s="1115" t="n">
        <v>62630</v>
      </c>
      <c r="B2371" s="1115" t="s">
        <v>165</v>
      </c>
      <c r="C2371" s="1115" t="n">
        <v>62630</v>
      </c>
      <c r="D2371" s="1115" t="s">
        <v>2278</v>
      </c>
      <c r="E2371" s="1115" t="s">
        <v>3075</v>
      </c>
      <c r="F2371" s="1115" t="n">
        <v>51450</v>
      </c>
      <c r="G2371" s="1115" t="n">
        <v>63500</v>
      </c>
      <c r="H2371" s="1115" t="s">
        <v>1158</v>
      </c>
      <c r="I2371" s="1115" t="n">
        <v>62640</v>
      </c>
      <c r="J2371" s="1115" t="s">
        <v>786</v>
      </c>
    </row>
    <row r="2372" customFormat="false" ht="14.1" hidden="false" customHeight="true" outlineLevel="0" collapsed="false">
      <c r="A2372" s="1115" t="n">
        <v>62630</v>
      </c>
      <c r="B2372" s="1115" t="s">
        <v>165</v>
      </c>
      <c r="C2372" s="1115" t="n">
        <v>62630</v>
      </c>
      <c r="D2372" s="1115" t="s">
        <v>2278</v>
      </c>
      <c r="E2372" s="1115" t="s">
        <v>2640</v>
      </c>
      <c r="F2372" s="1115" t="n">
        <v>38520</v>
      </c>
      <c r="G2372" s="1115" t="n">
        <v>63510</v>
      </c>
      <c r="H2372" s="1115" t="s">
        <v>1158</v>
      </c>
      <c r="I2372" s="1115" t="n">
        <v>62660</v>
      </c>
      <c r="J2372" s="1115" t="s">
        <v>1625</v>
      </c>
    </row>
    <row r="2373" customFormat="false" ht="14.1" hidden="false" customHeight="true" outlineLevel="0" collapsed="false">
      <c r="A2373" s="1115" t="n">
        <v>62640</v>
      </c>
      <c r="B2373" s="1115" t="s">
        <v>165</v>
      </c>
      <c r="C2373" s="1115" t="n">
        <v>62640</v>
      </c>
      <c r="D2373" s="1115" t="s">
        <v>3431</v>
      </c>
      <c r="E2373" s="1115" t="s">
        <v>2853</v>
      </c>
      <c r="F2373" s="1115" t="n">
        <v>43120</v>
      </c>
      <c r="G2373" s="1115" t="n">
        <v>63530</v>
      </c>
      <c r="H2373" s="1115" t="s">
        <v>3091</v>
      </c>
      <c r="I2373" s="1115" t="n">
        <v>62660</v>
      </c>
      <c r="J2373" s="1115" t="s">
        <v>1625</v>
      </c>
    </row>
    <row r="2374" customFormat="false" ht="14.1" hidden="false" customHeight="true" outlineLevel="0" collapsed="false">
      <c r="A2374" s="1115" t="n">
        <v>62660</v>
      </c>
      <c r="B2374" s="1115" t="s">
        <v>165</v>
      </c>
      <c r="C2374" s="1115" t="n">
        <v>62660</v>
      </c>
      <c r="D2374" s="1115" t="s">
        <v>1974</v>
      </c>
      <c r="E2374" s="1115" t="s">
        <v>1740</v>
      </c>
      <c r="F2374" s="1115" t="n">
        <v>16380</v>
      </c>
      <c r="G2374" s="1115" t="n">
        <v>63540</v>
      </c>
      <c r="H2374" s="1115" t="s">
        <v>1675</v>
      </c>
      <c r="I2374" s="1115" t="n">
        <v>62710</v>
      </c>
      <c r="J2374" s="1115" t="s">
        <v>704</v>
      </c>
    </row>
    <row r="2375" customFormat="false" ht="14.1" hidden="false" customHeight="true" outlineLevel="0" collapsed="false">
      <c r="A2375" s="1115" t="n">
        <v>62660</v>
      </c>
      <c r="B2375" s="1115" t="s">
        <v>165</v>
      </c>
      <c r="C2375" s="1115" t="n">
        <v>62660</v>
      </c>
      <c r="D2375" s="1115" t="s">
        <v>1974</v>
      </c>
      <c r="E2375" s="1115" t="s">
        <v>1740</v>
      </c>
      <c r="F2375" s="1115" t="n">
        <v>16390</v>
      </c>
      <c r="G2375" s="1115" t="n">
        <v>63600</v>
      </c>
      <c r="H2375" s="1115" t="s">
        <v>1576</v>
      </c>
      <c r="I2375" s="1115" t="n">
        <v>62720</v>
      </c>
      <c r="J2375" s="1115" t="s">
        <v>704</v>
      </c>
    </row>
    <row r="2376" customFormat="false" ht="14.1" hidden="false" customHeight="true" outlineLevel="0" collapsed="false">
      <c r="A2376" s="1115" t="n">
        <v>62710</v>
      </c>
      <c r="B2376" s="1115" t="s">
        <v>165</v>
      </c>
      <c r="C2376" s="1115" t="n">
        <v>62710</v>
      </c>
      <c r="D2376" s="1115" t="s">
        <v>2728</v>
      </c>
      <c r="E2376" s="1115" t="s">
        <v>3464</v>
      </c>
      <c r="F2376" s="1115" t="n">
        <v>64430</v>
      </c>
      <c r="G2376" s="1115" t="n">
        <v>63610</v>
      </c>
      <c r="H2376" s="1115" t="s">
        <v>3465</v>
      </c>
      <c r="I2376" s="1115" t="n">
        <v>62730</v>
      </c>
      <c r="J2376" s="1115" t="s">
        <v>704</v>
      </c>
    </row>
    <row r="2377" customFormat="false" ht="14.1" hidden="false" customHeight="true" outlineLevel="0" collapsed="false">
      <c r="A2377" s="1115" t="n">
        <v>62720</v>
      </c>
      <c r="B2377" s="1115" t="s">
        <v>165</v>
      </c>
      <c r="C2377" s="1115" t="n">
        <v>62720</v>
      </c>
      <c r="D2377" s="1115" t="s">
        <v>3432</v>
      </c>
      <c r="E2377" s="1115" t="s">
        <v>3466</v>
      </c>
      <c r="F2377" s="1115" t="n">
        <v>77960</v>
      </c>
      <c r="G2377" s="1115" t="n">
        <v>63610</v>
      </c>
      <c r="H2377" s="1115" t="s">
        <v>3465</v>
      </c>
      <c r="I2377" s="1115" t="n">
        <v>62740</v>
      </c>
      <c r="J2377" s="1115" t="s">
        <v>704</v>
      </c>
    </row>
    <row r="2378" customFormat="false" ht="14.1" hidden="false" customHeight="true" outlineLevel="0" collapsed="false">
      <c r="A2378" s="1115" t="n">
        <v>62730</v>
      </c>
      <c r="B2378" s="1115" t="s">
        <v>165</v>
      </c>
      <c r="C2378" s="1115" t="n">
        <v>62730</v>
      </c>
      <c r="D2378" s="1115" t="s">
        <v>1483</v>
      </c>
      <c r="E2378" s="1115" t="s">
        <v>3105</v>
      </c>
      <c r="F2378" s="1115" t="n">
        <v>51920</v>
      </c>
      <c r="G2378" s="1115" t="n">
        <v>63640</v>
      </c>
      <c r="H2378" s="1115" t="s">
        <v>3467</v>
      </c>
      <c r="I2378" s="1115" t="n">
        <v>62750</v>
      </c>
      <c r="J2378" s="1115" t="s">
        <v>704</v>
      </c>
    </row>
    <row r="2379" customFormat="false" ht="14.1" hidden="false" customHeight="true" outlineLevel="0" collapsed="false">
      <c r="A2379" s="1115" t="n">
        <v>62740</v>
      </c>
      <c r="B2379" s="1115" t="s">
        <v>165</v>
      </c>
      <c r="C2379" s="1115" t="n">
        <v>62740</v>
      </c>
      <c r="D2379" s="1115" t="s">
        <v>2590</v>
      </c>
      <c r="E2379" s="1115" t="s">
        <v>2561</v>
      </c>
      <c r="F2379" s="1115" t="n">
        <v>36430</v>
      </c>
      <c r="G2379" s="1115" t="n">
        <v>63660</v>
      </c>
      <c r="H2379" s="1115" t="s">
        <v>3468</v>
      </c>
      <c r="I2379" s="1115" t="n">
        <v>62760</v>
      </c>
      <c r="J2379" s="1115" t="s">
        <v>704</v>
      </c>
    </row>
    <row r="2380" customFormat="false" ht="14.1" hidden="false" customHeight="true" outlineLevel="0" collapsed="false">
      <c r="A2380" s="1115" t="n">
        <v>62750</v>
      </c>
      <c r="B2380" s="1115" t="s">
        <v>165</v>
      </c>
      <c r="C2380" s="1115" t="n">
        <v>62750</v>
      </c>
      <c r="D2380" s="1115" t="s">
        <v>3433</v>
      </c>
      <c r="E2380" s="1115" t="s">
        <v>2385</v>
      </c>
      <c r="F2380" s="1115" t="n">
        <v>32110</v>
      </c>
      <c r="G2380" s="1115" t="n">
        <v>63680</v>
      </c>
      <c r="H2380" s="1115" t="s">
        <v>1323</v>
      </c>
      <c r="I2380" s="1115" t="n">
        <v>62800</v>
      </c>
      <c r="J2380" s="1115" t="s">
        <v>1625</v>
      </c>
    </row>
    <row r="2381" customFormat="false" ht="14.1" hidden="false" customHeight="true" outlineLevel="0" collapsed="false">
      <c r="A2381" s="1115" t="n">
        <v>62760</v>
      </c>
      <c r="B2381" s="1115" t="s">
        <v>165</v>
      </c>
      <c r="C2381" s="1115" t="n">
        <v>62760</v>
      </c>
      <c r="D2381" s="1115" t="s">
        <v>3167</v>
      </c>
      <c r="E2381" s="1115" t="s">
        <v>3469</v>
      </c>
      <c r="F2381" s="1115" t="n">
        <v>75570</v>
      </c>
      <c r="G2381" s="1115" t="n">
        <v>63700</v>
      </c>
      <c r="H2381" s="1115" t="s">
        <v>1649</v>
      </c>
      <c r="I2381" s="1115" t="n">
        <v>62810</v>
      </c>
      <c r="J2381" s="1115" t="s">
        <v>1625</v>
      </c>
    </row>
    <row r="2382" customFormat="false" ht="14.1" hidden="false" customHeight="true" outlineLevel="0" collapsed="false">
      <c r="A2382" s="1115" t="n">
        <v>62800</v>
      </c>
      <c r="B2382" s="1115" t="s">
        <v>165</v>
      </c>
      <c r="C2382" s="1115" t="n">
        <v>62800</v>
      </c>
      <c r="D2382" s="1115" t="s">
        <v>1625</v>
      </c>
      <c r="E2382" s="1115" t="s">
        <v>3470</v>
      </c>
      <c r="F2382" s="1115" t="n">
        <v>99330</v>
      </c>
      <c r="G2382" s="1115" t="n">
        <v>63700</v>
      </c>
      <c r="H2382" s="1115" t="s">
        <v>1649</v>
      </c>
      <c r="I2382" s="1115" t="n">
        <v>62830</v>
      </c>
      <c r="J2382" s="1115" t="s">
        <v>1625</v>
      </c>
    </row>
    <row r="2383" customFormat="false" ht="14.1" hidden="false" customHeight="true" outlineLevel="0" collapsed="false">
      <c r="A2383" s="1115" t="n">
        <v>62810</v>
      </c>
      <c r="B2383" s="1115" t="s">
        <v>165</v>
      </c>
      <c r="C2383" s="1115" t="n">
        <v>62810</v>
      </c>
      <c r="D2383" s="1115" t="s">
        <v>3434</v>
      </c>
      <c r="E2383" s="1115" t="s">
        <v>3471</v>
      </c>
      <c r="F2383" s="1115" t="n">
        <v>82150</v>
      </c>
      <c r="G2383" s="1115" t="n">
        <v>63700</v>
      </c>
      <c r="H2383" s="1115" t="s">
        <v>1649</v>
      </c>
      <c r="I2383" s="1115" t="n">
        <v>62840</v>
      </c>
      <c r="J2383" s="1115" t="s">
        <v>1625</v>
      </c>
    </row>
    <row r="2384" customFormat="false" ht="14.1" hidden="false" customHeight="true" outlineLevel="0" collapsed="false">
      <c r="A2384" s="1115" t="n">
        <v>62830</v>
      </c>
      <c r="B2384" s="1115" t="s">
        <v>165</v>
      </c>
      <c r="C2384" s="1115" t="n">
        <v>62830</v>
      </c>
      <c r="D2384" s="1115" t="s">
        <v>3058</v>
      </c>
      <c r="E2384" s="1115" t="s">
        <v>3472</v>
      </c>
      <c r="F2384" s="1115" t="n">
        <v>74470</v>
      </c>
      <c r="G2384" s="1115" t="n">
        <v>63706</v>
      </c>
      <c r="H2384" s="1115" t="s">
        <v>3473</v>
      </c>
      <c r="I2384" s="1115" t="n">
        <v>62860</v>
      </c>
      <c r="J2384" s="1115" t="s">
        <v>1625</v>
      </c>
    </row>
    <row r="2385" customFormat="false" ht="14.1" hidden="false" customHeight="true" outlineLevel="0" collapsed="false">
      <c r="A2385" s="1115" t="n">
        <v>62840</v>
      </c>
      <c r="B2385" s="1115" t="s">
        <v>165</v>
      </c>
      <c r="C2385" s="1115" t="n">
        <v>62840</v>
      </c>
      <c r="D2385" s="1115" t="s">
        <v>2876</v>
      </c>
      <c r="E2385" s="1115" t="s">
        <v>3474</v>
      </c>
      <c r="F2385" s="1115" t="n">
        <v>99450</v>
      </c>
      <c r="G2385" s="1115" t="n">
        <v>63770</v>
      </c>
      <c r="H2385" s="1115" t="s">
        <v>3475</v>
      </c>
      <c r="I2385" s="1115" t="n">
        <v>62860</v>
      </c>
      <c r="J2385" s="1115" t="s">
        <v>1625</v>
      </c>
    </row>
    <row r="2386" customFormat="false" ht="14.1" hidden="false" customHeight="true" outlineLevel="0" collapsed="false">
      <c r="A2386" s="1115" t="n">
        <v>62860</v>
      </c>
      <c r="B2386" s="1115" t="s">
        <v>165</v>
      </c>
      <c r="C2386" s="1115" t="n">
        <v>62860</v>
      </c>
      <c r="D2386" s="1115" t="s">
        <v>3435</v>
      </c>
      <c r="E2386" s="1115" t="s">
        <v>1082</v>
      </c>
      <c r="F2386" s="1115" t="n">
        <v>1940</v>
      </c>
      <c r="G2386" s="1115" t="n">
        <v>63780</v>
      </c>
      <c r="H2386" s="1115" t="s">
        <v>873</v>
      </c>
      <c r="I2386" s="1115" t="n">
        <v>62870</v>
      </c>
      <c r="J2386" s="1115" t="s">
        <v>1625</v>
      </c>
    </row>
    <row r="2387" customFormat="false" ht="14.1" hidden="false" customHeight="true" outlineLevel="0" collapsed="false">
      <c r="A2387" s="1115" t="n">
        <v>62860</v>
      </c>
      <c r="B2387" s="1115" t="s">
        <v>165</v>
      </c>
      <c r="C2387" s="1115" t="n">
        <v>62860</v>
      </c>
      <c r="D2387" s="1115" t="s">
        <v>3435</v>
      </c>
      <c r="E2387" s="1115" t="s">
        <v>3109</v>
      </c>
      <c r="F2387" s="1115" t="n">
        <v>51960</v>
      </c>
      <c r="G2387" s="1115" t="n">
        <v>63800</v>
      </c>
      <c r="H2387" s="1115" t="s">
        <v>1505</v>
      </c>
      <c r="I2387" s="1115" t="n">
        <v>62880</v>
      </c>
      <c r="J2387" s="1115" t="s">
        <v>1625</v>
      </c>
    </row>
    <row r="2388" customFormat="false" ht="14.1" hidden="false" customHeight="true" outlineLevel="0" collapsed="false">
      <c r="A2388" s="1115" t="n">
        <v>62870</v>
      </c>
      <c r="B2388" s="1115" t="s">
        <v>165</v>
      </c>
      <c r="C2388" s="1115" t="n">
        <v>62870</v>
      </c>
      <c r="D2388" s="1115" t="s">
        <v>3436</v>
      </c>
      <c r="E2388" s="1115" t="s">
        <v>3476</v>
      </c>
      <c r="F2388" s="1115" t="n">
        <v>95390</v>
      </c>
      <c r="G2388" s="1115" t="n">
        <v>63830</v>
      </c>
      <c r="H2388" s="1115" t="s">
        <v>2345</v>
      </c>
      <c r="I2388" s="1115" t="n">
        <v>62900</v>
      </c>
      <c r="J2388" s="1115" t="s">
        <v>704</v>
      </c>
    </row>
    <row r="2389" customFormat="false" ht="14.1" hidden="false" customHeight="true" outlineLevel="0" collapsed="false">
      <c r="A2389" s="1115" t="n">
        <v>62880</v>
      </c>
      <c r="B2389" s="1115" t="s">
        <v>165</v>
      </c>
      <c r="C2389" s="1115" t="n">
        <v>62880</v>
      </c>
      <c r="D2389" s="1115" t="s">
        <v>3438</v>
      </c>
      <c r="E2389" s="1115" t="s">
        <v>2725</v>
      </c>
      <c r="F2389" s="1115" t="n">
        <v>40270</v>
      </c>
      <c r="G2389" s="1115" t="n">
        <v>63880</v>
      </c>
      <c r="H2389" s="1115" t="s">
        <v>2679</v>
      </c>
      <c r="I2389" s="1115" t="n">
        <v>62920</v>
      </c>
      <c r="J2389" s="1115" t="s">
        <v>704</v>
      </c>
    </row>
    <row r="2390" customFormat="false" ht="14.1" hidden="false" customHeight="true" outlineLevel="0" collapsed="false">
      <c r="A2390" s="1115" t="n">
        <v>62900</v>
      </c>
      <c r="B2390" s="1115" t="s">
        <v>165</v>
      </c>
      <c r="C2390" s="1115" t="n">
        <v>62900</v>
      </c>
      <c r="D2390" s="1115" t="s">
        <v>704</v>
      </c>
      <c r="E2390" s="1115" t="s">
        <v>3477</v>
      </c>
      <c r="F2390" s="1115" t="n">
        <v>79830</v>
      </c>
      <c r="G2390" s="1115" t="n">
        <v>63880</v>
      </c>
      <c r="H2390" s="1115" t="s">
        <v>2679</v>
      </c>
      <c r="I2390" s="1115" t="n">
        <v>62930</v>
      </c>
      <c r="J2390" s="1115" t="s">
        <v>704</v>
      </c>
    </row>
    <row r="2391" customFormat="false" ht="14.1" hidden="false" customHeight="true" outlineLevel="0" collapsed="false">
      <c r="A2391" s="1115" t="n">
        <v>62920</v>
      </c>
      <c r="B2391" s="1115" t="s">
        <v>165</v>
      </c>
      <c r="C2391" s="1115" t="n">
        <v>62920</v>
      </c>
      <c r="D2391" s="1115" t="s">
        <v>2982</v>
      </c>
      <c r="E2391" s="1115" t="s">
        <v>3478</v>
      </c>
      <c r="F2391" s="1115" t="n">
        <v>73810</v>
      </c>
      <c r="G2391" s="1115" t="n">
        <v>63890</v>
      </c>
      <c r="H2391" s="1115" t="s">
        <v>1494</v>
      </c>
      <c r="I2391" s="1115" t="n">
        <v>62940</v>
      </c>
      <c r="J2391" s="1115" t="s">
        <v>704</v>
      </c>
    </row>
    <row r="2392" customFormat="false" ht="14.1" hidden="false" customHeight="true" outlineLevel="0" collapsed="false">
      <c r="A2392" s="1115" t="n">
        <v>62930</v>
      </c>
      <c r="B2392" s="1115" t="s">
        <v>165</v>
      </c>
      <c r="C2392" s="1115" t="n">
        <v>62930</v>
      </c>
      <c r="D2392" s="1115" t="s">
        <v>2575</v>
      </c>
      <c r="E2392" s="1115" t="s">
        <v>3479</v>
      </c>
      <c r="F2392" s="1115" t="n">
        <v>98790</v>
      </c>
      <c r="G2392" s="1115" t="n">
        <v>63900</v>
      </c>
      <c r="H2392" s="1115" t="s">
        <v>3248</v>
      </c>
      <c r="I2392" s="1115" t="n">
        <v>62950</v>
      </c>
      <c r="J2392" s="1115" t="s">
        <v>704</v>
      </c>
    </row>
    <row r="2393" customFormat="false" ht="14.1" hidden="false" customHeight="true" outlineLevel="0" collapsed="false">
      <c r="A2393" s="1115" t="n">
        <v>62940</v>
      </c>
      <c r="B2393" s="1115" t="s">
        <v>165</v>
      </c>
      <c r="C2393" s="1115" t="n">
        <v>62940</v>
      </c>
      <c r="D2393" s="1115" t="s">
        <v>1746</v>
      </c>
      <c r="E2393" s="1115" t="s">
        <v>3480</v>
      </c>
      <c r="F2393" s="1115" t="n">
        <v>97460</v>
      </c>
      <c r="G2393" s="1115" t="n">
        <v>63910</v>
      </c>
      <c r="H2393" s="1115" t="s">
        <v>1942</v>
      </c>
      <c r="I2393" s="1115" t="n">
        <v>62990</v>
      </c>
      <c r="J2393" s="1115" t="s">
        <v>704</v>
      </c>
    </row>
    <row r="2394" customFormat="false" ht="14.1" hidden="false" customHeight="true" outlineLevel="0" collapsed="false">
      <c r="A2394" s="1115" t="n">
        <v>62950</v>
      </c>
      <c r="B2394" s="1115" t="s">
        <v>165</v>
      </c>
      <c r="C2394" s="1115" t="n">
        <v>62950</v>
      </c>
      <c r="D2394" s="1115" t="s">
        <v>3441</v>
      </c>
      <c r="E2394" s="1115" t="s">
        <v>1316</v>
      </c>
      <c r="F2394" s="1115" t="n">
        <v>88300</v>
      </c>
      <c r="G2394" s="1115" t="n">
        <v>63920</v>
      </c>
      <c r="H2394" s="1115" t="s">
        <v>1941</v>
      </c>
      <c r="I2394" s="1115" t="n">
        <v>63100</v>
      </c>
      <c r="J2394" s="1115" t="s">
        <v>1122</v>
      </c>
    </row>
    <row r="2395" customFormat="false" ht="14.1" hidden="false" customHeight="true" outlineLevel="0" collapsed="false">
      <c r="A2395" s="1115" t="n">
        <v>62990</v>
      </c>
      <c r="B2395" s="1115" t="s">
        <v>165</v>
      </c>
      <c r="C2395" s="1115" t="n">
        <v>62990</v>
      </c>
      <c r="D2395" s="1115" t="s">
        <v>3272</v>
      </c>
      <c r="E2395" s="1115" t="s">
        <v>3481</v>
      </c>
      <c r="F2395" s="1115" t="n">
        <v>77110</v>
      </c>
      <c r="G2395" s="1115" t="n">
        <v>63950</v>
      </c>
      <c r="H2395" s="1115" t="s">
        <v>3482</v>
      </c>
      <c r="I2395" s="1115" t="n">
        <v>63120</v>
      </c>
      <c r="J2395" s="1115" t="s">
        <v>1122</v>
      </c>
    </row>
    <row r="2396" customFormat="false" ht="14.1" hidden="false" customHeight="true" outlineLevel="0" collapsed="false">
      <c r="A2396" s="1115" t="n">
        <v>63100</v>
      </c>
      <c r="B2396" s="1115" t="s">
        <v>165</v>
      </c>
      <c r="C2396" s="1115" t="n">
        <v>63100</v>
      </c>
      <c r="D2396" s="1115" t="s">
        <v>1122</v>
      </c>
      <c r="E2396" s="1115" t="s">
        <v>3483</v>
      </c>
      <c r="F2396" s="1115" t="n">
        <v>87850</v>
      </c>
      <c r="G2396" s="1115" t="n">
        <v>64100</v>
      </c>
      <c r="H2396" s="1115" t="s">
        <v>1112</v>
      </c>
      <c r="I2396" s="1115" t="n">
        <v>63120</v>
      </c>
      <c r="J2396" s="1115" t="s">
        <v>1122</v>
      </c>
    </row>
    <row r="2397" customFormat="false" ht="14.1" hidden="false" customHeight="true" outlineLevel="0" collapsed="false">
      <c r="A2397" s="1115" t="n">
        <v>63120</v>
      </c>
      <c r="B2397" s="1115" t="s">
        <v>165</v>
      </c>
      <c r="C2397" s="1115" t="n">
        <v>63120</v>
      </c>
      <c r="D2397" s="1115" t="s">
        <v>2972</v>
      </c>
      <c r="E2397" s="1115" t="s">
        <v>2257</v>
      </c>
      <c r="F2397" s="1115" t="n">
        <v>29350</v>
      </c>
      <c r="G2397" s="1115" t="n">
        <v>64100</v>
      </c>
      <c r="H2397" s="1115" t="s">
        <v>1112</v>
      </c>
      <c r="I2397" s="1115" t="n">
        <v>63130</v>
      </c>
      <c r="J2397" s="1115" t="s">
        <v>1122</v>
      </c>
    </row>
    <row r="2398" customFormat="false" ht="14.1" hidden="false" customHeight="true" outlineLevel="0" collapsed="false">
      <c r="A2398" s="1115" t="n">
        <v>63120</v>
      </c>
      <c r="B2398" s="1115" t="s">
        <v>165</v>
      </c>
      <c r="C2398" s="1115" t="n">
        <v>63120</v>
      </c>
      <c r="D2398" s="1115" t="s">
        <v>2972</v>
      </c>
      <c r="E2398" s="1115" t="s">
        <v>2191</v>
      </c>
      <c r="F2398" s="1115" t="n">
        <v>27420</v>
      </c>
      <c r="G2398" s="1115" t="n">
        <v>64110</v>
      </c>
      <c r="H2398" s="1115" t="s">
        <v>3484</v>
      </c>
      <c r="I2398" s="1115" t="n">
        <v>63150</v>
      </c>
      <c r="J2398" s="1115" t="s">
        <v>1122</v>
      </c>
    </row>
    <row r="2399" customFormat="false" ht="14.1" hidden="false" customHeight="true" outlineLevel="0" collapsed="false">
      <c r="A2399" s="1115" t="n">
        <v>63130</v>
      </c>
      <c r="B2399" s="1115" t="s">
        <v>165</v>
      </c>
      <c r="C2399" s="1115" t="n">
        <v>63130</v>
      </c>
      <c r="D2399" s="1115" t="s">
        <v>3267</v>
      </c>
      <c r="E2399" s="1115" t="s">
        <v>2191</v>
      </c>
      <c r="F2399" s="1115" t="n">
        <v>27430</v>
      </c>
      <c r="G2399" s="1115" t="n">
        <v>64170</v>
      </c>
      <c r="H2399" s="1115" t="s">
        <v>3082</v>
      </c>
      <c r="I2399" s="1115" t="n">
        <v>63150</v>
      </c>
      <c r="J2399" s="1115" t="s">
        <v>1122</v>
      </c>
    </row>
    <row r="2400" customFormat="false" ht="14.1" hidden="false" customHeight="true" outlineLevel="0" collapsed="false">
      <c r="A2400" s="1115" t="n">
        <v>63150</v>
      </c>
      <c r="B2400" s="1115" t="s">
        <v>165</v>
      </c>
      <c r="C2400" s="1115" t="n">
        <v>63150</v>
      </c>
      <c r="D2400" s="1115" t="s">
        <v>3446</v>
      </c>
      <c r="E2400" s="1115" t="s">
        <v>3485</v>
      </c>
      <c r="F2400" s="1115" t="n">
        <v>72480</v>
      </c>
      <c r="G2400" s="1115" t="n">
        <v>64200</v>
      </c>
      <c r="H2400" s="1115" t="s">
        <v>1289</v>
      </c>
      <c r="I2400" s="1115" t="n">
        <v>63160</v>
      </c>
      <c r="J2400" s="1115" t="s">
        <v>1122</v>
      </c>
    </row>
    <row r="2401" customFormat="false" ht="14.1" hidden="false" customHeight="true" outlineLevel="0" collapsed="false">
      <c r="A2401" s="1115" t="n">
        <v>63150</v>
      </c>
      <c r="B2401" s="1115" t="s">
        <v>165</v>
      </c>
      <c r="C2401" s="1115" t="n">
        <v>63150</v>
      </c>
      <c r="D2401" s="1115" t="s">
        <v>3446</v>
      </c>
      <c r="E2401" s="1115" t="s">
        <v>3486</v>
      </c>
      <c r="F2401" s="1115" t="n">
        <v>81950</v>
      </c>
      <c r="G2401" s="1115" t="n">
        <v>64210</v>
      </c>
      <c r="H2401" s="1115" t="s">
        <v>2179</v>
      </c>
      <c r="I2401" s="1115" t="n">
        <v>63160</v>
      </c>
      <c r="J2401" s="1115" t="s">
        <v>1122</v>
      </c>
    </row>
    <row r="2402" customFormat="false" ht="14.1" hidden="false" customHeight="true" outlineLevel="0" collapsed="false">
      <c r="A2402" s="1115" t="n">
        <v>63160</v>
      </c>
      <c r="B2402" s="1115" t="s">
        <v>165</v>
      </c>
      <c r="C2402" s="1115" t="n">
        <v>63160</v>
      </c>
      <c r="D2402" s="1115" t="s">
        <v>3448</v>
      </c>
      <c r="E2402" s="1115" t="s">
        <v>3487</v>
      </c>
      <c r="F2402" s="1115" t="n">
        <v>81750</v>
      </c>
      <c r="G2402" s="1115" t="n">
        <v>64220</v>
      </c>
      <c r="H2402" s="1115" t="s">
        <v>3488</v>
      </c>
      <c r="I2402" s="1115" t="n">
        <v>63160</v>
      </c>
      <c r="J2402" s="1115" t="s">
        <v>1122</v>
      </c>
    </row>
    <row r="2403" customFormat="false" ht="14.1" hidden="false" customHeight="true" outlineLevel="0" collapsed="false">
      <c r="A2403" s="1115" t="n">
        <v>63160</v>
      </c>
      <c r="B2403" s="1115" t="s">
        <v>165</v>
      </c>
      <c r="C2403" s="1115" t="n">
        <v>63160</v>
      </c>
      <c r="D2403" s="1115" t="s">
        <v>3448</v>
      </c>
      <c r="E2403" s="1115" t="s">
        <v>3152</v>
      </c>
      <c r="F2403" s="1115" t="n">
        <v>52970</v>
      </c>
      <c r="G2403" s="1115" t="n">
        <v>64230</v>
      </c>
      <c r="H2403" s="1115" t="s">
        <v>1289</v>
      </c>
      <c r="I2403" s="1115" t="n">
        <v>63210</v>
      </c>
      <c r="J2403" s="1115" t="s">
        <v>1122</v>
      </c>
    </row>
    <row r="2404" customFormat="false" ht="14.1" hidden="false" customHeight="true" outlineLevel="0" collapsed="false">
      <c r="A2404" s="1115" t="n">
        <v>63160</v>
      </c>
      <c r="B2404" s="1115" t="s">
        <v>165</v>
      </c>
      <c r="C2404" s="1115" t="n">
        <v>63160</v>
      </c>
      <c r="D2404" s="1115" t="s">
        <v>3448</v>
      </c>
      <c r="E2404" s="1115" t="s">
        <v>3369</v>
      </c>
      <c r="F2404" s="1115" t="n">
        <v>61310</v>
      </c>
      <c r="G2404" s="1115" t="n">
        <v>64240</v>
      </c>
      <c r="H2404" s="1115" t="s">
        <v>1030</v>
      </c>
      <c r="I2404" s="1115" t="n">
        <v>63230</v>
      </c>
      <c r="J2404" s="1115" t="s">
        <v>1122</v>
      </c>
    </row>
    <row r="2405" customFormat="false" ht="14.1" hidden="false" customHeight="true" outlineLevel="0" collapsed="false">
      <c r="A2405" s="1115" t="n">
        <v>63210</v>
      </c>
      <c r="B2405" s="1115" t="s">
        <v>165</v>
      </c>
      <c r="C2405" s="1115" t="n">
        <v>63210</v>
      </c>
      <c r="D2405" s="1115" t="s">
        <v>3323</v>
      </c>
      <c r="E2405" s="1115" t="s">
        <v>3369</v>
      </c>
      <c r="F2405" s="1115" t="n">
        <v>61310</v>
      </c>
      <c r="G2405" s="1115" t="n">
        <v>64250</v>
      </c>
      <c r="H2405" s="1115" t="s">
        <v>3489</v>
      </c>
      <c r="I2405" s="1115" t="n">
        <v>63250</v>
      </c>
      <c r="J2405" s="1115" t="s">
        <v>1122</v>
      </c>
    </row>
    <row r="2406" customFormat="false" ht="14.1" hidden="false" customHeight="true" outlineLevel="0" collapsed="false">
      <c r="A2406" s="1115" t="n">
        <v>63230</v>
      </c>
      <c r="B2406" s="1115" t="s">
        <v>165</v>
      </c>
      <c r="C2406" s="1115" t="n">
        <v>63230</v>
      </c>
      <c r="D2406" s="1115" t="s">
        <v>2957</v>
      </c>
      <c r="E2406" s="1115" t="s">
        <v>1648</v>
      </c>
      <c r="F2406" s="1115" t="n">
        <v>13930</v>
      </c>
      <c r="G2406" s="1115" t="n">
        <v>64260</v>
      </c>
      <c r="H2406" s="1115" t="s">
        <v>1014</v>
      </c>
      <c r="I2406" s="1115" t="n">
        <v>63300</v>
      </c>
      <c r="J2406" s="1115" t="s">
        <v>723</v>
      </c>
    </row>
    <row r="2407" customFormat="false" ht="14.1" hidden="false" customHeight="true" outlineLevel="0" collapsed="false">
      <c r="A2407" s="1115" t="n">
        <v>63250</v>
      </c>
      <c r="B2407" s="1115" t="s">
        <v>165</v>
      </c>
      <c r="C2407" s="1115" t="n">
        <v>63250</v>
      </c>
      <c r="D2407" s="1115" t="s">
        <v>3450</v>
      </c>
      <c r="E2407" s="1115" t="s">
        <v>1895</v>
      </c>
      <c r="F2407" s="1115" t="n">
        <v>19920</v>
      </c>
      <c r="G2407" s="1115" t="n">
        <v>64300</v>
      </c>
      <c r="H2407" s="1115" t="s">
        <v>2920</v>
      </c>
      <c r="I2407" s="1115" t="n">
        <v>63320</v>
      </c>
      <c r="J2407" s="1115" t="s">
        <v>723</v>
      </c>
    </row>
    <row r="2408" customFormat="false" ht="14.1" hidden="false" customHeight="true" outlineLevel="0" collapsed="false">
      <c r="A2408" s="1115" t="n">
        <v>63300</v>
      </c>
      <c r="B2408" s="1115" t="s">
        <v>165</v>
      </c>
      <c r="C2408" s="1115" t="n">
        <v>63300</v>
      </c>
      <c r="D2408" s="1115" t="s">
        <v>723</v>
      </c>
      <c r="E2408" s="1115" t="s">
        <v>3066</v>
      </c>
      <c r="F2408" s="1115" t="n">
        <v>51365</v>
      </c>
      <c r="G2408" s="1115" t="n">
        <v>64310</v>
      </c>
      <c r="H2408" s="1115" t="s">
        <v>353</v>
      </c>
      <c r="I2408" s="1115" t="n">
        <v>63330</v>
      </c>
      <c r="J2408" s="1115" t="s">
        <v>723</v>
      </c>
    </row>
    <row r="2409" customFormat="false" ht="14.1" hidden="false" customHeight="true" outlineLevel="0" collapsed="false">
      <c r="A2409" s="1115" t="n">
        <v>63320</v>
      </c>
      <c r="B2409" s="1115" t="s">
        <v>165</v>
      </c>
      <c r="C2409" s="1115" t="n">
        <v>63320</v>
      </c>
      <c r="D2409" s="1115" t="s">
        <v>2307</v>
      </c>
      <c r="E2409" s="1115" t="s">
        <v>1318</v>
      </c>
      <c r="F2409" s="1115" t="n">
        <v>21600</v>
      </c>
      <c r="G2409" s="1115" t="n">
        <v>64320</v>
      </c>
      <c r="H2409" s="1115" t="s">
        <v>1033</v>
      </c>
      <c r="I2409" s="1115" t="n">
        <v>63340</v>
      </c>
      <c r="J2409" s="1115" t="s">
        <v>723</v>
      </c>
    </row>
    <row r="2410" customFormat="false" ht="14.1" hidden="false" customHeight="true" outlineLevel="0" collapsed="false">
      <c r="A2410" s="1115" t="n">
        <v>63330</v>
      </c>
      <c r="B2410" s="1115" t="s">
        <v>165</v>
      </c>
      <c r="C2410" s="1115" t="n">
        <v>63330</v>
      </c>
      <c r="D2410" s="1115" t="s">
        <v>3451</v>
      </c>
      <c r="E2410" s="1115" t="s">
        <v>2894</v>
      </c>
      <c r="F2410" s="1115" t="n">
        <v>44190</v>
      </c>
      <c r="G2410" s="1115" t="n">
        <v>64320</v>
      </c>
      <c r="H2410" s="1115" t="s">
        <v>1033</v>
      </c>
      <c r="I2410" s="1115" t="n">
        <v>63350</v>
      </c>
      <c r="J2410" s="1115" t="s">
        <v>723</v>
      </c>
    </row>
    <row r="2411" customFormat="false" ht="14.1" hidden="false" customHeight="true" outlineLevel="0" collapsed="false">
      <c r="A2411" s="1115" t="n">
        <v>63340</v>
      </c>
      <c r="B2411" s="1115" t="s">
        <v>165</v>
      </c>
      <c r="C2411" s="1115" t="n">
        <v>63340</v>
      </c>
      <c r="D2411" s="1115" t="s">
        <v>3455</v>
      </c>
      <c r="E2411" s="1115" t="s">
        <v>3490</v>
      </c>
      <c r="F2411" s="1115" t="n">
        <v>86110</v>
      </c>
      <c r="G2411" s="1115" t="n">
        <v>64330</v>
      </c>
      <c r="H2411" s="1115" t="s">
        <v>3385</v>
      </c>
      <c r="I2411" s="1115" t="n">
        <v>63355</v>
      </c>
      <c r="J2411" s="1115" t="s">
        <v>723</v>
      </c>
    </row>
    <row r="2412" customFormat="false" ht="14.1" hidden="false" customHeight="true" outlineLevel="0" collapsed="false">
      <c r="A2412" s="1115" t="n">
        <v>63350</v>
      </c>
      <c r="B2412" s="1115" t="s">
        <v>165</v>
      </c>
      <c r="C2412" s="1115" t="n">
        <v>63350</v>
      </c>
      <c r="D2412" s="1115" t="s">
        <v>3457</v>
      </c>
      <c r="E2412" s="1115" t="s">
        <v>1320</v>
      </c>
      <c r="F2412" s="1115" t="n">
        <v>59100</v>
      </c>
      <c r="G2412" s="1115" t="n">
        <v>64350</v>
      </c>
      <c r="H2412" s="1115" t="s">
        <v>988</v>
      </c>
      <c r="I2412" s="1115" t="n">
        <v>63360</v>
      </c>
      <c r="J2412" s="1115" t="s">
        <v>723</v>
      </c>
    </row>
    <row r="2413" customFormat="false" ht="14.1" hidden="false" customHeight="true" outlineLevel="0" collapsed="false">
      <c r="A2413" s="1115" t="n">
        <v>63355</v>
      </c>
      <c r="B2413" s="1115" t="s">
        <v>165</v>
      </c>
      <c r="C2413" s="1115" t="n">
        <v>63355</v>
      </c>
      <c r="D2413" s="1115" t="s">
        <v>3458</v>
      </c>
      <c r="E2413" s="1115" t="s">
        <v>1322</v>
      </c>
      <c r="F2413" s="1115" t="n">
        <v>39700</v>
      </c>
      <c r="G2413" s="1115" t="n">
        <v>64370</v>
      </c>
      <c r="H2413" s="1115" t="s">
        <v>3252</v>
      </c>
      <c r="I2413" s="1115" t="n">
        <v>63370</v>
      </c>
      <c r="J2413" s="1115" t="s">
        <v>723</v>
      </c>
    </row>
    <row r="2414" customFormat="false" ht="14.1" hidden="false" customHeight="true" outlineLevel="0" collapsed="false">
      <c r="A2414" s="1115" t="n">
        <v>63360</v>
      </c>
      <c r="B2414" s="1115" t="s">
        <v>165</v>
      </c>
      <c r="C2414" s="1115" t="n">
        <v>63360</v>
      </c>
      <c r="D2414" s="1115" t="s">
        <v>2670</v>
      </c>
      <c r="E2414" s="1115" t="s">
        <v>3491</v>
      </c>
      <c r="F2414" s="1115" t="n">
        <v>85710</v>
      </c>
      <c r="G2414" s="1115" t="n">
        <v>64420</v>
      </c>
      <c r="H2414" s="1115" t="s">
        <v>3492</v>
      </c>
      <c r="I2414" s="1115" t="n">
        <v>63400</v>
      </c>
      <c r="J2414" s="1115" t="s">
        <v>723</v>
      </c>
    </row>
    <row r="2415" customFormat="false" ht="14.1" hidden="false" customHeight="true" outlineLevel="0" collapsed="false">
      <c r="A2415" s="1115" t="n">
        <v>63370</v>
      </c>
      <c r="B2415" s="1115" t="s">
        <v>165</v>
      </c>
      <c r="C2415" s="1115" t="n">
        <v>63370</v>
      </c>
      <c r="D2415" s="1115" t="s">
        <v>3459</v>
      </c>
      <c r="E2415" s="1115" t="s">
        <v>2472</v>
      </c>
      <c r="F2415" s="1115" t="n">
        <v>34320</v>
      </c>
      <c r="G2415" s="1115" t="n">
        <v>64430</v>
      </c>
      <c r="H2415" s="1115" t="s">
        <v>3464</v>
      </c>
      <c r="I2415" s="1115" t="n">
        <v>63410</v>
      </c>
      <c r="J2415" s="1115" t="s">
        <v>723</v>
      </c>
    </row>
    <row r="2416" customFormat="false" ht="14.1" hidden="false" customHeight="true" outlineLevel="0" collapsed="false">
      <c r="A2416" s="1115" t="n">
        <v>63400</v>
      </c>
      <c r="B2416" s="1115" t="s">
        <v>165</v>
      </c>
      <c r="C2416" s="1115" t="n">
        <v>63400</v>
      </c>
      <c r="D2416" s="1115" t="s">
        <v>723</v>
      </c>
      <c r="E2416" s="1115" t="s">
        <v>3321</v>
      </c>
      <c r="F2416" s="1115" t="n">
        <v>58830</v>
      </c>
      <c r="G2416" s="1115" t="n">
        <v>64440</v>
      </c>
      <c r="H2416" s="1115" t="s">
        <v>3181</v>
      </c>
      <c r="I2416" s="1115" t="n">
        <v>63430</v>
      </c>
      <c r="J2416" s="1115" t="s">
        <v>723</v>
      </c>
    </row>
    <row r="2417" customFormat="false" ht="14.1" hidden="false" customHeight="true" outlineLevel="0" collapsed="false">
      <c r="A2417" s="1115" t="n">
        <v>63410</v>
      </c>
      <c r="B2417" s="1115" t="s">
        <v>165</v>
      </c>
      <c r="C2417" s="1115" t="n">
        <v>63410</v>
      </c>
      <c r="D2417" s="1115" t="s">
        <v>3460</v>
      </c>
      <c r="E2417" s="1115" t="s">
        <v>1641</v>
      </c>
      <c r="F2417" s="1115" t="n">
        <v>13720</v>
      </c>
      <c r="G2417" s="1115" t="n">
        <v>64450</v>
      </c>
      <c r="H2417" s="1115" t="s">
        <v>2198</v>
      </c>
      <c r="I2417" s="1115" t="n">
        <v>63450</v>
      </c>
      <c r="J2417" s="1115" t="s">
        <v>723</v>
      </c>
    </row>
    <row r="2418" customFormat="false" ht="14.1" hidden="false" customHeight="true" outlineLevel="0" collapsed="false">
      <c r="A2418" s="1115" t="n">
        <v>63430</v>
      </c>
      <c r="B2418" s="1115" t="s">
        <v>165</v>
      </c>
      <c r="C2418" s="1115" t="n">
        <v>63430</v>
      </c>
      <c r="D2418" s="1115" t="s">
        <v>2820</v>
      </c>
      <c r="E2418" s="1115" t="s">
        <v>1639</v>
      </c>
      <c r="F2418" s="1115" t="n">
        <v>13700</v>
      </c>
      <c r="G2418" s="1115" t="n">
        <v>64460</v>
      </c>
      <c r="H2418" s="1115" t="s">
        <v>1897</v>
      </c>
      <c r="I2418" s="1115" t="n">
        <v>63500</v>
      </c>
      <c r="J2418" s="1115" t="s">
        <v>1505</v>
      </c>
    </row>
    <row r="2419" customFormat="false" ht="14.1" hidden="false" customHeight="true" outlineLevel="0" collapsed="false">
      <c r="A2419" s="1115" t="n">
        <v>63450</v>
      </c>
      <c r="B2419" s="1115" t="s">
        <v>165</v>
      </c>
      <c r="C2419" s="1115" t="n">
        <v>63450</v>
      </c>
      <c r="D2419" s="1115" t="s">
        <v>3097</v>
      </c>
      <c r="E2419" s="1115" t="s">
        <v>3493</v>
      </c>
      <c r="F2419" s="1115" t="n">
        <v>76280</v>
      </c>
      <c r="G2419" s="1115" t="n">
        <v>64470</v>
      </c>
      <c r="H2419" s="1115" t="s">
        <v>1037</v>
      </c>
      <c r="I2419" s="1115" t="n">
        <v>63500</v>
      </c>
      <c r="J2419" s="1115" t="s">
        <v>1505</v>
      </c>
    </row>
    <row r="2420" customFormat="false" ht="14.1" hidden="false" customHeight="true" outlineLevel="0" collapsed="false">
      <c r="A2420" s="1115" t="n">
        <v>63500</v>
      </c>
      <c r="B2420" s="1115" t="s">
        <v>165</v>
      </c>
      <c r="C2420" s="1115" t="n">
        <v>63500</v>
      </c>
      <c r="D2420" s="1115" t="s">
        <v>1158</v>
      </c>
      <c r="E2420" s="1115" t="s">
        <v>3494</v>
      </c>
      <c r="F2420" s="1115" t="n">
        <v>99920</v>
      </c>
      <c r="G2420" s="1115" t="n">
        <v>64480</v>
      </c>
      <c r="H2420" s="1115" t="s">
        <v>3495</v>
      </c>
      <c r="I2420" s="1115" t="n">
        <v>63510</v>
      </c>
      <c r="J2420" s="1115" t="s">
        <v>1505</v>
      </c>
    </row>
    <row r="2421" customFormat="false" ht="14.1" hidden="false" customHeight="true" outlineLevel="0" collapsed="false">
      <c r="A2421" s="1115" t="n">
        <v>63500</v>
      </c>
      <c r="B2421" s="1115" t="s">
        <v>165</v>
      </c>
      <c r="C2421" s="1115" t="n">
        <v>63500</v>
      </c>
      <c r="D2421" s="1115" t="s">
        <v>1158</v>
      </c>
      <c r="E2421" s="1115" t="s">
        <v>3208</v>
      </c>
      <c r="F2421" s="1115" t="n">
        <v>54880</v>
      </c>
      <c r="G2421" s="1115" t="n">
        <v>64490</v>
      </c>
      <c r="H2421" s="1115" t="s">
        <v>3496</v>
      </c>
      <c r="I2421" s="1115" t="n">
        <v>63530</v>
      </c>
      <c r="J2421" s="1115" t="s">
        <v>1505</v>
      </c>
    </row>
    <row r="2422" customFormat="false" ht="14.1" hidden="false" customHeight="true" outlineLevel="0" collapsed="false">
      <c r="A2422" s="1115" t="n">
        <v>63510</v>
      </c>
      <c r="B2422" s="1115" t="s">
        <v>165</v>
      </c>
      <c r="C2422" s="1115" t="n">
        <v>63510</v>
      </c>
      <c r="D2422" s="1115" t="s">
        <v>1158</v>
      </c>
      <c r="E2422" s="1115" t="s">
        <v>2823</v>
      </c>
      <c r="F2422" s="1115" t="n">
        <v>42280</v>
      </c>
      <c r="G2422" s="1115" t="n">
        <v>64510</v>
      </c>
      <c r="H2422" s="1115" t="s">
        <v>3374</v>
      </c>
      <c r="I2422" s="1115" t="n">
        <v>63540</v>
      </c>
      <c r="J2422" s="1115" t="s">
        <v>1505</v>
      </c>
    </row>
    <row r="2423" customFormat="false" ht="14.1" hidden="false" customHeight="true" outlineLevel="0" collapsed="false">
      <c r="A2423" s="1115" t="n">
        <v>63530</v>
      </c>
      <c r="B2423" s="1115" t="s">
        <v>165</v>
      </c>
      <c r="C2423" s="1115" t="n">
        <v>63530</v>
      </c>
      <c r="D2423" s="1115" t="s">
        <v>3091</v>
      </c>
      <c r="E2423" s="1115" t="s">
        <v>2919</v>
      </c>
      <c r="F2423" s="1115" t="n">
        <v>44720</v>
      </c>
      <c r="G2423" s="1115" t="n">
        <v>64530</v>
      </c>
      <c r="H2423" s="1115" t="s">
        <v>3350</v>
      </c>
      <c r="I2423" s="1115" t="n">
        <v>63600</v>
      </c>
      <c r="J2423" s="1115" t="s">
        <v>1576</v>
      </c>
    </row>
    <row r="2424" customFormat="false" ht="14.1" hidden="false" customHeight="true" outlineLevel="0" collapsed="false">
      <c r="A2424" s="1115" t="n">
        <v>63540</v>
      </c>
      <c r="B2424" s="1115" t="s">
        <v>165</v>
      </c>
      <c r="C2424" s="1115" t="n">
        <v>63540</v>
      </c>
      <c r="D2424" s="1115" t="s">
        <v>1675</v>
      </c>
      <c r="E2424" s="1115" t="s">
        <v>3497</v>
      </c>
      <c r="F2424" s="1115" t="n">
        <v>95860</v>
      </c>
      <c r="G2424" s="1115" t="n">
        <v>64530</v>
      </c>
      <c r="H2424" s="1115" t="s">
        <v>3350</v>
      </c>
      <c r="I2424" s="1115" t="n">
        <v>63610</v>
      </c>
      <c r="J2424" s="1115" t="s">
        <v>1576</v>
      </c>
    </row>
    <row r="2425" customFormat="false" ht="14.1" hidden="false" customHeight="true" outlineLevel="0" collapsed="false">
      <c r="A2425" s="1115" t="n">
        <v>63600</v>
      </c>
      <c r="B2425" s="1115" t="s">
        <v>165</v>
      </c>
      <c r="C2425" s="1115" t="n">
        <v>63600</v>
      </c>
      <c r="D2425" s="1115" t="s">
        <v>1576</v>
      </c>
      <c r="E2425" s="1115" t="s">
        <v>3362</v>
      </c>
      <c r="F2425" s="1115" t="n">
        <v>61140</v>
      </c>
      <c r="G2425" s="1115" t="n">
        <v>64550</v>
      </c>
      <c r="H2425" s="1115" t="s">
        <v>3498</v>
      </c>
      <c r="I2425" s="1115" t="n">
        <v>63610</v>
      </c>
      <c r="J2425" s="1115" t="s">
        <v>1576</v>
      </c>
    </row>
    <row r="2426" customFormat="false" ht="14.1" hidden="false" customHeight="true" outlineLevel="0" collapsed="false">
      <c r="A2426" s="1115" t="n">
        <v>63610</v>
      </c>
      <c r="B2426" s="1115" t="s">
        <v>165</v>
      </c>
      <c r="C2426" s="1115" t="n">
        <v>63610</v>
      </c>
      <c r="D2426" s="1115" t="s">
        <v>3465</v>
      </c>
      <c r="E2426" s="1115" t="s">
        <v>3362</v>
      </c>
      <c r="F2426" s="1115" t="n">
        <v>61440</v>
      </c>
      <c r="G2426" s="1115" t="n">
        <v>64610</v>
      </c>
      <c r="H2426" s="1115" t="s">
        <v>3499</v>
      </c>
      <c r="I2426" s="1115" t="n">
        <v>63640</v>
      </c>
      <c r="J2426" s="1115" t="s">
        <v>1576</v>
      </c>
    </row>
    <row r="2427" customFormat="false" ht="14.1" hidden="false" customHeight="true" outlineLevel="0" collapsed="false">
      <c r="A2427" s="1115" t="n">
        <v>63610</v>
      </c>
      <c r="B2427" s="1115" t="s">
        <v>165</v>
      </c>
      <c r="C2427" s="1115" t="n">
        <v>63610</v>
      </c>
      <c r="D2427" s="1115" t="s">
        <v>3465</v>
      </c>
      <c r="E2427" s="1115" t="s">
        <v>3500</v>
      </c>
      <c r="F2427" s="1115" t="n">
        <v>69850</v>
      </c>
      <c r="G2427" s="1115" t="n">
        <v>64630</v>
      </c>
      <c r="H2427" s="1115" t="s">
        <v>3501</v>
      </c>
      <c r="I2427" s="1115" t="n">
        <v>63660</v>
      </c>
      <c r="J2427" s="1115" t="s">
        <v>1649</v>
      </c>
    </row>
    <row r="2428" customFormat="false" ht="14.1" hidden="false" customHeight="true" outlineLevel="0" collapsed="false">
      <c r="A2428" s="1115" t="n">
        <v>63640</v>
      </c>
      <c r="B2428" s="1115" t="s">
        <v>165</v>
      </c>
      <c r="C2428" s="1115" t="n">
        <v>63640</v>
      </c>
      <c r="D2428" s="1115" t="s">
        <v>3467</v>
      </c>
      <c r="E2428" s="1115" t="s">
        <v>3502</v>
      </c>
      <c r="F2428" s="1115" t="n">
        <v>97310</v>
      </c>
      <c r="G2428" s="1115" t="n">
        <v>64640</v>
      </c>
      <c r="H2428" s="1115" t="s">
        <v>3503</v>
      </c>
      <c r="I2428" s="1115" t="n">
        <v>63680</v>
      </c>
      <c r="J2428" s="1115" t="s">
        <v>1649</v>
      </c>
    </row>
    <row r="2429" customFormat="false" ht="14.1" hidden="false" customHeight="true" outlineLevel="0" collapsed="false">
      <c r="A2429" s="1115" t="n">
        <v>63660</v>
      </c>
      <c r="B2429" s="1115" t="s">
        <v>165</v>
      </c>
      <c r="C2429" s="1115" t="n">
        <v>63660</v>
      </c>
      <c r="D2429" s="1115" t="s">
        <v>3468</v>
      </c>
      <c r="E2429" s="1115" t="s">
        <v>3504</v>
      </c>
      <c r="F2429" s="1115" t="n">
        <v>93840</v>
      </c>
      <c r="G2429" s="1115" t="n">
        <v>64660</v>
      </c>
      <c r="H2429" s="1115" t="s">
        <v>3505</v>
      </c>
      <c r="I2429" s="1115" t="n">
        <v>63700</v>
      </c>
      <c r="J2429" s="1115" t="s">
        <v>1649</v>
      </c>
    </row>
    <row r="2430" customFormat="false" ht="14.1" hidden="false" customHeight="true" outlineLevel="0" collapsed="false">
      <c r="A2430" s="1115" t="n">
        <v>63680</v>
      </c>
      <c r="B2430" s="1115" t="s">
        <v>165</v>
      </c>
      <c r="C2430" s="1115" t="n">
        <v>63680</v>
      </c>
      <c r="D2430" s="1115" t="s">
        <v>1323</v>
      </c>
      <c r="E2430" s="1115" t="s">
        <v>3506</v>
      </c>
      <c r="F2430" s="1115" t="n">
        <v>82650</v>
      </c>
      <c r="G2430" s="1115" t="n">
        <v>64700</v>
      </c>
      <c r="H2430" s="1115" t="s">
        <v>1563</v>
      </c>
      <c r="I2430" s="1115" t="n">
        <v>63700</v>
      </c>
      <c r="J2430" s="1115" t="s">
        <v>1649</v>
      </c>
    </row>
    <row r="2431" customFormat="false" ht="14.1" hidden="false" customHeight="true" outlineLevel="0" collapsed="false">
      <c r="A2431" s="1115" t="n">
        <v>63700</v>
      </c>
      <c r="B2431" s="1115" t="s">
        <v>165</v>
      </c>
      <c r="C2431" s="1115" t="n">
        <v>63700</v>
      </c>
      <c r="D2431" s="1115" t="s">
        <v>1649</v>
      </c>
      <c r="E2431" s="1115" t="s">
        <v>3507</v>
      </c>
      <c r="F2431" s="1115" t="n">
        <v>92140</v>
      </c>
      <c r="G2431" s="1115" t="n">
        <v>64700</v>
      </c>
      <c r="H2431" s="1115" t="s">
        <v>1563</v>
      </c>
      <c r="I2431" s="1115" t="n">
        <v>63700</v>
      </c>
      <c r="J2431" s="1115" t="s">
        <v>1649</v>
      </c>
    </row>
    <row r="2432" customFormat="false" ht="14.1" hidden="false" customHeight="true" outlineLevel="0" collapsed="false">
      <c r="A2432" s="1115" t="n">
        <v>63700</v>
      </c>
      <c r="B2432" s="1115" t="s">
        <v>165</v>
      </c>
      <c r="C2432" s="1115" t="n">
        <v>63700</v>
      </c>
      <c r="D2432" s="1115" t="s">
        <v>1649</v>
      </c>
      <c r="E2432" s="1115" t="s">
        <v>3508</v>
      </c>
      <c r="F2432" s="1115" t="n">
        <v>71460</v>
      </c>
      <c r="G2432" s="1115" t="n">
        <v>64720</v>
      </c>
      <c r="H2432" s="1115" t="s">
        <v>3509</v>
      </c>
      <c r="I2432" s="1115" t="n">
        <v>63706</v>
      </c>
      <c r="J2432" s="1115" t="s">
        <v>1649</v>
      </c>
    </row>
    <row r="2433" customFormat="false" ht="14.1" hidden="false" customHeight="true" outlineLevel="0" collapsed="false">
      <c r="A2433" s="1115" t="n">
        <v>63700</v>
      </c>
      <c r="B2433" s="1115" t="s">
        <v>165</v>
      </c>
      <c r="C2433" s="1115" t="n">
        <v>63700</v>
      </c>
      <c r="D2433" s="1115" t="s">
        <v>1649</v>
      </c>
      <c r="E2433" s="1115" t="s">
        <v>3510</v>
      </c>
      <c r="F2433" s="1115" t="n">
        <v>81270</v>
      </c>
      <c r="G2433" s="1115" t="n">
        <v>64740</v>
      </c>
      <c r="H2433" s="1115" t="s">
        <v>1772</v>
      </c>
      <c r="I2433" s="1115" t="n">
        <v>63770</v>
      </c>
      <c r="J2433" s="1115" t="s">
        <v>1649</v>
      </c>
    </row>
    <row r="2434" customFormat="false" ht="14.1" hidden="false" customHeight="true" outlineLevel="0" collapsed="false">
      <c r="A2434" s="1115" t="n">
        <v>63706</v>
      </c>
      <c r="B2434" s="1115" t="s">
        <v>165</v>
      </c>
      <c r="C2434" s="1115" t="n">
        <v>63706</v>
      </c>
      <c r="D2434" s="1115" t="s">
        <v>3473</v>
      </c>
      <c r="E2434" s="1115" t="s">
        <v>3511</v>
      </c>
      <c r="F2434" s="1115" t="n">
        <v>66150</v>
      </c>
      <c r="G2434" s="1115" t="n">
        <v>64760</v>
      </c>
      <c r="H2434" s="1115" t="s">
        <v>3512</v>
      </c>
      <c r="I2434" s="1115" t="n">
        <v>63780</v>
      </c>
      <c r="J2434" s="1115" t="s">
        <v>1649</v>
      </c>
    </row>
    <row r="2435" customFormat="false" ht="14.1" hidden="false" customHeight="true" outlineLevel="0" collapsed="false">
      <c r="A2435" s="1115" t="n">
        <v>63770</v>
      </c>
      <c r="B2435" s="1115" t="s">
        <v>165</v>
      </c>
      <c r="C2435" s="1115" t="n">
        <v>63770</v>
      </c>
      <c r="D2435" s="1115" t="s">
        <v>3475</v>
      </c>
      <c r="E2435" s="1115" t="s">
        <v>2134</v>
      </c>
      <c r="F2435" s="1115" t="n">
        <v>25780</v>
      </c>
      <c r="G2435" s="1115" t="n">
        <v>64770</v>
      </c>
      <c r="H2435" s="1115" t="s">
        <v>3513</v>
      </c>
      <c r="I2435" s="1115" t="n">
        <v>63800</v>
      </c>
      <c r="J2435" s="1115" t="s">
        <v>1649</v>
      </c>
    </row>
    <row r="2436" customFormat="false" ht="14.1" hidden="false" customHeight="true" outlineLevel="0" collapsed="false">
      <c r="A2436" s="1115" t="n">
        <v>63780</v>
      </c>
      <c r="B2436" s="1115" t="s">
        <v>165</v>
      </c>
      <c r="C2436" s="1115" t="n">
        <v>63780</v>
      </c>
      <c r="D2436" s="1115" t="s">
        <v>873</v>
      </c>
      <c r="E2436" s="1115" t="s">
        <v>2417</v>
      </c>
      <c r="F2436" s="1115" t="n">
        <v>32810</v>
      </c>
      <c r="G2436" s="1115" t="n">
        <v>64770</v>
      </c>
      <c r="H2436" s="1115" t="s">
        <v>3513</v>
      </c>
      <c r="I2436" s="1115" t="n">
        <v>63830</v>
      </c>
      <c r="J2436" s="1115" t="s">
        <v>1649</v>
      </c>
    </row>
    <row r="2437" customFormat="false" ht="14.1" hidden="false" customHeight="true" outlineLevel="0" collapsed="false">
      <c r="A2437" s="1115" t="n">
        <v>63800</v>
      </c>
      <c r="B2437" s="1115" t="s">
        <v>165</v>
      </c>
      <c r="C2437" s="1115" t="n">
        <v>63800</v>
      </c>
      <c r="D2437" s="1115" t="s">
        <v>1505</v>
      </c>
      <c r="E2437" s="1115" t="s">
        <v>3514</v>
      </c>
      <c r="F2437" s="1115" t="n">
        <v>77450</v>
      </c>
      <c r="G2437" s="1115" t="n">
        <v>64810</v>
      </c>
      <c r="H2437" s="1115" t="s">
        <v>3515</v>
      </c>
      <c r="I2437" s="1115" t="n">
        <v>63880</v>
      </c>
      <c r="J2437" s="1115" t="s">
        <v>1649</v>
      </c>
    </row>
    <row r="2438" customFormat="false" ht="14.1" hidden="false" customHeight="true" outlineLevel="0" collapsed="false">
      <c r="A2438" s="1115" t="n">
        <v>63830</v>
      </c>
      <c r="B2438" s="1115" t="s">
        <v>165</v>
      </c>
      <c r="C2438" s="1115" t="n">
        <v>63830</v>
      </c>
      <c r="D2438" s="1115" t="s">
        <v>2345</v>
      </c>
      <c r="E2438" s="1115" t="s">
        <v>2282</v>
      </c>
      <c r="F2438" s="1115" t="n">
        <v>29770</v>
      </c>
      <c r="G2438" s="1115" t="n">
        <v>64810</v>
      </c>
      <c r="H2438" s="1115" t="s">
        <v>3515</v>
      </c>
      <c r="I2438" s="1115" t="n">
        <v>63880</v>
      </c>
      <c r="J2438" s="1115" t="s">
        <v>1649</v>
      </c>
    </row>
    <row r="2439" customFormat="false" ht="14.1" hidden="false" customHeight="true" outlineLevel="0" collapsed="false">
      <c r="A2439" s="1115" t="n">
        <v>63880</v>
      </c>
      <c r="B2439" s="1115" t="s">
        <v>165</v>
      </c>
      <c r="C2439" s="1115" t="n">
        <v>63880</v>
      </c>
      <c r="D2439" s="1115" t="s">
        <v>2679</v>
      </c>
      <c r="E2439" s="1115" t="s">
        <v>3516</v>
      </c>
      <c r="F2439" s="1115" t="n">
        <v>97630</v>
      </c>
      <c r="G2439" s="1115" t="n">
        <v>64820</v>
      </c>
      <c r="H2439" s="1115" t="s">
        <v>2808</v>
      </c>
      <c r="I2439" s="1115" t="n">
        <v>63890</v>
      </c>
      <c r="J2439" s="1115" t="s">
        <v>1649</v>
      </c>
    </row>
    <row r="2440" customFormat="false" ht="14.1" hidden="false" customHeight="true" outlineLevel="0" collapsed="false">
      <c r="A2440" s="1115" t="n">
        <v>63880</v>
      </c>
      <c r="B2440" s="1115" t="s">
        <v>165</v>
      </c>
      <c r="C2440" s="1115" t="n">
        <v>63880</v>
      </c>
      <c r="D2440" s="1115" t="s">
        <v>2679</v>
      </c>
      <c r="E2440" s="1115" t="s">
        <v>3517</v>
      </c>
      <c r="F2440" s="1115" t="n">
        <v>82625</v>
      </c>
      <c r="G2440" s="1115" t="n">
        <v>64830</v>
      </c>
      <c r="H2440" s="1115" t="s">
        <v>3518</v>
      </c>
      <c r="I2440" s="1115" t="n">
        <v>63900</v>
      </c>
      <c r="J2440" s="1115" t="s">
        <v>1649</v>
      </c>
    </row>
    <row r="2441" customFormat="false" ht="14.1" hidden="false" customHeight="true" outlineLevel="0" collapsed="false">
      <c r="A2441" s="1115" t="n">
        <v>63890</v>
      </c>
      <c r="B2441" s="1115" t="s">
        <v>165</v>
      </c>
      <c r="C2441" s="1115" t="n">
        <v>63890</v>
      </c>
      <c r="D2441" s="1115" t="s">
        <v>1494</v>
      </c>
      <c r="E2441" s="1115" t="s">
        <v>1646</v>
      </c>
      <c r="F2441" s="1115" t="n">
        <v>13900</v>
      </c>
      <c r="G2441" s="1115" t="n">
        <v>64840</v>
      </c>
      <c r="H2441" s="1115" t="s">
        <v>1503</v>
      </c>
      <c r="I2441" s="1115" t="n">
        <v>63910</v>
      </c>
      <c r="J2441" s="1115" t="s">
        <v>1649</v>
      </c>
    </row>
    <row r="2442" customFormat="false" ht="14.1" hidden="false" customHeight="true" outlineLevel="0" collapsed="false">
      <c r="A2442" s="1115" t="n">
        <v>63900</v>
      </c>
      <c r="B2442" s="1115" t="s">
        <v>165</v>
      </c>
      <c r="C2442" s="1115" t="n">
        <v>63900</v>
      </c>
      <c r="D2442" s="1115" t="s">
        <v>3248</v>
      </c>
      <c r="E2442" s="1115" t="s">
        <v>3092</v>
      </c>
      <c r="F2442" s="1115" t="n">
        <v>51770</v>
      </c>
      <c r="G2442" s="1115" t="n">
        <v>64850</v>
      </c>
      <c r="H2442" s="1115" t="s">
        <v>3275</v>
      </c>
      <c r="I2442" s="1115" t="n">
        <v>63920</v>
      </c>
      <c r="J2442" s="1115" t="s">
        <v>1649</v>
      </c>
    </row>
    <row r="2443" customFormat="false" ht="14.1" hidden="false" customHeight="true" outlineLevel="0" collapsed="false">
      <c r="A2443" s="1115" t="n">
        <v>63910</v>
      </c>
      <c r="B2443" s="1115" t="s">
        <v>165</v>
      </c>
      <c r="C2443" s="1115" t="n">
        <v>63910</v>
      </c>
      <c r="D2443" s="1115" t="s">
        <v>1942</v>
      </c>
      <c r="E2443" s="1115" t="s">
        <v>1325</v>
      </c>
      <c r="F2443" s="1115" t="n">
        <v>98500</v>
      </c>
      <c r="G2443" s="1115" t="n">
        <v>64900</v>
      </c>
      <c r="H2443" s="1115" t="s">
        <v>889</v>
      </c>
      <c r="I2443" s="1115" t="n">
        <v>63950</v>
      </c>
      <c r="J2443" s="1115" t="s">
        <v>1649</v>
      </c>
    </row>
    <row r="2444" customFormat="false" ht="14.1" hidden="false" customHeight="true" outlineLevel="0" collapsed="false">
      <c r="A2444" s="1115" t="n">
        <v>63920</v>
      </c>
      <c r="B2444" s="1115" t="s">
        <v>165</v>
      </c>
      <c r="C2444" s="1115" t="n">
        <v>63920</v>
      </c>
      <c r="D2444" s="1115" t="s">
        <v>1941</v>
      </c>
      <c r="E2444" s="1115" t="s">
        <v>1389</v>
      </c>
      <c r="F2444" s="1115" t="n">
        <v>7370</v>
      </c>
      <c r="G2444" s="1115" t="n">
        <v>64930</v>
      </c>
      <c r="H2444" s="1115" t="s">
        <v>2461</v>
      </c>
      <c r="I2444" s="1115" t="n">
        <v>63950</v>
      </c>
      <c r="J2444" s="1115" t="s">
        <v>1649</v>
      </c>
    </row>
    <row r="2445" customFormat="false" ht="14.1" hidden="false" customHeight="true" outlineLevel="0" collapsed="false">
      <c r="A2445" s="1115" t="n">
        <v>63950</v>
      </c>
      <c r="B2445" s="1115" t="s">
        <v>165</v>
      </c>
      <c r="C2445" s="1115" t="n">
        <v>63950</v>
      </c>
      <c r="D2445" s="1115" t="s">
        <v>3482</v>
      </c>
      <c r="E2445" s="1115" t="s">
        <v>1326</v>
      </c>
      <c r="F2445" s="1115" t="n">
        <v>95700</v>
      </c>
      <c r="G2445" s="1115" t="n">
        <v>65007</v>
      </c>
      <c r="H2445" s="1115" t="s">
        <v>165</v>
      </c>
      <c r="I2445" s="1115" t="n">
        <v>64100</v>
      </c>
      <c r="J2445" s="1115" t="s">
        <v>1112</v>
      </c>
    </row>
    <row r="2446" customFormat="false" ht="14.1" hidden="false" customHeight="true" outlineLevel="0" collapsed="false">
      <c r="A2446" s="1115" t="n">
        <v>63950</v>
      </c>
      <c r="B2446" s="1115" t="s">
        <v>165</v>
      </c>
      <c r="C2446" s="1115" t="n">
        <v>63950</v>
      </c>
      <c r="D2446" s="1115" t="s">
        <v>3482</v>
      </c>
      <c r="E2446" s="1115" t="s">
        <v>3127</v>
      </c>
      <c r="F2446" s="1115" t="n">
        <v>52420</v>
      </c>
      <c r="G2446" s="1115" t="n">
        <v>65100</v>
      </c>
      <c r="H2446" s="1115" t="s">
        <v>165</v>
      </c>
      <c r="I2446" s="1115" t="n">
        <v>64100</v>
      </c>
      <c r="J2446" s="1115" t="s">
        <v>1112</v>
      </c>
    </row>
    <row r="2447" customFormat="false" ht="14.1" hidden="false" customHeight="true" outlineLevel="0" collapsed="false">
      <c r="A2447" s="1115" t="n">
        <v>64100</v>
      </c>
      <c r="B2447" s="1115" t="s">
        <v>165</v>
      </c>
      <c r="C2447" s="1115" t="n">
        <v>64100</v>
      </c>
      <c r="D2447" s="1115" t="s">
        <v>1112</v>
      </c>
      <c r="E2447" s="1115" t="s">
        <v>3290</v>
      </c>
      <c r="F2447" s="1115" t="n">
        <v>58480</v>
      </c>
      <c r="G2447" s="1115" t="n">
        <v>65120</v>
      </c>
      <c r="H2447" s="1115" t="s">
        <v>165</v>
      </c>
      <c r="I2447" s="1115" t="n">
        <v>64110</v>
      </c>
      <c r="J2447" s="1115" t="s">
        <v>1112</v>
      </c>
    </row>
    <row r="2448" customFormat="false" ht="14.1" hidden="false" customHeight="true" outlineLevel="0" collapsed="false">
      <c r="A2448" s="1115" t="n">
        <v>64100</v>
      </c>
      <c r="B2448" s="1115" t="s">
        <v>165</v>
      </c>
      <c r="C2448" s="1115" t="n">
        <v>64100</v>
      </c>
      <c r="D2448" s="1115" t="s">
        <v>1112</v>
      </c>
      <c r="E2448" s="1115" t="s">
        <v>3519</v>
      </c>
      <c r="F2448" s="1115" t="n">
        <v>73530</v>
      </c>
      <c r="G2448" s="1115" t="n">
        <v>65130</v>
      </c>
      <c r="H2448" s="1115" t="s">
        <v>165</v>
      </c>
      <c r="I2448" s="1115" t="n">
        <v>64170</v>
      </c>
      <c r="J2448" s="1115" t="s">
        <v>1112</v>
      </c>
    </row>
    <row r="2449" customFormat="false" ht="14.1" hidden="false" customHeight="true" outlineLevel="0" collapsed="false">
      <c r="A2449" s="1115" t="n">
        <v>64110</v>
      </c>
      <c r="B2449" s="1115" t="s">
        <v>165</v>
      </c>
      <c r="C2449" s="1115" t="n">
        <v>64110</v>
      </c>
      <c r="D2449" s="1115" t="s">
        <v>3484</v>
      </c>
      <c r="E2449" s="1115" t="s">
        <v>3520</v>
      </c>
      <c r="F2449" s="1115" t="n">
        <v>92810</v>
      </c>
      <c r="G2449" s="1115" t="n">
        <v>65140</v>
      </c>
      <c r="H2449" s="1115" t="s">
        <v>165</v>
      </c>
      <c r="I2449" s="1115" t="n">
        <v>64200</v>
      </c>
      <c r="J2449" s="1115" t="s">
        <v>1289</v>
      </c>
    </row>
    <row r="2450" customFormat="false" ht="14.1" hidden="false" customHeight="true" outlineLevel="0" collapsed="false">
      <c r="A2450" s="1115" t="n">
        <v>64170</v>
      </c>
      <c r="B2450" s="1115" t="s">
        <v>165</v>
      </c>
      <c r="C2450" s="1115" t="n">
        <v>64170</v>
      </c>
      <c r="D2450" s="1115" t="s">
        <v>3082</v>
      </c>
      <c r="E2450" s="1115" t="s">
        <v>3512</v>
      </c>
      <c r="F2450" s="1115" t="n">
        <v>64760</v>
      </c>
      <c r="G2450" s="1115" t="n">
        <v>65170</v>
      </c>
      <c r="H2450" s="1115" t="s">
        <v>165</v>
      </c>
      <c r="I2450" s="1115" t="n">
        <v>64210</v>
      </c>
      <c r="J2450" s="1115" t="s">
        <v>1289</v>
      </c>
    </row>
    <row r="2451" customFormat="false" ht="14.1" hidden="false" customHeight="true" outlineLevel="0" collapsed="false">
      <c r="A2451" s="1115" t="n">
        <v>64200</v>
      </c>
      <c r="B2451" s="1115" t="s">
        <v>165</v>
      </c>
      <c r="C2451" s="1115" t="n">
        <v>64200</v>
      </c>
      <c r="D2451" s="1115" t="s">
        <v>1289</v>
      </c>
      <c r="E2451" s="1115" t="s">
        <v>3521</v>
      </c>
      <c r="F2451" s="1115" t="n">
        <v>74510</v>
      </c>
      <c r="G2451" s="1115" t="n">
        <v>65200</v>
      </c>
      <c r="H2451" s="1115" t="s">
        <v>165</v>
      </c>
      <c r="I2451" s="1115" t="n">
        <v>64220</v>
      </c>
      <c r="J2451" s="1115" t="s">
        <v>1289</v>
      </c>
    </row>
    <row r="2452" customFormat="false" ht="14.1" hidden="false" customHeight="true" outlineLevel="0" collapsed="false">
      <c r="A2452" s="1115" t="n">
        <v>64210</v>
      </c>
      <c r="B2452" s="1115" t="s">
        <v>165</v>
      </c>
      <c r="C2452" s="1115" t="n">
        <v>64210</v>
      </c>
      <c r="D2452" s="1115" t="s">
        <v>2179</v>
      </c>
      <c r="E2452" s="1115" t="s">
        <v>3421</v>
      </c>
      <c r="F2452" s="1115" t="n">
        <v>62430</v>
      </c>
      <c r="G2452" s="1115" t="n">
        <v>65210</v>
      </c>
      <c r="H2452" s="1115" t="s">
        <v>165</v>
      </c>
      <c r="I2452" s="1115" t="n">
        <v>64230</v>
      </c>
      <c r="J2452" s="1115" t="s">
        <v>1289</v>
      </c>
    </row>
    <row r="2453" customFormat="false" ht="14.1" hidden="false" customHeight="true" outlineLevel="0" collapsed="false">
      <c r="A2453" s="1115" t="n">
        <v>64220</v>
      </c>
      <c r="B2453" s="1115" t="s">
        <v>165</v>
      </c>
      <c r="C2453" s="1115" t="n">
        <v>64220</v>
      </c>
      <c r="D2453" s="1115" t="s">
        <v>3488</v>
      </c>
      <c r="E2453" s="1115" t="s">
        <v>3522</v>
      </c>
      <c r="F2453" s="1115" t="n">
        <v>99420</v>
      </c>
      <c r="G2453" s="1115" t="n">
        <v>65220</v>
      </c>
      <c r="H2453" s="1115" t="s">
        <v>165</v>
      </c>
      <c r="I2453" s="1115" t="n">
        <v>64240</v>
      </c>
      <c r="J2453" s="1115" t="s">
        <v>1289</v>
      </c>
    </row>
    <row r="2454" customFormat="false" ht="14.1" hidden="false" customHeight="true" outlineLevel="0" collapsed="false">
      <c r="A2454" s="1115" t="n">
        <v>64230</v>
      </c>
      <c r="B2454" s="1115" t="s">
        <v>165</v>
      </c>
      <c r="C2454" s="1115" t="n">
        <v>64230</v>
      </c>
      <c r="D2454" s="1115" t="s">
        <v>1289</v>
      </c>
      <c r="E2454" s="1115" t="s">
        <v>2932</v>
      </c>
      <c r="F2454" s="1115" t="n">
        <v>44920</v>
      </c>
      <c r="G2454" s="1115" t="n">
        <v>65230</v>
      </c>
      <c r="H2454" s="1115" t="s">
        <v>165</v>
      </c>
      <c r="I2454" s="1115" t="n">
        <v>64250</v>
      </c>
      <c r="J2454" s="1115" t="s">
        <v>1289</v>
      </c>
    </row>
    <row r="2455" customFormat="false" ht="14.1" hidden="false" customHeight="true" outlineLevel="0" collapsed="false">
      <c r="A2455" s="1115" t="n">
        <v>64240</v>
      </c>
      <c r="B2455" s="1115" t="s">
        <v>165</v>
      </c>
      <c r="C2455" s="1115" t="n">
        <v>64240</v>
      </c>
      <c r="D2455" s="1115" t="s">
        <v>1030</v>
      </c>
      <c r="E2455" s="1115" t="s">
        <v>1735</v>
      </c>
      <c r="F2455" s="1115" t="n">
        <v>16320</v>
      </c>
      <c r="G2455" s="1115" t="n">
        <v>65250</v>
      </c>
      <c r="H2455" s="1115" t="s">
        <v>165</v>
      </c>
      <c r="I2455" s="1115" t="n">
        <v>64260</v>
      </c>
      <c r="J2455" s="1115" t="s">
        <v>1014</v>
      </c>
    </row>
    <row r="2456" customFormat="false" ht="14.1" hidden="false" customHeight="true" outlineLevel="0" collapsed="false">
      <c r="A2456" s="1115" t="n">
        <v>64250</v>
      </c>
      <c r="B2456" s="1115" t="s">
        <v>165</v>
      </c>
      <c r="C2456" s="1115" t="n">
        <v>64250</v>
      </c>
      <c r="D2456" s="1115" t="s">
        <v>3489</v>
      </c>
      <c r="E2456" s="1115" t="s">
        <v>3523</v>
      </c>
      <c r="F2456" s="1115" t="n">
        <v>66840</v>
      </c>
      <c r="G2456" s="1115" t="n">
        <v>65280</v>
      </c>
      <c r="H2456" s="1115" t="s">
        <v>165</v>
      </c>
      <c r="I2456" s="1115" t="n">
        <v>64300</v>
      </c>
      <c r="J2456" s="1115" t="s">
        <v>1014</v>
      </c>
    </row>
    <row r="2457" customFormat="false" ht="14.1" hidden="false" customHeight="true" outlineLevel="0" collapsed="false">
      <c r="A2457" s="1115" t="n">
        <v>64260</v>
      </c>
      <c r="B2457" s="1115" t="s">
        <v>165</v>
      </c>
      <c r="C2457" s="1115" t="n">
        <v>64260</v>
      </c>
      <c r="D2457" s="1115" t="s">
        <v>1014</v>
      </c>
      <c r="E2457" s="1115" t="s">
        <v>3393</v>
      </c>
      <c r="F2457" s="1115" t="n">
        <v>61710</v>
      </c>
      <c r="G2457" s="1115" t="n">
        <v>65290</v>
      </c>
      <c r="H2457" s="1115" t="s">
        <v>165</v>
      </c>
      <c r="I2457" s="1115" t="n">
        <v>64310</v>
      </c>
      <c r="J2457" s="1115" t="s">
        <v>1014</v>
      </c>
    </row>
    <row r="2458" customFormat="false" ht="14.1" hidden="false" customHeight="true" outlineLevel="0" collapsed="false">
      <c r="A2458" s="1115" t="n">
        <v>64300</v>
      </c>
      <c r="B2458" s="1115" t="s">
        <v>165</v>
      </c>
      <c r="C2458" s="1115" t="n">
        <v>64300</v>
      </c>
      <c r="D2458" s="1115" t="s">
        <v>2920</v>
      </c>
      <c r="E2458" s="1115" t="s">
        <v>3197</v>
      </c>
      <c r="F2458" s="1115" t="n">
        <v>54640</v>
      </c>
      <c r="G2458" s="1115" t="n">
        <v>65300</v>
      </c>
      <c r="H2458" s="1115" t="s">
        <v>165</v>
      </c>
      <c r="I2458" s="1115" t="n">
        <v>64320</v>
      </c>
      <c r="J2458" s="1115" t="s">
        <v>988</v>
      </c>
    </row>
    <row r="2459" customFormat="false" ht="14.1" hidden="false" customHeight="true" outlineLevel="0" collapsed="false">
      <c r="A2459" s="1115" t="n">
        <v>64310</v>
      </c>
      <c r="B2459" s="1115" t="s">
        <v>165</v>
      </c>
      <c r="C2459" s="1115" t="n">
        <v>64310</v>
      </c>
      <c r="D2459" s="1115" t="s">
        <v>353</v>
      </c>
      <c r="E2459" s="1115" t="s">
        <v>3524</v>
      </c>
      <c r="F2459" s="1115" t="n">
        <v>93640</v>
      </c>
      <c r="G2459" s="1115" t="n">
        <v>65320</v>
      </c>
      <c r="H2459" s="1115" t="s">
        <v>165</v>
      </c>
      <c r="I2459" s="1115" t="n">
        <v>64320</v>
      </c>
      <c r="J2459" s="1115" t="s">
        <v>988</v>
      </c>
    </row>
    <row r="2460" customFormat="false" ht="14.1" hidden="false" customHeight="true" outlineLevel="0" collapsed="false">
      <c r="A2460" s="1115" t="n">
        <v>64320</v>
      </c>
      <c r="B2460" s="1115" t="s">
        <v>165</v>
      </c>
      <c r="C2460" s="1115" t="n">
        <v>64320</v>
      </c>
      <c r="D2460" s="1115" t="s">
        <v>1033</v>
      </c>
      <c r="E2460" s="1115" t="s">
        <v>3129</v>
      </c>
      <c r="F2460" s="1115" t="n">
        <v>52450</v>
      </c>
      <c r="G2460" s="1115" t="n">
        <v>65350</v>
      </c>
      <c r="H2460" s="1115" t="s">
        <v>165</v>
      </c>
      <c r="I2460" s="1115" t="n">
        <v>64330</v>
      </c>
      <c r="J2460" s="1115" t="s">
        <v>988</v>
      </c>
    </row>
    <row r="2461" customFormat="false" ht="14.1" hidden="false" customHeight="true" outlineLevel="0" collapsed="false">
      <c r="A2461" s="1115" t="n">
        <v>64320</v>
      </c>
      <c r="B2461" s="1115" t="s">
        <v>165</v>
      </c>
      <c r="C2461" s="1115" t="n">
        <v>64320</v>
      </c>
      <c r="D2461" s="1115" t="s">
        <v>1033</v>
      </c>
      <c r="E2461" s="1115" t="s">
        <v>3525</v>
      </c>
      <c r="F2461" s="1115" t="n">
        <v>89770</v>
      </c>
      <c r="G2461" s="1115" t="n">
        <v>65360</v>
      </c>
      <c r="H2461" s="1115" t="s">
        <v>165</v>
      </c>
      <c r="I2461" s="1115" t="n">
        <v>64350</v>
      </c>
      <c r="J2461" s="1115" t="s">
        <v>988</v>
      </c>
    </row>
    <row r="2462" customFormat="false" ht="14.1" hidden="false" customHeight="true" outlineLevel="0" collapsed="false">
      <c r="A2462" s="1115" t="n">
        <v>64330</v>
      </c>
      <c r="B2462" s="1115" t="s">
        <v>165</v>
      </c>
      <c r="C2462" s="1115" t="n">
        <v>64330</v>
      </c>
      <c r="D2462" s="1115" t="s">
        <v>3385</v>
      </c>
      <c r="E2462" s="1115" t="s">
        <v>1328</v>
      </c>
      <c r="F2462" s="1115" t="n">
        <v>69950</v>
      </c>
      <c r="G2462" s="1115" t="n">
        <v>65370</v>
      </c>
      <c r="H2462" s="1115" t="s">
        <v>165</v>
      </c>
      <c r="I2462" s="1115" t="n">
        <v>64370</v>
      </c>
      <c r="J2462" s="1115" t="s">
        <v>988</v>
      </c>
    </row>
    <row r="2463" customFormat="false" ht="14.1" hidden="false" customHeight="true" outlineLevel="0" collapsed="false">
      <c r="A2463" s="1115" t="n">
        <v>64350</v>
      </c>
      <c r="B2463" s="1115" t="s">
        <v>165</v>
      </c>
      <c r="C2463" s="1115" t="n">
        <v>64350</v>
      </c>
      <c r="D2463" s="1115" t="s">
        <v>988</v>
      </c>
      <c r="E2463" s="1115" t="s">
        <v>3424</v>
      </c>
      <c r="F2463" s="1115" t="n">
        <v>62440</v>
      </c>
      <c r="G2463" s="1115" t="n">
        <v>65380</v>
      </c>
      <c r="H2463" s="1115" t="s">
        <v>165</v>
      </c>
      <c r="I2463" s="1115" t="n">
        <v>64420</v>
      </c>
      <c r="J2463" s="1115" t="s">
        <v>988</v>
      </c>
    </row>
    <row r="2464" customFormat="false" ht="14.1" hidden="false" customHeight="true" outlineLevel="0" collapsed="false">
      <c r="A2464" s="1115" t="n">
        <v>64370</v>
      </c>
      <c r="B2464" s="1115" t="s">
        <v>165</v>
      </c>
      <c r="C2464" s="1115" t="n">
        <v>64370</v>
      </c>
      <c r="D2464" s="1115" t="s">
        <v>3252</v>
      </c>
      <c r="E2464" s="1115" t="s">
        <v>3413</v>
      </c>
      <c r="F2464" s="1115" t="n">
        <v>62220</v>
      </c>
      <c r="G2464" s="1115" t="n">
        <v>65390</v>
      </c>
      <c r="H2464" s="1115" t="s">
        <v>165</v>
      </c>
      <c r="I2464" s="1115" t="n">
        <v>64430</v>
      </c>
      <c r="J2464" s="1115" t="s">
        <v>988</v>
      </c>
    </row>
    <row r="2465" customFormat="false" ht="14.1" hidden="false" customHeight="true" outlineLevel="0" collapsed="false">
      <c r="A2465" s="1115" t="n">
        <v>64420</v>
      </c>
      <c r="B2465" s="1115" t="s">
        <v>165</v>
      </c>
      <c r="C2465" s="1115" t="n">
        <v>64420</v>
      </c>
      <c r="D2465" s="1115" t="s">
        <v>3492</v>
      </c>
      <c r="E2465" s="1115" t="s">
        <v>1330</v>
      </c>
      <c r="F2465" s="1115" t="n">
        <v>7930</v>
      </c>
      <c r="G2465" s="1115" t="n">
        <v>65410</v>
      </c>
      <c r="H2465" s="1115" t="s">
        <v>3526</v>
      </c>
      <c r="I2465" s="1115" t="n">
        <v>64440</v>
      </c>
      <c r="J2465" s="1115" t="s">
        <v>988</v>
      </c>
    </row>
    <row r="2466" customFormat="false" ht="14.1" hidden="false" customHeight="true" outlineLevel="0" collapsed="false">
      <c r="A2466" s="1115" t="n">
        <v>64430</v>
      </c>
      <c r="B2466" s="1115" t="s">
        <v>165</v>
      </c>
      <c r="C2466" s="1115" t="n">
        <v>64430</v>
      </c>
      <c r="D2466" s="1115" t="s">
        <v>3464</v>
      </c>
      <c r="E2466" s="1115" t="s">
        <v>1332</v>
      </c>
      <c r="F2466" s="1115" t="n">
        <v>25500</v>
      </c>
      <c r="G2466" s="1115" t="n">
        <v>65430</v>
      </c>
      <c r="H2466" s="1115" t="s">
        <v>2645</v>
      </c>
      <c r="I2466" s="1115" t="n">
        <v>64450</v>
      </c>
      <c r="J2466" s="1115" t="s">
        <v>988</v>
      </c>
    </row>
    <row r="2467" customFormat="false" ht="14.1" hidden="false" customHeight="true" outlineLevel="0" collapsed="false">
      <c r="A2467" s="1115" t="n">
        <v>64440</v>
      </c>
      <c r="B2467" s="1115" t="s">
        <v>165</v>
      </c>
      <c r="C2467" s="1115" t="n">
        <v>64440</v>
      </c>
      <c r="D2467" s="1115" t="s">
        <v>3181</v>
      </c>
      <c r="E2467" s="1115" t="s">
        <v>1332</v>
      </c>
      <c r="F2467" s="1115" t="n">
        <v>25520</v>
      </c>
      <c r="G2467" s="1115" t="n">
        <v>65450</v>
      </c>
      <c r="H2467" s="1115" t="s">
        <v>3527</v>
      </c>
      <c r="I2467" s="1115" t="n">
        <v>64460</v>
      </c>
      <c r="J2467" s="1115" t="s">
        <v>988</v>
      </c>
    </row>
    <row r="2468" customFormat="false" ht="14.1" hidden="false" customHeight="true" outlineLevel="0" collapsed="false">
      <c r="A2468" s="1115" t="n">
        <v>64450</v>
      </c>
      <c r="B2468" s="1115" t="s">
        <v>165</v>
      </c>
      <c r="C2468" s="1115" t="n">
        <v>64450</v>
      </c>
      <c r="D2468" s="1115" t="s">
        <v>2198</v>
      </c>
      <c r="E2468" s="1115" t="s">
        <v>3528</v>
      </c>
      <c r="F2468" s="1115" t="n">
        <v>97815</v>
      </c>
      <c r="G2468" s="1115" t="n">
        <v>65460</v>
      </c>
      <c r="H2468" s="1115" t="s">
        <v>3529</v>
      </c>
      <c r="I2468" s="1115" t="n">
        <v>64470</v>
      </c>
      <c r="J2468" s="1115" t="s">
        <v>988</v>
      </c>
    </row>
    <row r="2469" customFormat="false" ht="14.1" hidden="false" customHeight="true" outlineLevel="0" collapsed="false">
      <c r="A2469" s="1115" t="n">
        <v>64460</v>
      </c>
      <c r="B2469" s="1115" t="s">
        <v>165</v>
      </c>
      <c r="C2469" s="1115" t="n">
        <v>64460</v>
      </c>
      <c r="D2469" s="1115" t="s">
        <v>1897</v>
      </c>
      <c r="E2469" s="1115" t="s">
        <v>3530</v>
      </c>
      <c r="F2469" s="1115" t="n">
        <v>97360</v>
      </c>
      <c r="G2469" s="1115" t="n">
        <v>65470</v>
      </c>
      <c r="H2469" s="1115" t="s">
        <v>3531</v>
      </c>
      <c r="I2469" s="1115" t="n">
        <v>64480</v>
      </c>
      <c r="J2469" s="1115" t="s">
        <v>988</v>
      </c>
    </row>
    <row r="2470" customFormat="false" ht="14.1" hidden="false" customHeight="true" outlineLevel="0" collapsed="false">
      <c r="A2470" s="1115" t="n">
        <v>64470</v>
      </c>
      <c r="B2470" s="1115" t="s">
        <v>165</v>
      </c>
      <c r="C2470" s="1115" t="n">
        <v>64470</v>
      </c>
      <c r="D2470" s="1115" t="s">
        <v>1037</v>
      </c>
      <c r="E2470" s="1115" t="s">
        <v>1334</v>
      </c>
      <c r="F2470" s="1115" t="n">
        <v>25360</v>
      </c>
      <c r="G2470" s="1115" t="n">
        <v>65480</v>
      </c>
      <c r="H2470" s="1115" t="s">
        <v>3532</v>
      </c>
      <c r="I2470" s="1115" t="n">
        <v>64490</v>
      </c>
      <c r="J2470" s="1115" t="s">
        <v>988</v>
      </c>
    </row>
    <row r="2471" customFormat="false" ht="14.1" hidden="false" customHeight="true" outlineLevel="0" collapsed="false">
      <c r="A2471" s="1115" t="n">
        <v>64480</v>
      </c>
      <c r="B2471" s="1115" t="s">
        <v>165</v>
      </c>
      <c r="C2471" s="1115" t="n">
        <v>64480</v>
      </c>
      <c r="D2471" s="1115" t="s">
        <v>3495</v>
      </c>
      <c r="E2471" s="1115" t="s">
        <v>1077</v>
      </c>
      <c r="F2471" s="1115" t="n">
        <v>1860</v>
      </c>
      <c r="G2471" s="1115" t="n">
        <v>65520</v>
      </c>
      <c r="H2471" s="1115" t="s">
        <v>1561</v>
      </c>
      <c r="I2471" s="1115" t="n">
        <v>64510</v>
      </c>
      <c r="J2471" s="1115" t="s">
        <v>988</v>
      </c>
    </row>
    <row r="2472" customFormat="false" ht="14.1" hidden="false" customHeight="true" outlineLevel="0" collapsed="false">
      <c r="A2472" s="1115" t="n">
        <v>64490</v>
      </c>
      <c r="B2472" s="1115" t="s">
        <v>165</v>
      </c>
      <c r="C2472" s="1115" t="n">
        <v>64490</v>
      </c>
      <c r="D2472" s="1115" t="s">
        <v>3496</v>
      </c>
      <c r="E2472" s="1115" t="s">
        <v>1336</v>
      </c>
      <c r="F2472" s="1115" t="n">
        <v>19430</v>
      </c>
      <c r="G2472" s="1115" t="n">
        <v>65540</v>
      </c>
      <c r="H2472" s="1115" t="s">
        <v>3533</v>
      </c>
      <c r="I2472" s="1115" t="n">
        <v>64530</v>
      </c>
      <c r="J2472" s="1115" t="s">
        <v>988</v>
      </c>
    </row>
    <row r="2473" customFormat="false" ht="14.1" hidden="false" customHeight="true" outlineLevel="0" collapsed="false">
      <c r="A2473" s="1115" t="n">
        <v>64510</v>
      </c>
      <c r="B2473" s="1115" t="s">
        <v>165</v>
      </c>
      <c r="C2473" s="1115" t="n">
        <v>64510</v>
      </c>
      <c r="D2473" s="1115" t="s">
        <v>3374</v>
      </c>
      <c r="E2473" s="1115" t="s">
        <v>353</v>
      </c>
      <c r="F2473" s="1115" t="n">
        <v>64310</v>
      </c>
      <c r="G2473" s="1115" t="n">
        <v>65610</v>
      </c>
      <c r="H2473" s="1115" t="s">
        <v>3534</v>
      </c>
      <c r="I2473" s="1115" t="n">
        <v>64530</v>
      </c>
      <c r="J2473" s="1115" t="s">
        <v>988</v>
      </c>
    </row>
    <row r="2474" customFormat="false" ht="14.1" hidden="false" customHeight="true" outlineLevel="0" collapsed="false">
      <c r="A2474" s="1115" t="n">
        <v>64530</v>
      </c>
      <c r="B2474" s="1115" t="s">
        <v>165</v>
      </c>
      <c r="C2474" s="1115" t="n">
        <v>64530</v>
      </c>
      <c r="D2474" s="1115" t="s">
        <v>3350</v>
      </c>
      <c r="E2474" s="1115" t="s">
        <v>3333</v>
      </c>
      <c r="F2474" s="1115" t="n">
        <v>59220</v>
      </c>
      <c r="G2474" s="1115" t="n">
        <v>65630</v>
      </c>
      <c r="H2474" s="1115" t="s">
        <v>2268</v>
      </c>
      <c r="I2474" s="1115" t="n">
        <v>64550</v>
      </c>
      <c r="J2474" s="1115" t="s">
        <v>988</v>
      </c>
    </row>
    <row r="2475" customFormat="false" ht="14.1" hidden="false" customHeight="true" outlineLevel="0" collapsed="false">
      <c r="A2475" s="1115" t="n">
        <v>64530</v>
      </c>
      <c r="B2475" s="1115" t="s">
        <v>165</v>
      </c>
      <c r="C2475" s="1115" t="n">
        <v>64530</v>
      </c>
      <c r="D2475" s="1115" t="s">
        <v>3350</v>
      </c>
      <c r="E2475" s="1115" t="s">
        <v>3535</v>
      </c>
      <c r="F2475" s="1115" t="n">
        <v>97820</v>
      </c>
      <c r="G2475" s="1115" t="n">
        <v>65650</v>
      </c>
      <c r="H2475" s="1115" t="s">
        <v>2601</v>
      </c>
      <c r="I2475" s="1115" t="n">
        <v>64610</v>
      </c>
      <c r="J2475" s="1115" t="s">
        <v>988</v>
      </c>
    </row>
    <row r="2476" customFormat="false" ht="14.1" hidden="false" customHeight="true" outlineLevel="0" collapsed="false">
      <c r="A2476" s="1115" t="n">
        <v>64550</v>
      </c>
      <c r="B2476" s="1115" t="s">
        <v>165</v>
      </c>
      <c r="C2476" s="1115" t="n">
        <v>64550</v>
      </c>
      <c r="D2476" s="1115" t="s">
        <v>3498</v>
      </c>
      <c r="E2476" s="1115" t="s">
        <v>3178</v>
      </c>
      <c r="F2476" s="1115" t="n">
        <v>54360</v>
      </c>
      <c r="G2476" s="1115" t="n">
        <v>65710</v>
      </c>
      <c r="H2476" s="1115" t="s">
        <v>3536</v>
      </c>
      <c r="I2476" s="1115" t="n">
        <v>64630</v>
      </c>
      <c r="J2476" s="1115" t="s">
        <v>988</v>
      </c>
    </row>
    <row r="2477" customFormat="false" ht="14.1" hidden="false" customHeight="true" outlineLevel="0" collapsed="false">
      <c r="A2477" s="1115" t="n">
        <v>64610</v>
      </c>
      <c r="B2477" s="1115" t="s">
        <v>165</v>
      </c>
      <c r="C2477" s="1115" t="n">
        <v>64610</v>
      </c>
      <c r="D2477" s="1115" t="s">
        <v>3499</v>
      </c>
      <c r="E2477" s="1115" t="s">
        <v>3509</v>
      </c>
      <c r="F2477" s="1115" t="n">
        <v>64720</v>
      </c>
      <c r="G2477" s="1115" t="n">
        <v>65730</v>
      </c>
      <c r="H2477" s="1115" t="s">
        <v>2042</v>
      </c>
      <c r="I2477" s="1115" t="n">
        <v>64640</v>
      </c>
      <c r="J2477" s="1115" t="s">
        <v>988</v>
      </c>
    </row>
    <row r="2478" customFormat="false" ht="14.1" hidden="false" customHeight="true" outlineLevel="0" collapsed="false">
      <c r="A2478" s="1115" t="n">
        <v>64630</v>
      </c>
      <c r="B2478" s="1115" t="s">
        <v>165</v>
      </c>
      <c r="C2478" s="1115" t="n">
        <v>64630</v>
      </c>
      <c r="D2478" s="1115" t="s">
        <v>3501</v>
      </c>
      <c r="E2478" s="1115" t="s">
        <v>2246</v>
      </c>
      <c r="F2478" s="1115" t="n">
        <v>29180</v>
      </c>
      <c r="G2478" s="1115" t="n">
        <v>65760</v>
      </c>
      <c r="H2478" s="1115" t="s">
        <v>1951</v>
      </c>
      <c r="I2478" s="1115" t="n">
        <v>64660</v>
      </c>
      <c r="J2478" s="1115" t="s">
        <v>988</v>
      </c>
    </row>
    <row r="2479" customFormat="false" ht="14.1" hidden="false" customHeight="true" outlineLevel="0" collapsed="false">
      <c r="A2479" s="1115" t="n">
        <v>64640</v>
      </c>
      <c r="B2479" s="1115" t="s">
        <v>165</v>
      </c>
      <c r="C2479" s="1115" t="n">
        <v>64640</v>
      </c>
      <c r="D2479" s="1115" t="s">
        <v>3503</v>
      </c>
      <c r="E2479" s="1115" t="s">
        <v>3475</v>
      </c>
      <c r="F2479" s="1115" t="n">
        <v>63770</v>
      </c>
      <c r="G2479" s="1115" t="n">
        <v>65780</v>
      </c>
      <c r="H2479" s="1115" t="s">
        <v>2830</v>
      </c>
      <c r="I2479" s="1115" t="n">
        <v>64700</v>
      </c>
      <c r="J2479" s="1115" t="s">
        <v>1563</v>
      </c>
    </row>
    <row r="2480" customFormat="false" ht="14.1" hidden="false" customHeight="true" outlineLevel="0" collapsed="false">
      <c r="A2480" s="1115" t="n">
        <v>64660</v>
      </c>
      <c r="B2480" s="1115" t="s">
        <v>165</v>
      </c>
      <c r="C2480" s="1115" t="n">
        <v>64660</v>
      </c>
      <c r="D2480" s="1115" t="s">
        <v>3505</v>
      </c>
      <c r="E2480" s="1115" t="s">
        <v>3358</v>
      </c>
      <c r="F2480" s="1115" t="n">
        <v>61100</v>
      </c>
      <c r="G2480" s="1115" t="n">
        <v>65800</v>
      </c>
      <c r="H2480" s="1115" t="s">
        <v>3537</v>
      </c>
      <c r="I2480" s="1115" t="n">
        <v>64700</v>
      </c>
      <c r="J2480" s="1115" t="s">
        <v>1563</v>
      </c>
    </row>
    <row r="2481" customFormat="false" ht="14.1" hidden="false" customHeight="true" outlineLevel="0" collapsed="false">
      <c r="A2481" s="1115" t="n">
        <v>64700</v>
      </c>
      <c r="B2481" s="1115" t="s">
        <v>165</v>
      </c>
      <c r="C2481" s="1115" t="n">
        <v>64700</v>
      </c>
      <c r="D2481" s="1115" t="s">
        <v>1563</v>
      </c>
      <c r="E2481" s="1115" t="s">
        <v>2459</v>
      </c>
      <c r="F2481" s="1115" t="n">
        <v>34120</v>
      </c>
      <c r="G2481" s="1115" t="n">
        <v>65870</v>
      </c>
      <c r="H2481" s="1115" t="s">
        <v>990</v>
      </c>
      <c r="I2481" s="1115" t="n">
        <v>64720</v>
      </c>
      <c r="J2481" s="1115" t="s">
        <v>1563</v>
      </c>
    </row>
    <row r="2482" customFormat="false" ht="14.1" hidden="false" customHeight="true" outlineLevel="0" collapsed="false">
      <c r="A2482" s="1115" t="n">
        <v>64700</v>
      </c>
      <c r="B2482" s="1115" t="s">
        <v>165</v>
      </c>
      <c r="C2482" s="1115" t="n">
        <v>64700</v>
      </c>
      <c r="D2482" s="1115" t="s">
        <v>1563</v>
      </c>
      <c r="E2482" s="1115" t="s">
        <v>3538</v>
      </c>
      <c r="F2482" s="1115" t="n">
        <v>89640</v>
      </c>
      <c r="G2482" s="1115" t="n">
        <v>65920</v>
      </c>
      <c r="H2482" s="1115" t="s">
        <v>3348</v>
      </c>
      <c r="I2482" s="1115" t="n">
        <v>64740</v>
      </c>
      <c r="J2482" s="1115" t="s">
        <v>1563</v>
      </c>
    </row>
    <row r="2483" customFormat="false" ht="14.1" hidden="false" customHeight="true" outlineLevel="0" collapsed="false">
      <c r="A2483" s="1115" t="n">
        <v>64720</v>
      </c>
      <c r="B2483" s="1115" t="s">
        <v>165</v>
      </c>
      <c r="C2483" s="1115" t="n">
        <v>64720</v>
      </c>
      <c r="D2483" s="1115" t="s">
        <v>3509</v>
      </c>
      <c r="E2483" s="1115" t="s">
        <v>3539</v>
      </c>
      <c r="F2483" s="1115" t="n">
        <v>95670</v>
      </c>
      <c r="G2483" s="1115" t="n">
        <v>65930</v>
      </c>
      <c r="H2483" s="1115" t="s">
        <v>3540</v>
      </c>
      <c r="I2483" s="1115" t="n">
        <v>64760</v>
      </c>
      <c r="J2483" s="1115" t="s">
        <v>1563</v>
      </c>
    </row>
    <row r="2484" customFormat="false" ht="14.1" hidden="false" customHeight="true" outlineLevel="0" collapsed="false">
      <c r="A2484" s="1115" t="n">
        <v>64740</v>
      </c>
      <c r="B2484" s="1115" t="s">
        <v>165</v>
      </c>
      <c r="C2484" s="1115" t="n">
        <v>64740</v>
      </c>
      <c r="D2484" s="1115" t="s">
        <v>1772</v>
      </c>
      <c r="E2484" s="1115" t="s">
        <v>3541</v>
      </c>
      <c r="F2484" s="1115" t="n">
        <v>66240</v>
      </c>
      <c r="G2484" s="1115" t="n">
        <v>65950</v>
      </c>
      <c r="H2484" s="1115" t="s">
        <v>1024</v>
      </c>
      <c r="I2484" s="1115" t="n">
        <v>64770</v>
      </c>
      <c r="J2484" s="1115" t="s">
        <v>1563</v>
      </c>
    </row>
    <row r="2485" customFormat="false" ht="14.1" hidden="false" customHeight="true" outlineLevel="0" collapsed="false">
      <c r="A2485" s="1115" t="n">
        <v>64760</v>
      </c>
      <c r="B2485" s="1115" t="s">
        <v>165</v>
      </c>
      <c r="C2485" s="1115" t="n">
        <v>64760</v>
      </c>
      <c r="D2485" s="1115" t="s">
        <v>3512</v>
      </c>
      <c r="E2485" s="1115" t="s">
        <v>3542</v>
      </c>
      <c r="F2485" s="1115" t="n">
        <v>99670</v>
      </c>
      <c r="G2485" s="1115" t="n">
        <v>65970</v>
      </c>
      <c r="H2485" s="1115" t="s">
        <v>3543</v>
      </c>
      <c r="I2485" s="1115" t="n">
        <v>64770</v>
      </c>
      <c r="J2485" s="1115" t="s">
        <v>1563</v>
      </c>
    </row>
    <row r="2486" customFormat="false" ht="14.1" hidden="false" customHeight="true" outlineLevel="0" collapsed="false">
      <c r="A2486" s="1115" t="n">
        <v>64770</v>
      </c>
      <c r="B2486" s="1115" t="s">
        <v>165</v>
      </c>
      <c r="C2486" s="1115" t="n">
        <v>64770</v>
      </c>
      <c r="D2486" s="1115" t="s">
        <v>3513</v>
      </c>
      <c r="E2486" s="1115" t="s">
        <v>3544</v>
      </c>
      <c r="F2486" s="1115" t="n">
        <v>79170</v>
      </c>
      <c r="G2486" s="1115" t="n">
        <v>66100</v>
      </c>
      <c r="H2486" s="1115" t="s">
        <v>3100</v>
      </c>
      <c r="I2486" s="1115" t="n">
        <v>64810</v>
      </c>
      <c r="J2486" s="1115" t="s">
        <v>889</v>
      </c>
    </row>
    <row r="2487" customFormat="false" ht="14.1" hidden="false" customHeight="true" outlineLevel="0" collapsed="false">
      <c r="A2487" s="1115" t="n">
        <v>64770</v>
      </c>
      <c r="B2487" s="1115" t="s">
        <v>165</v>
      </c>
      <c r="C2487" s="1115" t="n">
        <v>64770</v>
      </c>
      <c r="D2487" s="1115" t="s">
        <v>3513</v>
      </c>
      <c r="E2487" s="1115" t="s">
        <v>3545</v>
      </c>
      <c r="F2487" s="1115" t="n">
        <v>83875</v>
      </c>
      <c r="G2487" s="1115" t="n">
        <v>66140</v>
      </c>
      <c r="H2487" s="1115" t="s">
        <v>3546</v>
      </c>
      <c r="I2487" s="1115" t="n">
        <v>64810</v>
      </c>
      <c r="J2487" s="1115" t="s">
        <v>889</v>
      </c>
    </row>
    <row r="2488" customFormat="false" ht="14.1" hidden="false" customHeight="true" outlineLevel="0" collapsed="false">
      <c r="A2488" s="1115" t="n">
        <v>64810</v>
      </c>
      <c r="B2488" s="1115" t="s">
        <v>165</v>
      </c>
      <c r="C2488" s="1115" t="n">
        <v>64810</v>
      </c>
      <c r="D2488" s="1115" t="s">
        <v>3515</v>
      </c>
      <c r="E2488" s="1115" t="s">
        <v>3547</v>
      </c>
      <c r="F2488" s="1115" t="n">
        <v>66540</v>
      </c>
      <c r="G2488" s="1115" t="n">
        <v>66150</v>
      </c>
      <c r="H2488" s="1115" t="s">
        <v>3511</v>
      </c>
      <c r="I2488" s="1115" t="n">
        <v>64820</v>
      </c>
      <c r="J2488" s="1115" t="s">
        <v>889</v>
      </c>
    </row>
    <row r="2489" customFormat="false" ht="14.1" hidden="false" customHeight="true" outlineLevel="0" collapsed="false">
      <c r="A2489" s="1115" t="n">
        <v>64810</v>
      </c>
      <c r="B2489" s="1115" t="s">
        <v>165</v>
      </c>
      <c r="C2489" s="1115" t="n">
        <v>64810</v>
      </c>
      <c r="D2489" s="1115" t="s">
        <v>3515</v>
      </c>
      <c r="E2489" s="1115" t="s">
        <v>3418</v>
      </c>
      <c r="F2489" s="1115" t="n">
        <v>62395</v>
      </c>
      <c r="G2489" s="1115" t="n">
        <v>66160</v>
      </c>
      <c r="H2489" s="1115" t="s">
        <v>3084</v>
      </c>
      <c r="I2489" s="1115" t="n">
        <v>64830</v>
      </c>
      <c r="J2489" s="1115" t="s">
        <v>889</v>
      </c>
    </row>
    <row r="2490" customFormat="false" ht="14.1" hidden="false" customHeight="true" outlineLevel="0" collapsed="false">
      <c r="A2490" s="1115" t="n">
        <v>64820</v>
      </c>
      <c r="B2490" s="1115" t="s">
        <v>165</v>
      </c>
      <c r="C2490" s="1115" t="n">
        <v>64820</v>
      </c>
      <c r="D2490" s="1115" t="s">
        <v>2808</v>
      </c>
      <c r="E2490" s="1115" t="s">
        <v>3418</v>
      </c>
      <c r="F2490" s="1115" t="n">
        <v>62395</v>
      </c>
      <c r="G2490" s="1115" t="n">
        <v>66200</v>
      </c>
      <c r="H2490" s="1115" t="s">
        <v>1102</v>
      </c>
      <c r="I2490" s="1115" t="n">
        <v>64840</v>
      </c>
      <c r="J2490" s="1115" t="s">
        <v>889</v>
      </c>
    </row>
    <row r="2491" customFormat="false" ht="14.1" hidden="false" customHeight="true" outlineLevel="0" collapsed="false">
      <c r="A2491" s="1115" t="n">
        <v>64830</v>
      </c>
      <c r="B2491" s="1115" t="s">
        <v>165</v>
      </c>
      <c r="C2491" s="1115" t="n">
        <v>64830</v>
      </c>
      <c r="D2491" s="1115" t="s">
        <v>3518</v>
      </c>
      <c r="E2491" s="1115" t="s">
        <v>3214</v>
      </c>
      <c r="F2491" s="1115" t="n">
        <v>54950</v>
      </c>
      <c r="G2491" s="1115" t="n">
        <v>66210</v>
      </c>
      <c r="H2491" s="1115" t="s">
        <v>3207</v>
      </c>
      <c r="I2491" s="1115" t="n">
        <v>64850</v>
      </c>
      <c r="J2491" s="1115" t="s">
        <v>889</v>
      </c>
    </row>
    <row r="2492" customFormat="false" ht="14.1" hidden="false" customHeight="true" outlineLevel="0" collapsed="false">
      <c r="A2492" s="1115" t="n">
        <v>64840</v>
      </c>
      <c r="B2492" s="1115" t="s">
        <v>165</v>
      </c>
      <c r="C2492" s="1115" t="n">
        <v>64840</v>
      </c>
      <c r="D2492" s="1115" t="s">
        <v>1503</v>
      </c>
      <c r="E2492" s="1115" t="s">
        <v>3548</v>
      </c>
      <c r="F2492" s="1115" t="n">
        <v>97160</v>
      </c>
      <c r="G2492" s="1115" t="n">
        <v>66220</v>
      </c>
      <c r="H2492" s="1115" t="s">
        <v>980</v>
      </c>
      <c r="I2492" s="1115" t="n">
        <v>64900</v>
      </c>
      <c r="J2492" s="1115" t="s">
        <v>889</v>
      </c>
    </row>
    <row r="2493" customFormat="false" ht="14.1" hidden="false" customHeight="true" outlineLevel="0" collapsed="false">
      <c r="A2493" s="1115" t="n">
        <v>64850</v>
      </c>
      <c r="B2493" s="1115" t="s">
        <v>165</v>
      </c>
      <c r="C2493" s="1115" t="n">
        <v>64850</v>
      </c>
      <c r="D2493" s="1115" t="s">
        <v>3275</v>
      </c>
      <c r="E2493" s="1115" t="s">
        <v>3549</v>
      </c>
      <c r="F2493" s="1115" t="n">
        <v>75930</v>
      </c>
      <c r="G2493" s="1115" t="n">
        <v>66230</v>
      </c>
      <c r="H2493" s="1115" t="s">
        <v>2570</v>
      </c>
      <c r="I2493" s="1115" t="n">
        <v>64930</v>
      </c>
      <c r="J2493" s="1115" t="s">
        <v>889</v>
      </c>
    </row>
    <row r="2494" customFormat="false" ht="14.1" hidden="false" customHeight="true" outlineLevel="0" collapsed="false">
      <c r="A2494" s="1115" t="n">
        <v>64900</v>
      </c>
      <c r="B2494" s="1115" t="s">
        <v>165</v>
      </c>
      <c r="C2494" s="1115" t="n">
        <v>64900</v>
      </c>
      <c r="D2494" s="1115" t="s">
        <v>889</v>
      </c>
      <c r="E2494" s="1115" t="s">
        <v>3550</v>
      </c>
      <c r="F2494" s="1115" t="n">
        <v>97770</v>
      </c>
      <c r="G2494" s="1115" t="n">
        <v>66240</v>
      </c>
      <c r="H2494" s="1115" t="s">
        <v>3541</v>
      </c>
      <c r="I2494" s="1115" t="n">
        <v>65007</v>
      </c>
      <c r="J2494" s="1115" t="s">
        <v>165</v>
      </c>
    </row>
    <row r="2495" customFormat="false" ht="14.1" hidden="false" customHeight="true" outlineLevel="0" collapsed="false">
      <c r="A2495" s="1115" t="n">
        <v>64930</v>
      </c>
      <c r="B2495" s="1115" t="s">
        <v>165</v>
      </c>
      <c r="C2495" s="1115" t="n">
        <v>64930</v>
      </c>
      <c r="D2495" s="1115" t="s">
        <v>2461</v>
      </c>
      <c r="E2495" s="1115" t="s">
        <v>3551</v>
      </c>
      <c r="F2495" s="1115" t="n">
        <v>72980</v>
      </c>
      <c r="G2495" s="1115" t="n">
        <v>66250</v>
      </c>
      <c r="H2495" s="1115" t="s">
        <v>3371</v>
      </c>
      <c r="I2495" s="1115" t="n">
        <v>65100</v>
      </c>
      <c r="J2495" s="1115" t="s">
        <v>165</v>
      </c>
    </row>
    <row r="2496" customFormat="false" ht="14.1" hidden="false" customHeight="true" outlineLevel="0" collapsed="false">
      <c r="A2496" s="1115" t="n">
        <v>65007</v>
      </c>
      <c r="B2496" s="1115" t="s">
        <v>165</v>
      </c>
      <c r="C2496" s="1115" t="n">
        <v>65007</v>
      </c>
      <c r="D2496" s="1115" t="s">
        <v>165</v>
      </c>
      <c r="E2496" s="1115" t="s">
        <v>3552</v>
      </c>
      <c r="F2496" s="1115" t="n">
        <v>74460</v>
      </c>
      <c r="G2496" s="1115" t="n">
        <v>66260</v>
      </c>
      <c r="H2496" s="1115" t="s">
        <v>3553</v>
      </c>
      <c r="I2496" s="1115" t="n">
        <v>65120</v>
      </c>
      <c r="J2496" s="1115" t="s">
        <v>165</v>
      </c>
    </row>
    <row r="2497" customFormat="false" ht="14.1" hidden="false" customHeight="true" outlineLevel="0" collapsed="false">
      <c r="A2497" s="1115" t="n">
        <v>65100</v>
      </c>
      <c r="B2497" s="1115" t="s">
        <v>165</v>
      </c>
      <c r="C2497" s="1115" t="n">
        <v>65100</v>
      </c>
      <c r="D2497" s="1115" t="s">
        <v>165</v>
      </c>
      <c r="E2497" s="1115" t="s">
        <v>3077</v>
      </c>
      <c r="F2497" s="1115" t="n">
        <v>51480</v>
      </c>
      <c r="G2497" s="1115" t="n">
        <v>66275</v>
      </c>
      <c r="H2497" s="1115" t="s">
        <v>3554</v>
      </c>
      <c r="I2497" s="1115" t="n">
        <v>65130</v>
      </c>
      <c r="J2497" s="1115" t="s">
        <v>165</v>
      </c>
    </row>
    <row r="2498" customFormat="false" ht="14.1" hidden="false" customHeight="true" outlineLevel="0" collapsed="false">
      <c r="A2498" s="1115" t="n">
        <v>65120</v>
      </c>
      <c r="B2498" s="1115" t="s">
        <v>165</v>
      </c>
      <c r="C2498" s="1115" t="n">
        <v>65120</v>
      </c>
      <c r="D2498" s="1115" t="s">
        <v>165</v>
      </c>
      <c r="E2498" s="1115" t="s">
        <v>3555</v>
      </c>
      <c r="F2498" s="1115" t="n">
        <v>86210</v>
      </c>
      <c r="G2498" s="1115" t="n">
        <v>66290</v>
      </c>
      <c r="H2498" s="1115" t="s">
        <v>1433</v>
      </c>
      <c r="I2498" s="1115" t="n">
        <v>65140</v>
      </c>
      <c r="J2498" s="1115" t="s">
        <v>165</v>
      </c>
    </row>
    <row r="2499" customFormat="false" ht="14.1" hidden="false" customHeight="true" outlineLevel="0" collapsed="false">
      <c r="A2499" s="1115" t="n">
        <v>65130</v>
      </c>
      <c r="B2499" s="1115" t="s">
        <v>165</v>
      </c>
      <c r="C2499" s="1115" t="n">
        <v>65130</v>
      </c>
      <c r="D2499" s="1115" t="s">
        <v>165</v>
      </c>
      <c r="E2499" s="1115" t="s">
        <v>1338</v>
      </c>
      <c r="F2499" s="1115" t="n">
        <v>41900</v>
      </c>
      <c r="G2499" s="1115" t="n">
        <v>66295</v>
      </c>
      <c r="H2499" s="1115" t="s">
        <v>3556</v>
      </c>
      <c r="I2499" s="1115" t="n">
        <v>65170</v>
      </c>
      <c r="J2499" s="1115" t="s">
        <v>165</v>
      </c>
    </row>
    <row r="2500" customFormat="false" ht="14.1" hidden="false" customHeight="true" outlineLevel="0" collapsed="false">
      <c r="A2500" s="1115" t="n">
        <v>65140</v>
      </c>
      <c r="B2500" s="1115" t="s">
        <v>165</v>
      </c>
      <c r="C2500" s="1115" t="n">
        <v>65140</v>
      </c>
      <c r="D2500" s="1115" t="s">
        <v>165</v>
      </c>
      <c r="E2500" s="1115" t="s">
        <v>3557</v>
      </c>
      <c r="F2500" s="1115" t="n">
        <v>74480</v>
      </c>
      <c r="G2500" s="1115" t="n">
        <v>66300</v>
      </c>
      <c r="H2500" s="1115" t="s">
        <v>922</v>
      </c>
      <c r="I2500" s="1115" t="n">
        <v>65200</v>
      </c>
      <c r="J2500" s="1115" t="s">
        <v>165</v>
      </c>
    </row>
    <row r="2501" customFormat="false" ht="14.1" hidden="false" customHeight="true" outlineLevel="0" collapsed="false">
      <c r="A2501" s="1115" t="n">
        <v>65170</v>
      </c>
      <c r="B2501" s="1115" t="s">
        <v>165</v>
      </c>
      <c r="C2501" s="1115" t="n">
        <v>65170</v>
      </c>
      <c r="D2501" s="1115" t="s">
        <v>165</v>
      </c>
      <c r="E2501" s="1115" t="s">
        <v>3558</v>
      </c>
      <c r="F2501" s="1115" t="n">
        <v>95350</v>
      </c>
      <c r="G2501" s="1115" t="n">
        <v>66320</v>
      </c>
      <c r="H2501" s="1115" t="s">
        <v>3315</v>
      </c>
      <c r="I2501" s="1115" t="n">
        <v>65210</v>
      </c>
      <c r="J2501" s="1115" t="s">
        <v>165</v>
      </c>
    </row>
    <row r="2502" customFormat="false" ht="14.1" hidden="false" customHeight="true" outlineLevel="0" collapsed="false">
      <c r="A2502" s="1115" t="n">
        <v>65200</v>
      </c>
      <c r="B2502" s="1115" t="s">
        <v>165</v>
      </c>
      <c r="C2502" s="1115" t="n">
        <v>65200</v>
      </c>
      <c r="D2502" s="1115" t="s">
        <v>165</v>
      </c>
      <c r="E2502" s="1115" t="s">
        <v>3559</v>
      </c>
      <c r="F2502" s="1115" t="n">
        <v>92220</v>
      </c>
      <c r="G2502" s="1115" t="n">
        <v>66330</v>
      </c>
      <c r="H2502" s="1115" t="s">
        <v>1321</v>
      </c>
      <c r="I2502" s="1115" t="n">
        <v>65220</v>
      </c>
      <c r="J2502" s="1115" t="s">
        <v>165</v>
      </c>
    </row>
    <row r="2503" customFormat="false" ht="14.1" hidden="false" customHeight="true" outlineLevel="0" collapsed="false">
      <c r="A2503" s="1115" t="n">
        <v>65210</v>
      </c>
      <c r="B2503" s="1115" t="s">
        <v>165</v>
      </c>
      <c r="C2503" s="1115" t="n">
        <v>65210</v>
      </c>
      <c r="D2503" s="1115" t="s">
        <v>165</v>
      </c>
      <c r="E2503" s="1115" t="s">
        <v>3560</v>
      </c>
      <c r="F2503" s="1115" t="n">
        <v>73440</v>
      </c>
      <c r="G2503" s="1115" t="n">
        <v>66340</v>
      </c>
      <c r="H2503" s="1115" t="s">
        <v>3561</v>
      </c>
      <c r="I2503" s="1115" t="n">
        <v>65230</v>
      </c>
      <c r="J2503" s="1115" t="s">
        <v>165</v>
      </c>
    </row>
    <row r="2504" customFormat="false" ht="14.1" hidden="false" customHeight="true" outlineLevel="0" collapsed="false">
      <c r="A2504" s="1115" t="n">
        <v>65220</v>
      </c>
      <c r="B2504" s="1115" t="s">
        <v>165</v>
      </c>
      <c r="C2504" s="1115" t="n">
        <v>65220</v>
      </c>
      <c r="D2504" s="1115" t="s">
        <v>165</v>
      </c>
      <c r="E2504" s="1115" t="s">
        <v>3562</v>
      </c>
      <c r="F2504" s="1115" t="n">
        <v>76100</v>
      </c>
      <c r="G2504" s="1115" t="n">
        <v>66350</v>
      </c>
      <c r="H2504" s="1115" t="s">
        <v>3563</v>
      </c>
      <c r="I2504" s="1115" t="n">
        <v>65250</v>
      </c>
      <c r="J2504" s="1115" t="s">
        <v>165</v>
      </c>
    </row>
    <row r="2505" customFormat="false" ht="14.1" hidden="false" customHeight="true" outlineLevel="0" collapsed="false">
      <c r="A2505" s="1115" t="n">
        <v>65230</v>
      </c>
      <c r="B2505" s="1115" t="s">
        <v>165</v>
      </c>
      <c r="C2505" s="1115" t="n">
        <v>65230</v>
      </c>
      <c r="D2505" s="1115" t="s">
        <v>165</v>
      </c>
      <c r="E2505" s="1115" t="s">
        <v>3562</v>
      </c>
      <c r="F2505" s="1115" t="n">
        <v>76120</v>
      </c>
      <c r="G2505" s="1115" t="n">
        <v>66360</v>
      </c>
      <c r="H2505" s="1115" t="s">
        <v>2392</v>
      </c>
      <c r="I2505" s="1115" t="n">
        <v>65280</v>
      </c>
      <c r="J2505" s="1115" t="s">
        <v>165</v>
      </c>
    </row>
    <row r="2506" customFormat="false" ht="14.1" hidden="false" customHeight="true" outlineLevel="0" collapsed="false">
      <c r="A2506" s="1115" t="n">
        <v>65250</v>
      </c>
      <c r="B2506" s="1115" t="s">
        <v>165</v>
      </c>
      <c r="C2506" s="1115" t="n">
        <v>65250</v>
      </c>
      <c r="D2506" s="1115" t="s">
        <v>165</v>
      </c>
      <c r="E2506" s="1115" t="s">
        <v>3562</v>
      </c>
      <c r="F2506" s="1115" t="n">
        <v>76130</v>
      </c>
      <c r="G2506" s="1115" t="n">
        <v>66370</v>
      </c>
      <c r="H2506" s="1115" t="s">
        <v>3378</v>
      </c>
      <c r="I2506" s="1115" t="n">
        <v>65290</v>
      </c>
      <c r="J2506" s="1115" t="s">
        <v>165</v>
      </c>
    </row>
    <row r="2507" customFormat="false" ht="14.1" hidden="false" customHeight="true" outlineLevel="0" collapsed="false">
      <c r="A2507" s="1115" t="n">
        <v>65280</v>
      </c>
      <c r="B2507" s="1115" t="s">
        <v>165</v>
      </c>
      <c r="C2507" s="1115" t="n">
        <v>65280</v>
      </c>
      <c r="D2507" s="1115" t="s">
        <v>165</v>
      </c>
      <c r="E2507" s="1115" t="s">
        <v>3562</v>
      </c>
      <c r="F2507" s="1115" t="n">
        <v>76140</v>
      </c>
      <c r="G2507" s="1115" t="n">
        <v>66400</v>
      </c>
      <c r="H2507" s="1115" t="s">
        <v>1147</v>
      </c>
      <c r="I2507" s="1115" t="n">
        <v>65300</v>
      </c>
      <c r="J2507" s="1115" t="s">
        <v>165</v>
      </c>
    </row>
    <row r="2508" customFormat="false" ht="14.1" hidden="false" customHeight="true" outlineLevel="0" collapsed="false">
      <c r="A2508" s="1115" t="n">
        <v>65290</v>
      </c>
      <c r="B2508" s="1115" t="s">
        <v>165</v>
      </c>
      <c r="C2508" s="1115" t="n">
        <v>65290</v>
      </c>
      <c r="D2508" s="1115" t="s">
        <v>165</v>
      </c>
      <c r="E2508" s="1115" t="s">
        <v>3562</v>
      </c>
      <c r="F2508" s="1115" t="n">
        <v>76150</v>
      </c>
      <c r="G2508" s="1115" t="n">
        <v>66410</v>
      </c>
      <c r="H2508" s="1115" t="s">
        <v>1147</v>
      </c>
      <c r="I2508" s="1115" t="n">
        <v>65320</v>
      </c>
      <c r="J2508" s="1115" t="s">
        <v>165</v>
      </c>
    </row>
    <row r="2509" customFormat="false" ht="14.1" hidden="false" customHeight="true" outlineLevel="0" collapsed="false">
      <c r="A2509" s="1115" t="n">
        <v>65300</v>
      </c>
      <c r="B2509" s="1115" t="s">
        <v>165</v>
      </c>
      <c r="C2509" s="1115" t="n">
        <v>65300</v>
      </c>
      <c r="D2509" s="1115" t="s">
        <v>165</v>
      </c>
      <c r="E2509" s="1115" t="s">
        <v>3564</v>
      </c>
      <c r="F2509" s="1115" t="n">
        <v>73410</v>
      </c>
      <c r="G2509" s="1115" t="n">
        <v>66420</v>
      </c>
      <c r="H2509" s="1115" t="s">
        <v>3565</v>
      </c>
      <c r="I2509" s="1115" t="n">
        <v>65350</v>
      </c>
      <c r="J2509" s="1115" t="s">
        <v>165</v>
      </c>
    </row>
    <row r="2510" customFormat="false" ht="14.1" hidden="false" customHeight="true" outlineLevel="0" collapsed="false">
      <c r="A2510" s="1115" t="n">
        <v>65320</v>
      </c>
      <c r="B2510" s="1115" t="s">
        <v>165</v>
      </c>
      <c r="C2510" s="1115" t="n">
        <v>65320</v>
      </c>
      <c r="D2510" s="1115" t="s">
        <v>165</v>
      </c>
      <c r="E2510" s="1115" t="s">
        <v>1342</v>
      </c>
      <c r="F2510" s="1115" t="n">
        <v>72400</v>
      </c>
      <c r="G2510" s="1115" t="n">
        <v>66430</v>
      </c>
      <c r="H2510" s="1115" t="s">
        <v>3566</v>
      </c>
      <c r="I2510" s="1115" t="n">
        <v>65360</v>
      </c>
      <c r="J2510" s="1115" t="s">
        <v>165</v>
      </c>
    </row>
    <row r="2511" customFormat="false" ht="14.1" hidden="false" customHeight="true" outlineLevel="0" collapsed="false">
      <c r="A2511" s="1115" t="n">
        <v>65350</v>
      </c>
      <c r="B2511" s="1115" t="s">
        <v>165</v>
      </c>
      <c r="C2511" s="1115" t="n">
        <v>65350</v>
      </c>
      <c r="D2511" s="1115" t="s">
        <v>165</v>
      </c>
      <c r="E2511" s="1115" t="s">
        <v>3295</v>
      </c>
      <c r="F2511" s="1115" t="n">
        <v>58530</v>
      </c>
      <c r="G2511" s="1115" t="n">
        <v>66440</v>
      </c>
      <c r="H2511" s="1115" t="s">
        <v>3567</v>
      </c>
      <c r="I2511" s="1115" t="n">
        <v>65370</v>
      </c>
      <c r="J2511" s="1115" t="s">
        <v>165</v>
      </c>
    </row>
    <row r="2512" customFormat="false" ht="14.1" hidden="false" customHeight="true" outlineLevel="0" collapsed="false">
      <c r="A2512" s="1115" t="n">
        <v>65360</v>
      </c>
      <c r="B2512" s="1115" t="s">
        <v>165</v>
      </c>
      <c r="C2512" s="1115" t="n">
        <v>65360</v>
      </c>
      <c r="D2512" s="1115" t="s">
        <v>165</v>
      </c>
      <c r="E2512" s="1115" t="s">
        <v>3568</v>
      </c>
      <c r="F2512" s="1115" t="n">
        <v>72350</v>
      </c>
      <c r="G2512" s="1115" t="n">
        <v>66450</v>
      </c>
      <c r="H2512" s="1115" t="s">
        <v>1987</v>
      </c>
      <c r="I2512" s="1115" t="n">
        <v>65380</v>
      </c>
      <c r="J2512" s="1115" t="s">
        <v>165</v>
      </c>
    </row>
    <row r="2513" customFormat="false" ht="14.1" hidden="false" customHeight="true" outlineLevel="0" collapsed="false">
      <c r="A2513" s="1115" t="n">
        <v>65370</v>
      </c>
      <c r="B2513" s="1115" t="s">
        <v>165</v>
      </c>
      <c r="C2513" s="1115" t="n">
        <v>65370</v>
      </c>
      <c r="D2513" s="1115" t="s">
        <v>165</v>
      </c>
      <c r="E2513" s="1115" t="s">
        <v>2815</v>
      </c>
      <c r="F2513" s="1115" t="n">
        <v>41950</v>
      </c>
      <c r="G2513" s="1115" t="n">
        <v>66460</v>
      </c>
      <c r="H2513" s="1115" t="s">
        <v>1270</v>
      </c>
      <c r="I2513" s="1115" t="n">
        <v>65390</v>
      </c>
      <c r="J2513" s="1115" t="s">
        <v>165</v>
      </c>
    </row>
    <row r="2514" customFormat="false" ht="14.1" hidden="false" customHeight="true" outlineLevel="0" collapsed="false">
      <c r="A2514" s="1115" t="n">
        <v>65380</v>
      </c>
      <c r="B2514" s="1115" t="s">
        <v>165</v>
      </c>
      <c r="C2514" s="1115" t="n">
        <v>65380</v>
      </c>
      <c r="D2514" s="1115" t="s">
        <v>165</v>
      </c>
      <c r="E2514" s="1115" t="s">
        <v>1344</v>
      </c>
      <c r="F2514" s="1115" t="n">
        <v>68600</v>
      </c>
      <c r="G2514" s="1115" t="n">
        <v>66470</v>
      </c>
      <c r="H2514" s="1115" t="s">
        <v>2033</v>
      </c>
      <c r="I2514" s="1115" t="n">
        <v>65410</v>
      </c>
      <c r="J2514" s="1115" t="s">
        <v>165</v>
      </c>
    </row>
    <row r="2515" customFormat="false" ht="14.1" hidden="false" customHeight="true" outlineLevel="0" collapsed="false">
      <c r="A2515" s="1115" t="n">
        <v>65390</v>
      </c>
      <c r="B2515" s="1115" t="s">
        <v>165</v>
      </c>
      <c r="C2515" s="1115" t="n">
        <v>65390</v>
      </c>
      <c r="D2515" s="1115" t="s">
        <v>165</v>
      </c>
      <c r="E2515" s="1115" t="s">
        <v>1344</v>
      </c>
      <c r="F2515" s="1115" t="n">
        <v>68620</v>
      </c>
      <c r="G2515" s="1115" t="n">
        <v>66480</v>
      </c>
      <c r="H2515" s="1115" t="s">
        <v>2017</v>
      </c>
      <c r="I2515" s="1115" t="n">
        <v>65430</v>
      </c>
      <c r="J2515" s="1115" t="s">
        <v>165</v>
      </c>
    </row>
    <row r="2516" customFormat="false" ht="14.1" hidden="false" customHeight="true" outlineLevel="0" collapsed="false">
      <c r="A2516" s="1115" t="n">
        <v>65410</v>
      </c>
      <c r="B2516" s="1115" t="s">
        <v>165</v>
      </c>
      <c r="C2516" s="1115" t="n">
        <v>65410</v>
      </c>
      <c r="D2516" s="1115" t="s">
        <v>3526</v>
      </c>
      <c r="E2516" s="1115" t="s">
        <v>1344</v>
      </c>
      <c r="F2516" s="1115" t="n">
        <v>68630</v>
      </c>
      <c r="G2516" s="1115" t="n">
        <v>66490</v>
      </c>
      <c r="H2516" s="1115" t="s">
        <v>2021</v>
      </c>
      <c r="I2516" s="1115" t="n">
        <v>65450</v>
      </c>
      <c r="J2516" s="1115" t="s">
        <v>1243</v>
      </c>
    </row>
    <row r="2517" customFormat="false" ht="14.1" hidden="false" customHeight="true" outlineLevel="0" collapsed="false">
      <c r="A2517" s="1115" t="n">
        <v>65430</v>
      </c>
      <c r="B2517" s="1115" t="s">
        <v>165</v>
      </c>
      <c r="C2517" s="1115" t="n">
        <v>65430</v>
      </c>
      <c r="D2517" s="1115" t="s">
        <v>2645</v>
      </c>
      <c r="E2517" s="1115" t="s">
        <v>1344</v>
      </c>
      <c r="F2517" s="1115" t="n">
        <v>68660</v>
      </c>
      <c r="G2517" s="1115" t="n">
        <v>66500</v>
      </c>
      <c r="H2517" s="1115" t="s">
        <v>1629</v>
      </c>
      <c r="I2517" s="1115" t="n">
        <v>65460</v>
      </c>
      <c r="J2517" s="1115" t="s">
        <v>1243</v>
      </c>
    </row>
    <row r="2518" customFormat="false" ht="14.1" hidden="false" customHeight="true" outlineLevel="0" collapsed="false">
      <c r="A2518" s="1115" t="n">
        <v>65450</v>
      </c>
      <c r="B2518" s="1115" t="s">
        <v>165</v>
      </c>
      <c r="C2518" s="1115" t="n">
        <v>65450</v>
      </c>
      <c r="D2518" s="1115" t="s">
        <v>3527</v>
      </c>
      <c r="E2518" s="1115" t="s">
        <v>1798</v>
      </c>
      <c r="F2518" s="1115" t="n">
        <v>17220</v>
      </c>
      <c r="G2518" s="1115" t="n">
        <v>66510</v>
      </c>
      <c r="H2518" s="1115" t="s">
        <v>3168</v>
      </c>
      <c r="I2518" s="1115" t="n">
        <v>65470</v>
      </c>
      <c r="J2518" s="1115" t="s">
        <v>1243</v>
      </c>
    </row>
    <row r="2519" customFormat="false" ht="14.1" hidden="false" customHeight="true" outlineLevel="0" collapsed="false">
      <c r="A2519" s="1115" t="n">
        <v>65460</v>
      </c>
      <c r="B2519" s="1115" t="s">
        <v>165</v>
      </c>
      <c r="C2519" s="1115" t="n">
        <v>65460</v>
      </c>
      <c r="D2519" s="1115" t="s">
        <v>3529</v>
      </c>
      <c r="E2519" s="1115" t="s">
        <v>3569</v>
      </c>
      <c r="F2519" s="1115" t="n">
        <v>92760</v>
      </c>
      <c r="G2519" s="1115" t="n">
        <v>66520</v>
      </c>
      <c r="H2519" s="1115" t="s">
        <v>3570</v>
      </c>
      <c r="I2519" s="1115" t="n">
        <v>65480</v>
      </c>
      <c r="J2519" s="1115" t="s">
        <v>1243</v>
      </c>
    </row>
    <row r="2520" customFormat="false" ht="14.1" hidden="false" customHeight="true" outlineLevel="0" collapsed="false">
      <c r="A2520" s="1115" t="n">
        <v>65470</v>
      </c>
      <c r="B2520" s="1115" t="s">
        <v>165</v>
      </c>
      <c r="C2520" s="1115" t="n">
        <v>65470</v>
      </c>
      <c r="D2520" s="1115" t="s">
        <v>3531</v>
      </c>
      <c r="E2520" s="1115" t="s">
        <v>2532</v>
      </c>
      <c r="F2520" s="1115" t="n">
        <v>35610</v>
      </c>
      <c r="G2520" s="1115" t="n">
        <v>66530</v>
      </c>
      <c r="H2520" s="1115" t="s">
        <v>2486</v>
      </c>
      <c r="I2520" s="1115" t="n">
        <v>65520</v>
      </c>
      <c r="J2520" s="1115" t="s">
        <v>1243</v>
      </c>
    </row>
    <row r="2521" customFormat="false" ht="14.1" hidden="false" customHeight="true" outlineLevel="0" collapsed="false">
      <c r="A2521" s="1115" t="n">
        <v>65480</v>
      </c>
      <c r="B2521" s="1115" t="s">
        <v>165</v>
      </c>
      <c r="C2521" s="1115" t="n">
        <v>65480</v>
      </c>
      <c r="D2521" s="1115" t="s">
        <v>3532</v>
      </c>
      <c r="E2521" s="1115" t="s">
        <v>1831</v>
      </c>
      <c r="F2521" s="1115" t="n">
        <v>17850</v>
      </c>
      <c r="G2521" s="1115" t="n">
        <v>66540</v>
      </c>
      <c r="H2521" s="1115" t="s">
        <v>3547</v>
      </c>
      <c r="I2521" s="1115" t="n">
        <v>65540</v>
      </c>
      <c r="J2521" s="1115" t="s">
        <v>1243</v>
      </c>
    </row>
    <row r="2522" customFormat="false" ht="14.1" hidden="false" customHeight="true" outlineLevel="0" collapsed="false">
      <c r="A2522" s="1115" t="n">
        <v>65520</v>
      </c>
      <c r="B2522" s="1115" t="s">
        <v>165</v>
      </c>
      <c r="C2522" s="1115" t="n">
        <v>65520</v>
      </c>
      <c r="D2522" s="1115" t="s">
        <v>1561</v>
      </c>
      <c r="E2522" s="1115" t="s">
        <v>3319</v>
      </c>
      <c r="F2522" s="1115" t="n">
        <v>58770</v>
      </c>
      <c r="G2522" s="1115" t="n">
        <v>66550</v>
      </c>
      <c r="H2522" s="1115" t="s">
        <v>3571</v>
      </c>
      <c r="I2522" s="1115" t="n">
        <v>65610</v>
      </c>
      <c r="J2522" s="1115" t="s">
        <v>1243</v>
      </c>
    </row>
    <row r="2523" customFormat="false" ht="14.1" hidden="false" customHeight="true" outlineLevel="0" collapsed="false">
      <c r="A2523" s="1115" t="n">
        <v>65540</v>
      </c>
      <c r="B2523" s="1115" t="s">
        <v>165</v>
      </c>
      <c r="C2523" s="1115" t="n">
        <v>65540</v>
      </c>
      <c r="D2523" s="1115" t="s">
        <v>3533</v>
      </c>
      <c r="E2523" s="1115" t="s">
        <v>3278</v>
      </c>
      <c r="F2523" s="1115" t="n">
        <v>58340</v>
      </c>
      <c r="G2523" s="1115" t="n">
        <v>66560</v>
      </c>
      <c r="H2523" s="1115" t="s">
        <v>3572</v>
      </c>
      <c r="I2523" s="1115" t="n">
        <v>65630</v>
      </c>
      <c r="J2523" s="1115" t="s">
        <v>1243</v>
      </c>
    </row>
    <row r="2524" customFormat="false" ht="14.1" hidden="false" customHeight="true" outlineLevel="0" collapsed="false">
      <c r="A2524" s="1115" t="n">
        <v>65610</v>
      </c>
      <c r="B2524" s="1115" t="s">
        <v>165</v>
      </c>
      <c r="C2524" s="1115" t="n">
        <v>65610</v>
      </c>
      <c r="D2524" s="1115" t="s">
        <v>3534</v>
      </c>
      <c r="E2524" s="1115" t="s">
        <v>2850</v>
      </c>
      <c r="F2524" s="1115" t="n">
        <v>42910</v>
      </c>
      <c r="G2524" s="1115" t="n">
        <v>66570</v>
      </c>
      <c r="H2524" s="1115" t="s">
        <v>3573</v>
      </c>
      <c r="I2524" s="1115" t="n">
        <v>65650</v>
      </c>
      <c r="J2524" s="1115" t="s">
        <v>1243</v>
      </c>
    </row>
    <row r="2525" customFormat="false" ht="14.1" hidden="false" customHeight="true" outlineLevel="0" collapsed="false">
      <c r="A2525" s="1115" t="n">
        <v>65630</v>
      </c>
      <c r="B2525" s="1115" t="s">
        <v>165</v>
      </c>
      <c r="C2525" s="1115" t="n">
        <v>65630</v>
      </c>
      <c r="D2525" s="1115" t="s">
        <v>2268</v>
      </c>
      <c r="E2525" s="1115" t="s">
        <v>2850</v>
      </c>
      <c r="F2525" s="1115" t="n">
        <v>42920</v>
      </c>
      <c r="G2525" s="1115" t="n">
        <v>66580</v>
      </c>
      <c r="H2525" s="1115" t="s">
        <v>2699</v>
      </c>
      <c r="I2525" s="1115" t="n">
        <v>65710</v>
      </c>
      <c r="J2525" s="1115" t="s">
        <v>1243</v>
      </c>
    </row>
    <row r="2526" customFormat="false" ht="14.1" hidden="false" customHeight="true" outlineLevel="0" collapsed="false">
      <c r="A2526" s="1115" t="n">
        <v>65650</v>
      </c>
      <c r="B2526" s="1115" t="s">
        <v>165</v>
      </c>
      <c r="C2526" s="1115" t="n">
        <v>65650</v>
      </c>
      <c r="D2526" s="1115" t="s">
        <v>2601</v>
      </c>
      <c r="E2526" s="1115" t="s">
        <v>1346</v>
      </c>
      <c r="F2526" s="1115" t="n">
        <v>44800</v>
      </c>
      <c r="G2526" s="1115" t="n">
        <v>66590</v>
      </c>
      <c r="H2526" s="1115" t="s">
        <v>3574</v>
      </c>
      <c r="I2526" s="1115" t="n">
        <v>65730</v>
      </c>
      <c r="J2526" s="1115" t="s">
        <v>1243</v>
      </c>
    </row>
    <row r="2527" customFormat="false" ht="14.1" hidden="false" customHeight="true" outlineLevel="0" collapsed="false">
      <c r="A2527" s="1115" t="n">
        <v>65710</v>
      </c>
      <c r="B2527" s="1115" t="s">
        <v>165</v>
      </c>
      <c r="C2527" s="1115" t="n">
        <v>65710</v>
      </c>
      <c r="D2527" s="1115" t="s">
        <v>3536</v>
      </c>
      <c r="E2527" s="1115" t="s">
        <v>1349</v>
      </c>
      <c r="F2527" s="1115" t="n">
        <v>21500</v>
      </c>
      <c r="G2527" s="1115" t="n">
        <v>66600</v>
      </c>
      <c r="H2527" s="1115" t="s">
        <v>1632</v>
      </c>
      <c r="I2527" s="1115" t="n">
        <v>65760</v>
      </c>
      <c r="J2527" s="1115" t="s">
        <v>1243</v>
      </c>
    </row>
    <row r="2528" customFormat="false" ht="14.1" hidden="false" customHeight="true" outlineLevel="0" collapsed="false">
      <c r="A2528" s="1115" t="n">
        <v>65730</v>
      </c>
      <c r="B2528" s="1115" t="s">
        <v>165</v>
      </c>
      <c r="C2528" s="1115" t="n">
        <v>65730</v>
      </c>
      <c r="D2528" s="1115" t="s">
        <v>2042</v>
      </c>
      <c r="E2528" s="1115" t="s">
        <v>2848</v>
      </c>
      <c r="F2528" s="1115" t="n">
        <v>42880</v>
      </c>
      <c r="G2528" s="1115" t="n">
        <v>66610</v>
      </c>
      <c r="H2528" s="1115" t="s">
        <v>3575</v>
      </c>
      <c r="I2528" s="1115" t="n">
        <v>65780</v>
      </c>
      <c r="J2528" s="1115" t="s">
        <v>1243</v>
      </c>
    </row>
    <row r="2529" customFormat="false" ht="14.1" hidden="false" customHeight="true" outlineLevel="0" collapsed="false">
      <c r="A2529" s="1115" t="n">
        <v>65760</v>
      </c>
      <c r="B2529" s="1115" t="s">
        <v>165</v>
      </c>
      <c r="C2529" s="1115" t="n">
        <v>65760</v>
      </c>
      <c r="D2529" s="1115" t="s">
        <v>1951</v>
      </c>
      <c r="E2529" s="1115" t="s">
        <v>1351</v>
      </c>
      <c r="F2529" s="1115" t="n">
        <v>92620</v>
      </c>
      <c r="G2529" s="1115" t="n">
        <v>66620</v>
      </c>
      <c r="H2529" s="1115" t="s">
        <v>3033</v>
      </c>
      <c r="I2529" s="1115" t="n">
        <v>65800</v>
      </c>
      <c r="J2529" s="1115" t="s">
        <v>1243</v>
      </c>
    </row>
    <row r="2530" customFormat="false" ht="14.1" hidden="false" customHeight="true" outlineLevel="0" collapsed="false">
      <c r="A2530" s="1115" t="n">
        <v>65780</v>
      </c>
      <c r="B2530" s="1115" t="s">
        <v>165</v>
      </c>
      <c r="C2530" s="1115" t="n">
        <v>65780</v>
      </c>
      <c r="D2530" s="1115" t="s">
        <v>2830</v>
      </c>
      <c r="E2530" s="1115" t="s">
        <v>3576</v>
      </c>
      <c r="F2530" s="1115" t="n">
        <v>89760</v>
      </c>
      <c r="G2530" s="1115" t="n">
        <v>66630</v>
      </c>
      <c r="H2530" s="1115" t="s">
        <v>2809</v>
      </c>
      <c r="I2530" s="1115" t="n">
        <v>65870</v>
      </c>
      <c r="J2530" s="1115" t="s">
        <v>1243</v>
      </c>
    </row>
    <row r="2531" customFormat="false" ht="14.1" hidden="false" customHeight="true" outlineLevel="0" collapsed="false">
      <c r="A2531" s="1115" t="n">
        <v>65800</v>
      </c>
      <c r="B2531" s="1115" t="s">
        <v>165</v>
      </c>
      <c r="C2531" s="1115" t="n">
        <v>65800</v>
      </c>
      <c r="D2531" s="1115" t="s">
        <v>3537</v>
      </c>
      <c r="E2531" s="1115" t="s">
        <v>1921</v>
      </c>
      <c r="F2531" s="1115" t="n">
        <v>20760</v>
      </c>
      <c r="G2531" s="1115" t="n">
        <v>66640</v>
      </c>
      <c r="H2531" s="1115" t="s">
        <v>3114</v>
      </c>
      <c r="I2531" s="1115" t="n">
        <v>65920</v>
      </c>
      <c r="J2531" s="1115" t="s">
        <v>1243</v>
      </c>
    </row>
    <row r="2532" customFormat="false" ht="14.1" hidden="false" customHeight="true" outlineLevel="0" collapsed="false">
      <c r="A2532" s="1115" t="n">
        <v>65870</v>
      </c>
      <c r="B2532" s="1115" t="s">
        <v>165</v>
      </c>
      <c r="C2532" s="1115" t="n">
        <v>65870</v>
      </c>
      <c r="D2532" s="1115" t="s">
        <v>990</v>
      </c>
      <c r="E2532" s="1115" t="s">
        <v>3577</v>
      </c>
      <c r="F2532" s="1115" t="n">
        <v>95660</v>
      </c>
      <c r="G2532" s="1115" t="n">
        <v>66650</v>
      </c>
      <c r="H2532" s="1115" t="s">
        <v>3578</v>
      </c>
      <c r="I2532" s="1115" t="n">
        <v>65930</v>
      </c>
      <c r="J2532" s="1115" t="s">
        <v>1243</v>
      </c>
    </row>
    <row r="2533" customFormat="false" ht="14.1" hidden="false" customHeight="true" outlineLevel="0" collapsed="false">
      <c r="A2533" s="1115" t="n">
        <v>65920</v>
      </c>
      <c r="B2533" s="1115" t="s">
        <v>165</v>
      </c>
      <c r="C2533" s="1115" t="n">
        <v>65920</v>
      </c>
      <c r="D2533" s="1115" t="s">
        <v>3348</v>
      </c>
      <c r="E2533" s="1115" t="s">
        <v>1132</v>
      </c>
      <c r="F2533" s="1115" t="n">
        <v>2490</v>
      </c>
      <c r="G2533" s="1115" t="n">
        <v>66660</v>
      </c>
      <c r="H2533" s="1115" t="s">
        <v>984</v>
      </c>
      <c r="I2533" s="1115" t="n">
        <v>65950</v>
      </c>
      <c r="J2533" s="1115" t="s">
        <v>1243</v>
      </c>
    </row>
    <row r="2534" customFormat="false" ht="14.1" hidden="false" customHeight="true" outlineLevel="0" collapsed="false">
      <c r="A2534" s="1115" t="n">
        <v>65930</v>
      </c>
      <c r="B2534" s="1115" t="s">
        <v>165</v>
      </c>
      <c r="C2534" s="1115" t="n">
        <v>65930</v>
      </c>
      <c r="D2534" s="1115" t="s">
        <v>3540</v>
      </c>
      <c r="E2534" s="1115" t="s">
        <v>2555</v>
      </c>
      <c r="F2534" s="1115" t="n">
        <v>36280</v>
      </c>
      <c r="G2534" s="1115" t="n">
        <v>66670</v>
      </c>
      <c r="H2534" s="1115" t="s">
        <v>3579</v>
      </c>
      <c r="I2534" s="1115" t="n">
        <v>65970</v>
      </c>
      <c r="J2534" s="1115" t="s">
        <v>1243</v>
      </c>
    </row>
    <row r="2535" customFormat="false" ht="14.1" hidden="false" customHeight="true" outlineLevel="0" collapsed="false">
      <c r="A2535" s="1115" t="n">
        <v>65950</v>
      </c>
      <c r="B2535" s="1115" t="s">
        <v>165</v>
      </c>
      <c r="C2535" s="1115" t="n">
        <v>65950</v>
      </c>
      <c r="D2535" s="1115" t="s">
        <v>1024</v>
      </c>
      <c r="E2535" s="1115" t="s">
        <v>2951</v>
      </c>
      <c r="F2535" s="1115" t="n">
        <v>45810</v>
      </c>
      <c r="G2535" s="1115" t="n">
        <v>66680</v>
      </c>
      <c r="H2535" s="1115" t="s">
        <v>2329</v>
      </c>
      <c r="I2535" s="1115" t="n">
        <v>66100</v>
      </c>
      <c r="J2535" s="1115" t="s">
        <v>3100</v>
      </c>
    </row>
    <row r="2536" customFormat="false" ht="14.1" hidden="false" customHeight="true" outlineLevel="0" collapsed="false">
      <c r="A2536" s="1115" t="n">
        <v>65970</v>
      </c>
      <c r="B2536" s="1115" t="s">
        <v>165</v>
      </c>
      <c r="C2536" s="1115" t="n">
        <v>65970</v>
      </c>
      <c r="D2536" s="1115" t="s">
        <v>3543</v>
      </c>
      <c r="E2536" s="1115" t="s">
        <v>1616</v>
      </c>
      <c r="F2536" s="1115" t="n">
        <v>12750</v>
      </c>
      <c r="G2536" s="1115" t="n">
        <v>66690</v>
      </c>
      <c r="H2536" s="1115" t="s">
        <v>3580</v>
      </c>
      <c r="I2536" s="1115" t="n">
        <v>66140</v>
      </c>
      <c r="J2536" s="1115" t="s">
        <v>3100</v>
      </c>
    </row>
    <row r="2537" customFormat="false" ht="14.1" hidden="false" customHeight="true" outlineLevel="0" collapsed="false">
      <c r="A2537" s="1115" t="n">
        <v>66100</v>
      </c>
      <c r="B2537" s="1115" t="s">
        <v>165</v>
      </c>
      <c r="C2537" s="1115" t="n">
        <v>66100</v>
      </c>
      <c r="D2537" s="1115" t="s">
        <v>3100</v>
      </c>
      <c r="E2537" s="1115" t="s">
        <v>1548</v>
      </c>
      <c r="F2537" s="1115" t="n">
        <v>10330</v>
      </c>
      <c r="G2537" s="1115" t="n">
        <v>66710</v>
      </c>
      <c r="H2537" s="1115" t="s">
        <v>2157</v>
      </c>
      <c r="I2537" s="1115" t="n">
        <v>66150</v>
      </c>
      <c r="J2537" s="1115" t="s">
        <v>3100</v>
      </c>
    </row>
    <row r="2538" customFormat="false" ht="14.1" hidden="false" customHeight="true" outlineLevel="0" collapsed="false">
      <c r="A2538" s="1115" t="n">
        <v>66140</v>
      </c>
      <c r="B2538" s="1115" t="s">
        <v>165</v>
      </c>
      <c r="C2538" s="1115" t="n">
        <v>66140</v>
      </c>
      <c r="D2538" s="1115" t="s">
        <v>3546</v>
      </c>
      <c r="E2538" s="1115" t="s">
        <v>2680</v>
      </c>
      <c r="F2538" s="1115" t="n">
        <v>39150</v>
      </c>
      <c r="G2538" s="1115" t="n">
        <v>66720</v>
      </c>
      <c r="H2538" s="1115" t="s">
        <v>2283</v>
      </c>
      <c r="I2538" s="1115" t="n">
        <v>66160</v>
      </c>
      <c r="J2538" s="1115" t="s">
        <v>3100</v>
      </c>
    </row>
    <row r="2539" customFormat="false" ht="14.1" hidden="false" customHeight="true" outlineLevel="0" collapsed="false">
      <c r="A2539" s="1115" t="n">
        <v>66150</v>
      </c>
      <c r="B2539" s="1115" t="s">
        <v>165</v>
      </c>
      <c r="C2539" s="1115" t="n">
        <v>66150</v>
      </c>
      <c r="D2539" s="1115" t="s">
        <v>3511</v>
      </c>
      <c r="E2539" s="1115" t="s">
        <v>3581</v>
      </c>
      <c r="F2539" s="1115" t="n">
        <v>93290</v>
      </c>
      <c r="G2539" s="1115" t="n">
        <v>66760</v>
      </c>
      <c r="H2539" s="1115" t="s">
        <v>3582</v>
      </c>
      <c r="I2539" s="1115" t="n">
        <v>66200</v>
      </c>
      <c r="J2539" s="1115" t="s">
        <v>1102</v>
      </c>
    </row>
    <row r="2540" customFormat="false" ht="14.1" hidden="false" customHeight="true" outlineLevel="0" collapsed="false">
      <c r="A2540" s="1115" t="n">
        <v>66160</v>
      </c>
      <c r="B2540" s="1115" t="s">
        <v>165</v>
      </c>
      <c r="C2540" s="1115" t="n">
        <v>66160</v>
      </c>
      <c r="D2540" s="1115" t="s">
        <v>3084</v>
      </c>
      <c r="E2540" s="1115" t="s">
        <v>3312</v>
      </c>
      <c r="F2540" s="1115" t="n">
        <v>58680</v>
      </c>
      <c r="G2540" s="1115" t="n">
        <v>66800</v>
      </c>
      <c r="H2540" s="1115" t="s">
        <v>1291</v>
      </c>
      <c r="I2540" s="1115" t="n">
        <v>66210</v>
      </c>
      <c r="J2540" s="1115" t="s">
        <v>1102</v>
      </c>
    </row>
    <row r="2541" customFormat="false" ht="14.1" hidden="false" customHeight="true" outlineLevel="0" collapsed="false">
      <c r="A2541" s="1115" t="n">
        <v>66200</v>
      </c>
      <c r="B2541" s="1115" t="s">
        <v>165</v>
      </c>
      <c r="C2541" s="1115" t="n">
        <v>66200</v>
      </c>
      <c r="D2541" s="1115" t="s">
        <v>1102</v>
      </c>
      <c r="E2541" s="1115" t="s">
        <v>1353</v>
      </c>
      <c r="F2541" s="1115" t="n">
        <v>33920</v>
      </c>
      <c r="G2541" s="1115" t="n">
        <v>66810</v>
      </c>
      <c r="H2541" s="1115" t="s">
        <v>2427</v>
      </c>
      <c r="I2541" s="1115" t="n">
        <v>66220</v>
      </c>
      <c r="J2541" s="1115" t="s">
        <v>1102</v>
      </c>
    </row>
    <row r="2542" customFormat="false" ht="14.1" hidden="false" customHeight="true" outlineLevel="0" collapsed="false">
      <c r="A2542" s="1115" t="n">
        <v>66210</v>
      </c>
      <c r="B2542" s="1115" t="s">
        <v>165</v>
      </c>
      <c r="C2542" s="1115" t="n">
        <v>66210</v>
      </c>
      <c r="D2542" s="1115" t="s">
        <v>3207</v>
      </c>
      <c r="E2542" s="1115" t="s">
        <v>1353</v>
      </c>
      <c r="F2542" s="1115" t="n">
        <v>33940</v>
      </c>
      <c r="G2542" s="1115" t="n">
        <v>66820</v>
      </c>
      <c r="H2542" s="1115" t="s">
        <v>2531</v>
      </c>
      <c r="I2542" s="1115" t="n">
        <v>66230</v>
      </c>
      <c r="J2542" s="1115" t="s">
        <v>1102</v>
      </c>
    </row>
    <row r="2543" customFormat="false" ht="14.1" hidden="false" customHeight="true" outlineLevel="0" collapsed="false">
      <c r="A2543" s="1115" t="n">
        <v>66220</v>
      </c>
      <c r="B2543" s="1115" t="s">
        <v>165</v>
      </c>
      <c r="C2543" s="1115" t="n">
        <v>66220</v>
      </c>
      <c r="D2543" s="1115" t="s">
        <v>980</v>
      </c>
      <c r="E2543" s="1115" t="s">
        <v>1353</v>
      </c>
      <c r="F2543" s="1115" t="n">
        <v>33950</v>
      </c>
      <c r="G2543" s="1115" t="n">
        <v>66830</v>
      </c>
      <c r="H2543" s="1115" t="s">
        <v>3411</v>
      </c>
      <c r="I2543" s="1115" t="n">
        <v>66240</v>
      </c>
      <c r="J2543" s="1115" t="s">
        <v>1102</v>
      </c>
    </row>
    <row r="2544" customFormat="false" ht="14.1" hidden="false" customHeight="true" outlineLevel="0" collapsed="false">
      <c r="A2544" s="1115" t="n">
        <v>66230</v>
      </c>
      <c r="B2544" s="1115" t="s">
        <v>165</v>
      </c>
      <c r="C2544" s="1115" t="n">
        <v>66230</v>
      </c>
      <c r="D2544" s="1115" t="s">
        <v>2570</v>
      </c>
      <c r="E2544" s="1115" t="s">
        <v>1353</v>
      </c>
      <c r="F2544" s="1115" t="n">
        <v>33960</v>
      </c>
      <c r="G2544" s="1115" t="n">
        <v>66840</v>
      </c>
      <c r="H2544" s="1115" t="s">
        <v>3523</v>
      </c>
      <c r="I2544" s="1115" t="n">
        <v>66250</v>
      </c>
      <c r="J2544" s="1115" t="s">
        <v>1102</v>
      </c>
    </row>
    <row r="2545" customFormat="false" ht="14.1" hidden="false" customHeight="true" outlineLevel="0" collapsed="false">
      <c r="A2545" s="1115" t="n">
        <v>66240</v>
      </c>
      <c r="B2545" s="1115" t="s">
        <v>165</v>
      </c>
      <c r="C2545" s="1115" t="n">
        <v>66240</v>
      </c>
      <c r="D2545" s="1115" t="s">
        <v>3541</v>
      </c>
      <c r="E2545" s="1115" t="s">
        <v>1353</v>
      </c>
      <c r="F2545" s="1115" t="n">
        <v>33970</v>
      </c>
      <c r="G2545" s="1115" t="n">
        <v>66850</v>
      </c>
      <c r="H2545" s="1115" t="s">
        <v>2007</v>
      </c>
      <c r="I2545" s="1115" t="n">
        <v>66260</v>
      </c>
      <c r="J2545" s="1115" t="s">
        <v>1102</v>
      </c>
    </row>
    <row r="2546" customFormat="false" ht="14.1" hidden="false" customHeight="true" outlineLevel="0" collapsed="false">
      <c r="A2546" s="1115" t="n">
        <v>66250</v>
      </c>
      <c r="B2546" s="1115" t="s">
        <v>165</v>
      </c>
      <c r="C2546" s="1115" t="n">
        <v>66250</v>
      </c>
      <c r="D2546" s="1115" t="s">
        <v>3371</v>
      </c>
      <c r="E2546" s="1115" t="s">
        <v>1353</v>
      </c>
      <c r="F2546" s="1115" t="n">
        <v>33980</v>
      </c>
      <c r="G2546" s="1115" t="n">
        <v>66860</v>
      </c>
      <c r="H2546" s="1115" t="s">
        <v>2674</v>
      </c>
      <c r="I2546" s="1115" t="n">
        <v>66275</v>
      </c>
      <c r="J2546" s="1115" t="s">
        <v>1102</v>
      </c>
    </row>
    <row r="2547" customFormat="false" ht="14.1" hidden="false" customHeight="true" outlineLevel="0" collapsed="false">
      <c r="A2547" s="1115" t="n">
        <v>66260</v>
      </c>
      <c r="B2547" s="1115" t="s">
        <v>165</v>
      </c>
      <c r="C2547" s="1115" t="n">
        <v>66260</v>
      </c>
      <c r="D2547" s="1115" t="s">
        <v>3553</v>
      </c>
      <c r="E2547" s="1115" t="s">
        <v>3583</v>
      </c>
      <c r="F2547" s="1115" t="n">
        <v>82840</v>
      </c>
      <c r="G2547" s="1115" t="n">
        <v>66880</v>
      </c>
      <c r="H2547" s="1115" t="s">
        <v>3584</v>
      </c>
      <c r="I2547" s="1115" t="n">
        <v>66290</v>
      </c>
      <c r="J2547" s="1115" t="s">
        <v>1102</v>
      </c>
    </row>
    <row r="2548" customFormat="false" ht="14.1" hidden="false" customHeight="true" outlineLevel="0" collapsed="false">
      <c r="A2548" s="1115" t="n">
        <v>66275</v>
      </c>
      <c r="B2548" s="1115" t="s">
        <v>165</v>
      </c>
      <c r="C2548" s="1115" t="n">
        <v>66275</v>
      </c>
      <c r="D2548" s="1115" t="s">
        <v>3554</v>
      </c>
      <c r="E2548" s="1115" t="s">
        <v>3585</v>
      </c>
      <c r="F2548" s="1115" t="n">
        <v>89230</v>
      </c>
      <c r="G2548" s="1115" t="n">
        <v>66900</v>
      </c>
      <c r="H2548" s="1115" t="s">
        <v>1585</v>
      </c>
      <c r="I2548" s="1115" t="n">
        <v>66295</v>
      </c>
      <c r="J2548" s="1115" t="s">
        <v>1102</v>
      </c>
    </row>
    <row r="2549" customFormat="false" ht="14.1" hidden="false" customHeight="true" outlineLevel="0" collapsed="false">
      <c r="A2549" s="1115" t="n">
        <v>66290</v>
      </c>
      <c r="B2549" s="1115" t="s">
        <v>165</v>
      </c>
      <c r="C2549" s="1115" t="n">
        <v>66290</v>
      </c>
      <c r="D2549" s="1115" t="s">
        <v>1433</v>
      </c>
      <c r="E2549" s="1115" t="s">
        <v>2276</v>
      </c>
      <c r="F2549" s="1115" t="n">
        <v>29730</v>
      </c>
      <c r="G2549" s="1115" t="n">
        <v>66910</v>
      </c>
      <c r="H2549" s="1115" t="s">
        <v>3586</v>
      </c>
      <c r="I2549" s="1115" t="n">
        <v>66300</v>
      </c>
      <c r="J2549" s="1115" t="s">
        <v>922</v>
      </c>
    </row>
    <row r="2550" customFormat="false" ht="14.1" hidden="false" customHeight="true" outlineLevel="0" collapsed="false">
      <c r="A2550" s="1115" t="n">
        <v>66295</v>
      </c>
      <c r="B2550" s="1115" t="s">
        <v>165</v>
      </c>
      <c r="C2550" s="1115" t="n">
        <v>66295</v>
      </c>
      <c r="D2550" s="1115" t="s">
        <v>3556</v>
      </c>
      <c r="E2550" s="1115" t="s">
        <v>2525</v>
      </c>
      <c r="F2550" s="1115" t="n">
        <v>35520</v>
      </c>
      <c r="G2550" s="1115" t="n">
        <v>66930</v>
      </c>
      <c r="H2550" s="1115" t="s">
        <v>2641</v>
      </c>
      <c r="I2550" s="1115" t="n">
        <v>66320</v>
      </c>
      <c r="J2550" s="1115" t="s">
        <v>922</v>
      </c>
    </row>
    <row r="2551" customFormat="false" ht="14.1" hidden="false" customHeight="true" outlineLevel="0" collapsed="false">
      <c r="A2551" s="1115" t="n">
        <v>66300</v>
      </c>
      <c r="B2551" s="1115" t="s">
        <v>165</v>
      </c>
      <c r="C2551" s="1115" t="n">
        <v>66300</v>
      </c>
      <c r="D2551" s="1115" t="s">
        <v>922</v>
      </c>
      <c r="E2551" s="1115" t="s">
        <v>3587</v>
      </c>
      <c r="F2551" s="1115" t="n">
        <v>86160</v>
      </c>
      <c r="G2551" s="1115" t="n">
        <v>66950</v>
      </c>
      <c r="H2551" s="1115" t="s">
        <v>3224</v>
      </c>
      <c r="I2551" s="1115" t="n">
        <v>66330</v>
      </c>
      <c r="J2551" s="1115" t="s">
        <v>922</v>
      </c>
    </row>
    <row r="2552" customFormat="false" ht="14.1" hidden="false" customHeight="true" outlineLevel="0" collapsed="false">
      <c r="A2552" s="1115" t="n">
        <v>66320</v>
      </c>
      <c r="B2552" s="1115" t="s">
        <v>165</v>
      </c>
      <c r="C2552" s="1115" t="n">
        <v>66320</v>
      </c>
      <c r="D2552" s="1115" t="s">
        <v>3315</v>
      </c>
      <c r="E2552" s="1115" t="s">
        <v>3423</v>
      </c>
      <c r="F2552" s="1115" t="n">
        <v>62435</v>
      </c>
      <c r="G2552" s="1115" t="n">
        <v>66960</v>
      </c>
      <c r="H2552" s="1115" t="s">
        <v>3588</v>
      </c>
      <c r="I2552" s="1115" t="n">
        <v>66340</v>
      </c>
      <c r="J2552" s="1115" t="s">
        <v>922</v>
      </c>
    </row>
    <row r="2553" customFormat="false" ht="14.1" hidden="false" customHeight="true" outlineLevel="0" collapsed="false">
      <c r="A2553" s="1115" t="n">
        <v>66330</v>
      </c>
      <c r="B2553" s="1115" t="s">
        <v>165</v>
      </c>
      <c r="C2553" s="1115" t="n">
        <v>66330</v>
      </c>
      <c r="D2553" s="1115" t="s">
        <v>1321</v>
      </c>
      <c r="E2553" s="1115" t="s">
        <v>3589</v>
      </c>
      <c r="F2553" s="1115" t="n">
        <v>81380</v>
      </c>
      <c r="G2553" s="1115" t="n">
        <v>66980</v>
      </c>
      <c r="H2553" s="1115" t="s">
        <v>3213</v>
      </c>
      <c r="I2553" s="1115" t="n">
        <v>66350</v>
      </c>
      <c r="J2553" s="1115" t="s">
        <v>922</v>
      </c>
    </row>
    <row r="2554" customFormat="false" ht="14.1" hidden="false" customHeight="true" outlineLevel="0" collapsed="false">
      <c r="A2554" s="1115" t="n">
        <v>66340</v>
      </c>
      <c r="B2554" s="1115" t="s">
        <v>165</v>
      </c>
      <c r="C2554" s="1115" t="n">
        <v>66340</v>
      </c>
      <c r="D2554" s="1115" t="s">
        <v>3561</v>
      </c>
      <c r="E2554" s="1115" t="s">
        <v>3590</v>
      </c>
      <c r="F2554" s="1115" t="n">
        <v>97190</v>
      </c>
      <c r="G2554" s="1115" t="n">
        <v>67100</v>
      </c>
      <c r="H2554" s="1115" t="s">
        <v>761</v>
      </c>
      <c r="I2554" s="1115" t="n">
        <v>66360</v>
      </c>
      <c r="J2554" s="1115" t="s">
        <v>922</v>
      </c>
    </row>
    <row r="2555" customFormat="false" ht="14.1" hidden="false" customHeight="true" outlineLevel="0" collapsed="false">
      <c r="A2555" s="1115" t="n">
        <v>66350</v>
      </c>
      <c r="B2555" s="1115" t="s">
        <v>165</v>
      </c>
      <c r="C2555" s="1115" t="n">
        <v>66350</v>
      </c>
      <c r="D2555" s="1115" t="s">
        <v>3563</v>
      </c>
      <c r="E2555" s="1115" t="s">
        <v>3591</v>
      </c>
      <c r="F2555" s="1115" t="n">
        <v>73750</v>
      </c>
      <c r="G2555" s="1115" t="n">
        <v>67200</v>
      </c>
      <c r="H2555" s="1115" t="s">
        <v>761</v>
      </c>
      <c r="I2555" s="1115" t="n">
        <v>66370</v>
      </c>
      <c r="J2555" s="1115" t="s">
        <v>922</v>
      </c>
    </row>
    <row r="2556" customFormat="false" ht="14.1" hidden="false" customHeight="true" outlineLevel="0" collapsed="false">
      <c r="A2556" s="1115" t="n">
        <v>66360</v>
      </c>
      <c r="B2556" s="1115" t="s">
        <v>165</v>
      </c>
      <c r="C2556" s="1115" t="n">
        <v>66360</v>
      </c>
      <c r="D2556" s="1115" t="s">
        <v>2392</v>
      </c>
      <c r="E2556" s="1115" t="s">
        <v>3083</v>
      </c>
      <c r="F2556" s="1115" t="n">
        <v>51620</v>
      </c>
      <c r="G2556" s="1115" t="n">
        <v>67300</v>
      </c>
      <c r="H2556" s="1115" t="s">
        <v>761</v>
      </c>
      <c r="I2556" s="1115" t="n">
        <v>66400</v>
      </c>
      <c r="J2556" s="1115" t="s">
        <v>1147</v>
      </c>
    </row>
    <row r="2557" customFormat="false" ht="14.1" hidden="false" customHeight="true" outlineLevel="0" collapsed="false">
      <c r="A2557" s="1115" t="n">
        <v>66370</v>
      </c>
      <c r="B2557" s="1115" t="s">
        <v>165</v>
      </c>
      <c r="C2557" s="1115" t="n">
        <v>66370</v>
      </c>
      <c r="D2557" s="1115" t="s">
        <v>3378</v>
      </c>
      <c r="E2557" s="1115" t="s">
        <v>2353</v>
      </c>
      <c r="F2557" s="1115" t="n">
        <v>31520</v>
      </c>
      <c r="G2557" s="1115" t="n">
        <v>67400</v>
      </c>
      <c r="H2557" s="1115" t="s">
        <v>761</v>
      </c>
      <c r="I2557" s="1115" t="n">
        <v>66410</v>
      </c>
      <c r="J2557" s="1115" t="s">
        <v>1147</v>
      </c>
    </row>
    <row r="2558" customFormat="false" ht="14.1" hidden="false" customHeight="true" outlineLevel="0" collapsed="false">
      <c r="A2558" s="1115" t="n">
        <v>66400</v>
      </c>
      <c r="B2558" s="1115" t="s">
        <v>165</v>
      </c>
      <c r="C2558" s="1115" t="n">
        <v>66400</v>
      </c>
      <c r="D2558" s="1115" t="s">
        <v>1147</v>
      </c>
      <c r="E2558" s="1115" t="s">
        <v>3592</v>
      </c>
      <c r="F2558" s="1115" t="n">
        <v>99210</v>
      </c>
      <c r="G2558" s="1115" t="n">
        <v>67410</v>
      </c>
      <c r="H2558" s="1115" t="s">
        <v>761</v>
      </c>
      <c r="I2558" s="1115" t="n">
        <v>66420</v>
      </c>
      <c r="J2558" s="1115" t="s">
        <v>1147</v>
      </c>
    </row>
    <row r="2559" customFormat="false" ht="14.1" hidden="false" customHeight="true" outlineLevel="0" collapsed="false">
      <c r="A2559" s="1115" t="n">
        <v>66410</v>
      </c>
      <c r="B2559" s="1115" t="s">
        <v>165</v>
      </c>
      <c r="C2559" s="1115" t="n">
        <v>66410</v>
      </c>
      <c r="D2559" s="1115" t="s">
        <v>1147</v>
      </c>
      <c r="E2559" s="1115" t="s">
        <v>2438</v>
      </c>
      <c r="F2559" s="1115" t="n">
        <v>33380</v>
      </c>
      <c r="G2559" s="1115" t="n">
        <v>67500</v>
      </c>
      <c r="H2559" s="1115" t="s">
        <v>761</v>
      </c>
      <c r="I2559" s="1115" t="n">
        <v>66430</v>
      </c>
      <c r="J2559" s="1115" t="s">
        <v>1629</v>
      </c>
    </row>
    <row r="2560" customFormat="false" ht="14.1" hidden="false" customHeight="true" outlineLevel="0" collapsed="false">
      <c r="A2560" s="1115" t="n">
        <v>66420</v>
      </c>
      <c r="B2560" s="1115" t="s">
        <v>165</v>
      </c>
      <c r="C2560" s="1115" t="n">
        <v>66420</v>
      </c>
      <c r="D2560" s="1115" t="s">
        <v>3565</v>
      </c>
      <c r="E2560" s="1115" t="s">
        <v>3593</v>
      </c>
      <c r="F2560" s="1115" t="n">
        <v>89620</v>
      </c>
      <c r="G2560" s="1115" t="n">
        <v>67600</v>
      </c>
      <c r="H2560" s="1115" t="s">
        <v>761</v>
      </c>
      <c r="I2560" s="1115" t="n">
        <v>66440</v>
      </c>
      <c r="J2560" s="1115" t="s">
        <v>1629</v>
      </c>
    </row>
    <row r="2561" customFormat="false" ht="14.1" hidden="false" customHeight="true" outlineLevel="0" collapsed="false">
      <c r="A2561" s="1115" t="n">
        <v>66430</v>
      </c>
      <c r="B2561" s="1115" t="s">
        <v>165</v>
      </c>
      <c r="C2561" s="1115" t="n">
        <v>66430</v>
      </c>
      <c r="D2561" s="1115" t="s">
        <v>3566</v>
      </c>
      <c r="E2561" s="1115" t="s">
        <v>3489</v>
      </c>
      <c r="F2561" s="1115" t="n">
        <v>64250</v>
      </c>
      <c r="G2561" s="1115" t="n">
        <v>67700</v>
      </c>
      <c r="H2561" s="1115" t="s">
        <v>761</v>
      </c>
      <c r="I2561" s="1115" t="n">
        <v>66450</v>
      </c>
      <c r="J2561" s="1115" t="s">
        <v>1629</v>
      </c>
    </row>
    <row r="2562" customFormat="false" ht="14.1" hidden="false" customHeight="true" outlineLevel="0" collapsed="false">
      <c r="A2562" s="1115" t="n">
        <v>66440</v>
      </c>
      <c r="B2562" s="1115" t="s">
        <v>165</v>
      </c>
      <c r="C2562" s="1115" t="n">
        <v>66440</v>
      </c>
      <c r="D2562" s="1115" t="s">
        <v>3567</v>
      </c>
      <c r="E2562" s="1115" t="s">
        <v>1878</v>
      </c>
      <c r="F2562" s="1115" t="n">
        <v>19620</v>
      </c>
      <c r="G2562" s="1115" t="n">
        <v>67800</v>
      </c>
      <c r="H2562" s="1115" t="s">
        <v>761</v>
      </c>
      <c r="I2562" s="1115" t="n">
        <v>66460</v>
      </c>
      <c r="J2562" s="1115" t="s">
        <v>1629</v>
      </c>
    </row>
    <row r="2563" customFormat="false" ht="14.1" hidden="false" customHeight="true" outlineLevel="0" collapsed="false">
      <c r="A2563" s="1115" t="n">
        <v>66450</v>
      </c>
      <c r="B2563" s="1115" t="s">
        <v>165</v>
      </c>
      <c r="C2563" s="1115" t="n">
        <v>66450</v>
      </c>
      <c r="D2563" s="1115" t="s">
        <v>1987</v>
      </c>
      <c r="E2563" s="1115" t="s">
        <v>1355</v>
      </c>
      <c r="F2563" s="1115" t="n">
        <v>36840</v>
      </c>
      <c r="G2563" s="1115" t="n">
        <v>67900</v>
      </c>
      <c r="H2563" s="1115" t="s">
        <v>761</v>
      </c>
      <c r="I2563" s="1115" t="n">
        <v>66470</v>
      </c>
      <c r="J2563" s="1115" t="s">
        <v>1629</v>
      </c>
    </row>
    <row r="2564" customFormat="false" ht="14.1" hidden="false" customHeight="true" outlineLevel="0" collapsed="false">
      <c r="A2564" s="1115" t="n">
        <v>66460</v>
      </c>
      <c r="B2564" s="1115" t="s">
        <v>165</v>
      </c>
      <c r="C2564" s="1115" t="n">
        <v>66460</v>
      </c>
      <c r="D2564" s="1115" t="s">
        <v>1270</v>
      </c>
      <c r="E2564" s="1115" t="s">
        <v>3234</v>
      </c>
      <c r="F2564" s="1115" t="n">
        <v>56440</v>
      </c>
      <c r="G2564" s="1115" t="n">
        <v>68100</v>
      </c>
      <c r="H2564" s="1115" t="s">
        <v>848</v>
      </c>
      <c r="I2564" s="1115" t="n">
        <v>66480</v>
      </c>
      <c r="J2564" s="1115" t="s">
        <v>1629</v>
      </c>
    </row>
    <row r="2565" customFormat="false" ht="14.1" hidden="false" customHeight="true" outlineLevel="0" collapsed="false">
      <c r="A2565" s="1115" t="n">
        <v>66470</v>
      </c>
      <c r="B2565" s="1115" t="s">
        <v>165</v>
      </c>
      <c r="C2565" s="1115" t="n">
        <v>66470</v>
      </c>
      <c r="D2565" s="1115" t="s">
        <v>2033</v>
      </c>
      <c r="E2565" s="1115" t="s">
        <v>2564</v>
      </c>
      <c r="F2565" s="1115" t="n">
        <v>36480</v>
      </c>
      <c r="G2565" s="1115" t="n">
        <v>68150</v>
      </c>
      <c r="H2565" s="1115" t="s">
        <v>1702</v>
      </c>
      <c r="I2565" s="1115" t="n">
        <v>66490</v>
      </c>
      <c r="J2565" s="1115" t="s">
        <v>1629</v>
      </c>
    </row>
    <row r="2566" customFormat="false" ht="14.1" hidden="false" customHeight="true" outlineLevel="0" collapsed="false">
      <c r="A2566" s="1115" t="n">
        <v>66480</v>
      </c>
      <c r="B2566" s="1115" t="s">
        <v>165</v>
      </c>
      <c r="C2566" s="1115" t="n">
        <v>66480</v>
      </c>
      <c r="D2566" s="1115" t="s">
        <v>2017</v>
      </c>
      <c r="E2566" s="1115" t="s">
        <v>1560</v>
      </c>
      <c r="F2566" s="1115" t="n">
        <v>10420</v>
      </c>
      <c r="G2566" s="1115" t="n">
        <v>68210</v>
      </c>
      <c r="H2566" s="1115" t="s">
        <v>3141</v>
      </c>
      <c r="I2566" s="1115" t="n">
        <v>66500</v>
      </c>
      <c r="J2566" s="1115" t="s">
        <v>1629</v>
      </c>
    </row>
    <row r="2567" customFormat="false" ht="14.1" hidden="false" customHeight="true" outlineLevel="0" collapsed="false">
      <c r="A2567" s="1115" t="n">
        <v>66490</v>
      </c>
      <c r="B2567" s="1115" t="s">
        <v>165</v>
      </c>
      <c r="C2567" s="1115" t="n">
        <v>66490</v>
      </c>
      <c r="D2567" s="1115" t="s">
        <v>2021</v>
      </c>
      <c r="E2567" s="1115" t="s">
        <v>2279</v>
      </c>
      <c r="F2567" s="1115" t="n">
        <v>29750</v>
      </c>
      <c r="G2567" s="1115" t="n">
        <v>68220</v>
      </c>
      <c r="H2567" s="1115" t="s">
        <v>2242</v>
      </c>
      <c r="I2567" s="1115" t="n">
        <v>66510</v>
      </c>
      <c r="J2567" s="1115" t="s">
        <v>1629</v>
      </c>
    </row>
    <row r="2568" customFormat="false" ht="14.1" hidden="false" customHeight="true" outlineLevel="0" collapsed="false">
      <c r="A2568" s="1115" t="n">
        <v>66500</v>
      </c>
      <c r="B2568" s="1115" t="s">
        <v>165</v>
      </c>
      <c r="C2568" s="1115" t="n">
        <v>66500</v>
      </c>
      <c r="D2568" s="1115" t="s">
        <v>1629</v>
      </c>
      <c r="E2568" s="1115" t="s">
        <v>2847</v>
      </c>
      <c r="F2568" s="1115" t="n">
        <v>42850</v>
      </c>
      <c r="G2568" s="1115" t="n">
        <v>68230</v>
      </c>
      <c r="H2568" s="1115" t="s">
        <v>1185</v>
      </c>
      <c r="I2568" s="1115" t="n">
        <v>66520</v>
      </c>
      <c r="J2568" s="1115" t="s">
        <v>1243</v>
      </c>
    </row>
    <row r="2569" customFormat="false" ht="14.1" hidden="false" customHeight="true" outlineLevel="0" collapsed="false">
      <c r="A2569" s="1115" t="n">
        <v>66510</v>
      </c>
      <c r="B2569" s="1115" t="s">
        <v>165</v>
      </c>
      <c r="C2569" s="1115" t="n">
        <v>66510</v>
      </c>
      <c r="D2569" s="1115" t="s">
        <v>3168</v>
      </c>
      <c r="E2569" s="1115" t="s">
        <v>3594</v>
      </c>
      <c r="F2569" s="1115" t="n">
        <v>95665</v>
      </c>
      <c r="G2569" s="1115" t="n">
        <v>68240</v>
      </c>
      <c r="H2569" s="1115" t="s">
        <v>858</v>
      </c>
      <c r="I2569" s="1115" t="n">
        <v>66530</v>
      </c>
      <c r="J2569" s="1115" t="s">
        <v>1243</v>
      </c>
    </row>
    <row r="2570" customFormat="false" ht="14.1" hidden="false" customHeight="true" outlineLevel="0" collapsed="false">
      <c r="A2570" s="1115" t="n">
        <v>66520</v>
      </c>
      <c r="B2570" s="1115" t="s">
        <v>165</v>
      </c>
      <c r="C2570" s="1115" t="n">
        <v>66520</v>
      </c>
      <c r="D2570" s="1115" t="s">
        <v>3570</v>
      </c>
      <c r="E2570" s="1115" t="s">
        <v>3595</v>
      </c>
      <c r="F2570" s="1115" t="n">
        <v>88490</v>
      </c>
      <c r="G2570" s="1115" t="n">
        <v>68300</v>
      </c>
      <c r="H2570" s="1115" t="s">
        <v>1140</v>
      </c>
      <c r="I2570" s="1115" t="n">
        <v>66540</v>
      </c>
      <c r="J2570" s="1115" t="s">
        <v>1243</v>
      </c>
    </row>
    <row r="2571" customFormat="false" ht="14.1" hidden="false" customHeight="true" outlineLevel="0" collapsed="false">
      <c r="A2571" s="1115" t="n">
        <v>66530</v>
      </c>
      <c r="B2571" s="1115" t="s">
        <v>165</v>
      </c>
      <c r="C2571" s="1115" t="n">
        <v>66530</v>
      </c>
      <c r="D2571" s="1115" t="s">
        <v>2486</v>
      </c>
      <c r="E2571" s="1115" t="s">
        <v>1666</v>
      </c>
      <c r="F2571" s="1115" t="n">
        <v>14810</v>
      </c>
      <c r="G2571" s="1115" t="n">
        <v>68320</v>
      </c>
      <c r="H2571" s="1115" t="s">
        <v>3596</v>
      </c>
      <c r="I2571" s="1115" t="n">
        <v>66550</v>
      </c>
      <c r="J2571" s="1115" t="s">
        <v>1243</v>
      </c>
    </row>
    <row r="2572" customFormat="false" ht="14.1" hidden="false" customHeight="true" outlineLevel="0" collapsed="false">
      <c r="A2572" s="1115" t="n">
        <v>66540</v>
      </c>
      <c r="B2572" s="1115" t="s">
        <v>165</v>
      </c>
      <c r="C2572" s="1115" t="n">
        <v>66540</v>
      </c>
      <c r="D2572" s="1115" t="s">
        <v>3547</v>
      </c>
      <c r="E2572" s="1115" t="s">
        <v>3597</v>
      </c>
      <c r="F2572" s="1115" t="n">
        <v>83930</v>
      </c>
      <c r="G2572" s="1115" t="n">
        <v>68370</v>
      </c>
      <c r="H2572" s="1115" t="s">
        <v>1577</v>
      </c>
      <c r="I2572" s="1115" t="n">
        <v>66560</v>
      </c>
      <c r="J2572" s="1115" t="s">
        <v>1243</v>
      </c>
    </row>
    <row r="2573" customFormat="false" ht="14.1" hidden="false" customHeight="true" outlineLevel="0" collapsed="false">
      <c r="A2573" s="1115" t="n">
        <v>66550</v>
      </c>
      <c r="B2573" s="1115" t="s">
        <v>165</v>
      </c>
      <c r="C2573" s="1115" t="n">
        <v>66550</v>
      </c>
      <c r="D2573" s="1115" t="s">
        <v>3571</v>
      </c>
      <c r="E2573" s="1115" t="s">
        <v>2829</v>
      </c>
      <c r="F2573" s="1115" t="n">
        <v>42560</v>
      </c>
      <c r="G2573" s="1115" t="n">
        <v>68380</v>
      </c>
      <c r="H2573" s="1115" t="s">
        <v>3598</v>
      </c>
      <c r="I2573" s="1115" t="n">
        <v>66570</v>
      </c>
      <c r="J2573" s="1115" t="s">
        <v>1243</v>
      </c>
    </row>
    <row r="2574" customFormat="false" ht="14.1" hidden="false" customHeight="true" outlineLevel="0" collapsed="false">
      <c r="A2574" s="1115" t="n">
        <v>66560</v>
      </c>
      <c r="B2574" s="1115" t="s">
        <v>165</v>
      </c>
      <c r="C2574" s="1115" t="n">
        <v>66560</v>
      </c>
      <c r="D2574" s="1115" t="s">
        <v>3572</v>
      </c>
      <c r="E2574" s="1115" t="s">
        <v>2474</v>
      </c>
      <c r="F2574" s="1115" t="n">
        <v>34330</v>
      </c>
      <c r="G2574" s="1115" t="n">
        <v>68390</v>
      </c>
      <c r="H2574" s="1115" t="s">
        <v>3599</v>
      </c>
      <c r="I2574" s="1115" t="n">
        <v>66580</v>
      </c>
      <c r="J2574" s="1115" t="s">
        <v>1243</v>
      </c>
    </row>
    <row r="2575" customFormat="false" ht="14.1" hidden="false" customHeight="true" outlineLevel="0" collapsed="false">
      <c r="A2575" s="1115" t="n">
        <v>66570</v>
      </c>
      <c r="B2575" s="1115" t="s">
        <v>165</v>
      </c>
      <c r="C2575" s="1115" t="n">
        <v>66570</v>
      </c>
      <c r="D2575" s="1115" t="s">
        <v>3573</v>
      </c>
      <c r="E2575" s="1115" t="s">
        <v>3600</v>
      </c>
      <c r="F2575" s="1115" t="n">
        <v>79970</v>
      </c>
      <c r="G2575" s="1115" t="n">
        <v>68410</v>
      </c>
      <c r="H2575" s="1115" t="s">
        <v>877</v>
      </c>
      <c r="I2575" s="1115" t="n">
        <v>66590</v>
      </c>
      <c r="J2575" s="1115" t="s">
        <v>1243</v>
      </c>
    </row>
    <row r="2576" customFormat="false" ht="14.1" hidden="false" customHeight="true" outlineLevel="0" collapsed="false">
      <c r="A2576" s="1115" t="n">
        <v>66580</v>
      </c>
      <c r="B2576" s="1115" t="s">
        <v>165</v>
      </c>
      <c r="C2576" s="1115" t="n">
        <v>66580</v>
      </c>
      <c r="D2576" s="1115" t="s">
        <v>2699</v>
      </c>
      <c r="E2576" s="1115" t="s">
        <v>1828</v>
      </c>
      <c r="F2576" s="1115" t="n">
        <v>17810</v>
      </c>
      <c r="G2576" s="1115" t="n">
        <v>68420</v>
      </c>
      <c r="H2576" s="1115" t="s">
        <v>3601</v>
      </c>
      <c r="I2576" s="1115" t="n">
        <v>66600</v>
      </c>
      <c r="J2576" s="1115" t="s">
        <v>1632</v>
      </c>
    </row>
    <row r="2577" customFormat="false" ht="14.1" hidden="false" customHeight="true" outlineLevel="0" collapsed="false">
      <c r="A2577" s="1115" t="n">
        <v>66590</v>
      </c>
      <c r="B2577" s="1115" t="s">
        <v>165</v>
      </c>
      <c r="C2577" s="1115" t="n">
        <v>66590</v>
      </c>
      <c r="D2577" s="1115" t="s">
        <v>3574</v>
      </c>
      <c r="E2577" s="1115" t="s">
        <v>1932</v>
      </c>
      <c r="F2577" s="1115" t="n">
        <v>21130</v>
      </c>
      <c r="G2577" s="1115" t="n">
        <v>68430</v>
      </c>
      <c r="H2577" s="1115" t="s">
        <v>3349</v>
      </c>
      <c r="I2577" s="1115" t="n">
        <v>66610</v>
      </c>
      <c r="J2577" s="1115" t="s">
        <v>1632</v>
      </c>
    </row>
    <row r="2578" customFormat="false" ht="14.1" hidden="false" customHeight="true" outlineLevel="0" collapsed="false">
      <c r="A2578" s="1115" t="n">
        <v>66600</v>
      </c>
      <c r="B2578" s="1115" t="s">
        <v>165</v>
      </c>
      <c r="C2578" s="1115" t="n">
        <v>66600</v>
      </c>
      <c r="D2578" s="1115" t="s">
        <v>1632</v>
      </c>
      <c r="E2578" s="1115" t="s">
        <v>3018</v>
      </c>
      <c r="F2578" s="1115" t="n">
        <v>49410</v>
      </c>
      <c r="G2578" s="1115" t="n">
        <v>68500</v>
      </c>
      <c r="H2578" s="1115" t="s">
        <v>1114</v>
      </c>
      <c r="I2578" s="1115" t="n">
        <v>66620</v>
      </c>
      <c r="J2578" s="1115" t="s">
        <v>1632</v>
      </c>
    </row>
    <row r="2579" customFormat="false" ht="14.1" hidden="false" customHeight="true" outlineLevel="0" collapsed="false">
      <c r="A2579" s="1115" t="n">
        <v>66610</v>
      </c>
      <c r="B2579" s="1115" t="s">
        <v>165</v>
      </c>
      <c r="C2579" s="1115" t="n">
        <v>66610</v>
      </c>
      <c r="D2579" s="1115" t="s">
        <v>3575</v>
      </c>
      <c r="E2579" s="1115" t="s">
        <v>3355</v>
      </c>
      <c r="F2579" s="1115" t="n">
        <v>60760</v>
      </c>
      <c r="G2579" s="1115" t="n">
        <v>68530</v>
      </c>
      <c r="H2579" s="1115" t="s">
        <v>2964</v>
      </c>
      <c r="I2579" s="1115" t="n">
        <v>66630</v>
      </c>
      <c r="J2579" s="1115" t="s">
        <v>1632</v>
      </c>
    </row>
    <row r="2580" customFormat="false" ht="14.1" hidden="false" customHeight="true" outlineLevel="0" collapsed="false">
      <c r="A2580" s="1115" t="n">
        <v>66620</v>
      </c>
      <c r="B2580" s="1115" t="s">
        <v>165</v>
      </c>
      <c r="C2580" s="1115" t="n">
        <v>66620</v>
      </c>
      <c r="D2580" s="1115" t="s">
        <v>3033</v>
      </c>
      <c r="E2580" s="1115" t="s">
        <v>3602</v>
      </c>
      <c r="F2580" s="1115" t="n">
        <v>99195</v>
      </c>
      <c r="G2580" s="1115" t="n">
        <v>68550</v>
      </c>
      <c r="H2580" s="1115" t="s">
        <v>3603</v>
      </c>
      <c r="I2580" s="1115" t="n">
        <v>66640</v>
      </c>
      <c r="J2580" s="1115" t="s">
        <v>1632</v>
      </c>
    </row>
    <row r="2581" customFormat="false" ht="14.1" hidden="false" customHeight="true" outlineLevel="0" collapsed="false">
      <c r="A2581" s="1115" t="n">
        <v>66630</v>
      </c>
      <c r="B2581" s="1115" t="s">
        <v>165</v>
      </c>
      <c r="C2581" s="1115" t="n">
        <v>66630</v>
      </c>
      <c r="D2581" s="1115" t="s">
        <v>2809</v>
      </c>
      <c r="E2581" s="1115" t="s">
        <v>3604</v>
      </c>
      <c r="F2581" s="1115" t="n">
        <v>86140</v>
      </c>
      <c r="G2581" s="1115" t="n">
        <v>68555</v>
      </c>
      <c r="H2581" s="1115" t="s">
        <v>1005</v>
      </c>
      <c r="I2581" s="1115" t="n">
        <v>66650</v>
      </c>
      <c r="J2581" s="1115" t="s">
        <v>1632</v>
      </c>
    </row>
    <row r="2582" customFormat="false" ht="14.1" hidden="false" customHeight="true" outlineLevel="0" collapsed="false">
      <c r="A2582" s="1115" t="n">
        <v>66640</v>
      </c>
      <c r="B2582" s="1115" t="s">
        <v>165</v>
      </c>
      <c r="C2582" s="1115" t="n">
        <v>66640</v>
      </c>
      <c r="D2582" s="1115" t="s">
        <v>3114</v>
      </c>
      <c r="E2582" s="1115" t="s">
        <v>3605</v>
      </c>
      <c r="F2582" s="1115" t="n">
        <v>83870</v>
      </c>
      <c r="G2582" s="1115" t="n">
        <v>68560</v>
      </c>
      <c r="H2582" s="1115" t="s">
        <v>1189</v>
      </c>
      <c r="I2582" s="1115" t="n">
        <v>66660</v>
      </c>
      <c r="J2582" s="1115" t="s">
        <v>1632</v>
      </c>
    </row>
    <row r="2583" customFormat="false" ht="14.1" hidden="false" customHeight="true" outlineLevel="0" collapsed="false">
      <c r="A2583" s="1115" t="n">
        <v>66650</v>
      </c>
      <c r="B2583" s="1115" t="s">
        <v>165</v>
      </c>
      <c r="C2583" s="1115" t="n">
        <v>66650</v>
      </c>
      <c r="D2583" s="1115" t="s">
        <v>3578</v>
      </c>
      <c r="E2583" s="1115" t="s">
        <v>3372</v>
      </c>
      <c r="F2583" s="1115" t="n">
        <v>61380</v>
      </c>
      <c r="G2583" s="1115" t="n">
        <v>68570</v>
      </c>
      <c r="H2583" s="1115" t="s">
        <v>3067</v>
      </c>
      <c r="I2583" s="1115" t="n">
        <v>66670</v>
      </c>
      <c r="J2583" s="1115" t="s">
        <v>1632</v>
      </c>
    </row>
    <row r="2584" customFormat="false" ht="14.1" hidden="false" customHeight="true" outlineLevel="0" collapsed="false">
      <c r="A2584" s="1115" t="n">
        <v>66660</v>
      </c>
      <c r="B2584" s="1115" t="s">
        <v>165</v>
      </c>
      <c r="C2584" s="1115" t="n">
        <v>66660</v>
      </c>
      <c r="D2584" s="1115" t="s">
        <v>984</v>
      </c>
      <c r="E2584" s="1115" t="s">
        <v>1357</v>
      </c>
      <c r="F2584" s="1115" t="n">
        <v>83700</v>
      </c>
      <c r="G2584" s="1115" t="n">
        <v>68580</v>
      </c>
      <c r="H2584" s="1115" t="s">
        <v>1229</v>
      </c>
      <c r="I2584" s="1115" t="n">
        <v>66680</v>
      </c>
      <c r="J2584" s="1115" t="s">
        <v>1632</v>
      </c>
    </row>
    <row r="2585" customFormat="false" ht="14.1" hidden="false" customHeight="true" outlineLevel="0" collapsed="false">
      <c r="A2585" s="1115" t="n">
        <v>66670</v>
      </c>
      <c r="B2585" s="1115" t="s">
        <v>165</v>
      </c>
      <c r="C2585" s="1115" t="n">
        <v>66670</v>
      </c>
      <c r="D2585" s="1115" t="s">
        <v>3579</v>
      </c>
      <c r="E2585" s="1115" t="s">
        <v>1358</v>
      </c>
      <c r="F2585" s="1115" t="n">
        <v>29630</v>
      </c>
      <c r="G2585" s="1115" t="n">
        <v>68600</v>
      </c>
      <c r="H2585" s="1115" t="s">
        <v>1344</v>
      </c>
      <c r="I2585" s="1115" t="n">
        <v>66690</v>
      </c>
      <c r="J2585" s="1115" t="s">
        <v>1632</v>
      </c>
    </row>
    <row r="2586" customFormat="false" ht="14.1" hidden="false" customHeight="true" outlineLevel="0" collapsed="false">
      <c r="A2586" s="1115" t="n">
        <v>66680</v>
      </c>
      <c r="B2586" s="1115" t="s">
        <v>165</v>
      </c>
      <c r="C2586" s="1115" t="n">
        <v>66680</v>
      </c>
      <c r="D2586" s="1115" t="s">
        <v>2329</v>
      </c>
      <c r="E2586" s="1115" t="s">
        <v>159</v>
      </c>
      <c r="F2586" s="1115" t="n">
        <v>28100</v>
      </c>
      <c r="G2586" s="1115" t="n">
        <v>68620</v>
      </c>
      <c r="H2586" s="1115" t="s">
        <v>1344</v>
      </c>
      <c r="I2586" s="1115" t="n">
        <v>66710</v>
      </c>
      <c r="J2586" s="1115" t="s">
        <v>1632</v>
      </c>
    </row>
    <row r="2587" customFormat="false" ht="14.1" hidden="false" customHeight="true" outlineLevel="0" collapsed="false">
      <c r="A2587" s="1115" t="n">
        <v>66690</v>
      </c>
      <c r="B2587" s="1115" t="s">
        <v>165</v>
      </c>
      <c r="C2587" s="1115" t="n">
        <v>66690</v>
      </c>
      <c r="D2587" s="1115" t="s">
        <v>3580</v>
      </c>
      <c r="E2587" s="1115" t="s">
        <v>159</v>
      </c>
      <c r="F2587" s="1115" t="n">
        <v>28100</v>
      </c>
      <c r="G2587" s="1115" t="n">
        <v>68630</v>
      </c>
      <c r="H2587" s="1115" t="s">
        <v>1344</v>
      </c>
      <c r="I2587" s="1115" t="n">
        <v>66720</v>
      </c>
      <c r="J2587" s="1115" t="s">
        <v>1291</v>
      </c>
    </row>
    <row r="2588" customFormat="false" ht="14.1" hidden="false" customHeight="true" outlineLevel="0" collapsed="false">
      <c r="A2588" s="1115" t="n">
        <v>66710</v>
      </c>
      <c r="B2588" s="1115" t="s">
        <v>165</v>
      </c>
      <c r="C2588" s="1115" t="n">
        <v>66710</v>
      </c>
      <c r="D2588" s="1115" t="s">
        <v>2157</v>
      </c>
      <c r="E2588" s="1115" t="s">
        <v>159</v>
      </c>
      <c r="F2588" s="1115" t="n">
        <v>28130</v>
      </c>
      <c r="G2588" s="1115" t="n">
        <v>68660</v>
      </c>
      <c r="H2588" s="1115" t="s">
        <v>1344</v>
      </c>
      <c r="I2588" s="1115" t="n">
        <v>66760</v>
      </c>
      <c r="J2588" s="1115" t="s">
        <v>1291</v>
      </c>
    </row>
    <row r="2589" customFormat="false" ht="14.1" hidden="false" customHeight="true" outlineLevel="0" collapsed="false">
      <c r="A2589" s="1115" t="n">
        <v>66720</v>
      </c>
      <c r="B2589" s="1115" t="s">
        <v>165</v>
      </c>
      <c r="C2589" s="1115" t="n">
        <v>66720</v>
      </c>
      <c r="D2589" s="1115" t="s">
        <v>2283</v>
      </c>
      <c r="E2589" s="1115" t="s">
        <v>159</v>
      </c>
      <c r="F2589" s="1115" t="n">
        <v>28200</v>
      </c>
      <c r="G2589" s="1115" t="n">
        <v>68700</v>
      </c>
      <c r="H2589" s="1115" t="s">
        <v>3606</v>
      </c>
      <c r="I2589" s="1115" t="n">
        <v>66800</v>
      </c>
      <c r="J2589" s="1115" t="s">
        <v>1291</v>
      </c>
    </row>
    <row r="2590" customFormat="false" ht="14.1" hidden="false" customHeight="true" outlineLevel="0" collapsed="false">
      <c r="A2590" s="1115" t="n">
        <v>66760</v>
      </c>
      <c r="B2590" s="1115" t="s">
        <v>165</v>
      </c>
      <c r="C2590" s="1115" t="n">
        <v>66760</v>
      </c>
      <c r="D2590" s="1115" t="s">
        <v>3582</v>
      </c>
      <c r="E2590" s="1115" t="s">
        <v>159</v>
      </c>
      <c r="F2590" s="1115" t="n">
        <v>28220</v>
      </c>
      <c r="G2590" s="1115" t="n">
        <v>68710</v>
      </c>
      <c r="H2590" s="1115" t="s">
        <v>1901</v>
      </c>
      <c r="I2590" s="1115" t="n">
        <v>66810</v>
      </c>
      <c r="J2590" s="1115" t="s">
        <v>1291</v>
      </c>
    </row>
    <row r="2591" customFormat="false" ht="14.1" hidden="false" customHeight="true" outlineLevel="0" collapsed="false">
      <c r="A2591" s="1115" t="n">
        <v>66800</v>
      </c>
      <c r="B2591" s="1115" t="s">
        <v>165</v>
      </c>
      <c r="C2591" s="1115" t="n">
        <v>66800</v>
      </c>
      <c r="D2591" s="1115" t="s">
        <v>1291</v>
      </c>
      <c r="E2591" s="1115" t="s">
        <v>159</v>
      </c>
      <c r="F2591" s="1115" t="n">
        <v>28230</v>
      </c>
      <c r="G2591" s="1115" t="n">
        <v>68730</v>
      </c>
      <c r="H2591" s="1115" t="s">
        <v>2579</v>
      </c>
      <c r="I2591" s="1115" t="n">
        <v>66820</v>
      </c>
      <c r="J2591" s="1115" t="s">
        <v>1291</v>
      </c>
    </row>
    <row r="2592" customFormat="false" ht="14.1" hidden="false" customHeight="true" outlineLevel="0" collapsed="false">
      <c r="A2592" s="1115" t="n">
        <v>66810</v>
      </c>
      <c r="B2592" s="1115" t="s">
        <v>165</v>
      </c>
      <c r="C2592" s="1115" t="n">
        <v>66810</v>
      </c>
      <c r="D2592" s="1115" t="s">
        <v>2427</v>
      </c>
      <c r="E2592" s="1115" t="s">
        <v>159</v>
      </c>
      <c r="F2592" s="1115" t="n">
        <v>28240</v>
      </c>
      <c r="G2592" s="1115" t="n">
        <v>68740</v>
      </c>
      <c r="H2592" s="1115" t="s">
        <v>1903</v>
      </c>
      <c r="I2592" s="1115" t="n">
        <v>66830</v>
      </c>
      <c r="J2592" s="1115" t="s">
        <v>1291</v>
      </c>
    </row>
    <row r="2593" customFormat="false" ht="14.1" hidden="false" customHeight="true" outlineLevel="0" collapsed="false">
      <c r="A2593" s="1115" t="n">
        <v>66820</v>
      </c>
      <c r="B2593" s="1115" t="s">
        <v>165</v>
      </c>
      <c r="C2593" s="1115" t="n">
        <v>66820</v>
      </c>
      <c r="D2593" s="1115" t="s">
        <v>2531</v>
      </c>
      <c r="E2593" s="1115" t="s">
        <v>159</v>
      </c>
      <c r="F2593" s="1115" t="n">
        <v>28290</v>
      </c>
      <c r="G2593" s="1115" t="n">
        <v>68750</v>
      </c>
      <c r="H2593" s="1115" t="s">
        <v>3607</v>
      </c>
      <c r="I2593" s="1115" t="n">
        <v>66840</v>
      </c>
      <c r="J2593" s="1115" t="s">
        <v>1585</v>
      </c>
    </row>
    <row r="2594" customFormat="false" ht="14.1" hidden="false" customHeight="true" outlineLevel="0" collapsed="false">
      <c r="A2594" s="1115" t="n">
        <v>66830</v>
      </c>
      <c r="B2594" s="1115" t="s">
        <v>165</v>
      </c>
      <c r="C2594" s="1115" t="n">
        <v>66830</v>
      </c>
      <c r="D2594" s="1115" t="s">
        <v>3411</v>
      </c>
      <c r="E2594" s="1115" t="s">
        <v>159</v>
      </c>
      <c r="F2594" s="1115" t="n">
        <v>28300</v>
      </c>
      <c r="G2594" s="1115" t="n">
        <v>68800</v>
      </c>
      <c r="H2594" s="1115" t="s">
        <v>2798</v>
      </c>
      <c r="I2594" s="1115" t="n">
        <v>66850</v>
      </c>
      <c r="J2594" s="1115" t="s">
        <v>1585</v>
      </c>
    </row>
    <row r="2595" customFormat="false" ht="14.1" hidden="false" customHeight="true" outlineLevel="0" collapsed="false">
      <c r="A2595" s="1115" t="n">
        <v>66840</v>
      </c>
      <c r="B2595" s="1115" t="s">
        <v>165</v>
      </c>
      <c r="C2595" s="1115" t="n">
        <v>66840</v>
      </c>
      <c r="D2595" s="1115" t="s">
        <v>3523</v>
      </c>
      <c r="E2595" s="1115" t="s">
        <v>159</v>
      </c>
      <c r="F2595" s="1115" t="n">
        <v>28330</v>
      </c>
      <c r="G2595" s="1115" t="n">
        <v>68810</v>
      </c>
      <c r="H2595" s="1115" t="s">
        <v>3608</v>
      </c>
      <c r="I2595" s="1115" t="n">
        <v>66860</v>
      </c>
      <c r="J2595" s="1115" t="s">
        <v>1585</v>
      </c>
    </row>
    <row r="2596" customFormat="false" ht="14.1" hidden="false" customHeight="true" outlineLevel="0" collapsed="false">
      <c r="A2596" s="1115" t="n">
        <v>66850</v>
      </c>
      <c r="B2596" s="1115" t="s">
        <v>165</v>
      </c>
      <c r="C2596" s="1115" t="n">
        <v>66850</v>
      </c>
      <c r="D2596" s="1115" t="s">
        <v>2007</v>
      </c>
      <c r="E2596" s="1115" t="s">
        <v>159</v>
      </c>
      <c r="F2596" s="1115" t="n">
        <v>28360</v>
      </c>
      <c r="G2596" s="1115" t="n">
        <v>68820</v>
      </c>
      <c r="H2596" s="1115" t="s">
        <v>1172</v>
      </c>
      <c r="I2596" s="1115" t="n">
        <v>66880</v>
      </c>
      <c r="J2596" s="1115" t="s">
        <v>1324</v>
      </c>
    </row>
    <row r="2597" customFormat="false" ht="14.1" hidden="false" customHeight="true" outlineLevel="0" collapsed="false">
      <c r="A2597" s="1115" t="n">
        <v>66860</v>
      </c>
      <c r="B2597" s="1115" t="s">
        <v>165</v>
      </c>
      <c r="C2597" s="1115" t="n">
        <v>66860</v>
      </c>
      <c r="D2597" s="1115" t="s">
        <v>2674</v>
      </c>
      <c r="E2597" s="1115" t="s">
        <v>159</v>
      </c>
      <c r="F2597" s="1115" t="n">
        <v>28430</v>
      </c>
      <c r="G2597" s="1115" t="n">
        <v>68830</v>
      </c>
      <c r="H2597" s="1115" t="s">
        <v>1027</v>
      </c>
      <c r="I2597" s="1115" t="n">
        <v>66900</v>
      </c>
      <c r="J2597" s="1115" t="s">
        <v>1585</v>
      </c>
    </row>
    <row r="2598" customFormat="false" ht="14.1" hidden="false" customHeight="true" outlineLevel="0" collapsed="false">
      <c r="A2598" s="1115" t="n">
        <v>66880</v>
      </c>
      <c r="B2598" s="1115" t="s">
        <v>165</v>
      </c>
      <c r="C2598" s="1115" t="n">
        <v>66880</v>
      </c>
      <c r="D2598" s="1115" t="s">
        <v>3584</v>
      </c>
      <c r="E2598" s="1115" t="s">
        <v>159</v>
      </c>
      <c r="F2598" s="1115" t="n">
        <v>28500</v>
      </c>
      <c r="G2598" s="1115" t="n">
        <v>68840</v>
      </c>
      <c r="H2598" s="1115" t="s">
        <v>3297</v>
      </c>
      <c r="I2598" s="1115" t="n">
        <v>66910</v>
      </c>
      <c r="J2598" s="1115" t="s">
        <v>1585</v>
      </c>
    </row>
    <row r="2599" customFormat="false" ht="14.1" hidden="false" customHeight="true" outlineLevel="0" collapsed="false">
      <c r="A2599" s="1115" t="n">
        <v>66900</v>
      </c>
      <c r="B2599" s="1115" t="s">
        <v>165</v>
      </c>
      <c r="C2599" s="1115" t="n">
        <v>66900</v>
      </c>
      <c r="D2599" s="1115" t="s">
        <v>1585</v>
      </c>
      <c r="E2599" s="1115" t="s">
        <v>159</v>
      </c>
      <c r="F2599" s="1115" t="n">
        <v>28560</v>
      </c>
      <c r="G2599" s="1115" t="n">
        <v>68840</v>
      </c>
      <c r="H2599" s="1115" t="s">
        <v>3297</v>
      </c>
      <c r="I2599" s="1115" t="n">
        <v>66930</v>
      </c>
      <c r="J2599" s="1115" t="s">
        <v>1585</v>
      </c>
    </row>
    <row r="2600" customFormat="false" ht="14.1" hidden="false" customHeight="true" outlineLevel="0" collapsed="false">
      <c r="A2600" s="1115" t="n">
        <v>66910</v>
      </c>
      <c r="B2600" s="1115" t="s">
        <v>165</v>
      </c>
      <c r="C2600" s="1115" t="n">
        <v>66910</v>
      </c>
      <c r="D2600" s="1115" t="s">
        <v>3586</v>
      </c>
      <c r="E2600" s="1115" t="s">
        <v>159</v>
      </c>
      <c r="F2600" s="1115" t="n">
        <v>28580</v>
      </c>
      <c r="G2600" s="1115" t="n">
        <v>68870</v>
      </c>
      <c r="H2600" s="1115" t="s">
        <v>1052</v>
      </c>
      <c r="I2600" s="1115" t="n">
        <v>66950</v>
      </c>
      <c r="J2600" s="1115" t="s">
        <v>1585</v>
      </c>
    </row>
    <row r="2601" customFormat="false" ht="14.1" hidden="false" customHeight="true" outlineLevel="0" collapsed="false">
      <c r="A2601" s="1115" t="n">
        <v>66930</v>
      </c>
      <c r="B2601" s="1115" t="s">
        <v>165</v>
      </c>
      <c r="C2601" s="1115" t="n">
        <v>66930</v>
      </c>
      <c r="D2601" s="1115" t="s">
        <v>2641</v>
      </c>
      <c r="E2601" s="1115" t="s">
        <v>159</v>
      </c>
      <c r="F2601" s="1115" t="n">
        <v>28600</v>
      </c>
      <c r="G2601" s="1115" t="n">
        <v>68890</v>
      </c>
      <c r="H2601" s="1115" t="s">
        <v>3609</v>
      </c>
      <c r="I2601" s="1115" t="n">
        <v>66960</v>
      </c>
      <c r="J2601" s="1115" t="s">
        <v>1585</v>
      </c>
    </row>
    <row r="2602" customFormat="false" ht="14.1" hidden="false" customHeight="true" outlineLevel="0" collapsed="false">
      <c r="A2602" s="1115" t="n">
        <v>66950</v>
      </c>
      <c r="B2602" s="1115" t="s">
        <v>165</v>
      </c>
      <c r="C2602" s="1115" t="n">
        <v>66950</v>
      </c>
      <c r="D2602" s="1115" t="s">
        <v>3224</v>
      </c>
      <c r="E2602" s="1115" t="s">
        <v>159</v>
      </c>
      <c r="F2602" s="1115" t="n">
        <v>28610</v>
      </c>
      <c r="G2602" s="1115" t="n">
        <v>68910</v>
      </c>
      <c r="H2602" s="1115" t="s">
        <v>976</v>
      </c>
      <c r="I2602" s="1115" t="n">
        <v>66980</v>
      </c>
      <c r="J2602" s="1115" t="s">
        <v>1585</v>
      </c>
    </row>
    <row r="2603" customFormat="false" ht="14.1" hidden="false" customHeight="true" outlineLevel="0" collapsed="false">
      <c r="A2603" s="1115" t="n">
        <v>66960</v>
      </c>
      <c r="B2603" s="1115" t="s">
        <v>165</v>
      </c>
      <c r="C2603" s="1115" t="n">
        <v>66960</v>
      </c>
      <c r="D2603" s="1115" t="s">
        <v>3588</v>
      </c>
      <c r="E2603" s="1115" t="s">
        <v>159</v>
      </c>
      <c r="F2603" s="1115" t="n">
        <v>28640</v>
      </c>
      <c r="G2603" s="1115" t="n">
        <v>68920</v>
      </c>
      <c r="H2603" s="1115" t="s">
        <v>1218</v>
      </c>
      <c r="I2603" s="1115" t="n">
        <v>67100</v>
      </c>
      <c r="J2603" s="1115" t="s">
        <v>761</v>
      </c>
    </row>
    <row r="2604" customFormat="false" ht="14.1" hidden="false" customHeight="true" outlineLevel="0" collapsed="false">
      <c r="A2604" s="1115" t="n">
        <v>66980</v>
      </c>
      <c r="B2604" s="1115" t="s">
        <v>165</v>
      </c>
      <c r="C2604" s="1115" t="n">
        <v>66980</v>
      </c>
      <c r="D2604" s="1115" t="s">
        <v>3213</v>
      </c>
      <c r="E2604" s="1115" t="s">
        <v>159</v>
      </c>
      <c r="F2604" s="1115" t="n">
        <v>28660</v>
      </c>
      <c r="G2604" s="1115" t="n">
        <v>68930</v>
      </c>
      <c r="H2604" s="1115" t="s">
        <v>3610</v>
      </c>
      <c r="I2604" s="1115" t="n">
        <v>67200</v>
      </c>
      <c r="J2604" s="1115" t="s">
        <v>761</v>
      </c>
    </row>
    <row r="2605" customFormat="false" ht="14.1" hidden="false" customHeight="true" outlineLevel="0" collapsed="false">
      <c r="A2605" s="1115" t="n">
        <v>67100</v>
      </c>
      <c r="B2605" s="1115" t="s">
        <v>165</v>
      </c>
      <c r="C2605" s="1115" t="n">
        <v>67100</v>
      </c>
      <c r="D2605" s="1115" t="s">
        <v>761</v>
      </c>
      <c r="E2605" s="1115" t="s">
        <v>159</v>
      </c>
      <c r="F2605" s="1115" t="n">
        <v>28680</v>
      </c>
      <c r="G2605" s="1115" t="n">
        <v>68940</v>
      </c>
      <c r="H2605" s="1115" t="s">
        <v>3000</v>
      </c>
      <c r="I2605" s="1115" t="n">
        <v>67300</v>
      </c>
      <c r="J2605" s="1115" t="s">
        <v>761</v>
      </c>
    </row>
    <row r="2606" customFormat="false" ht="14.1" hidden="false" customHeight="true" outlineLevel="0" collapsed="false">
      <c r="A2606" s="1115" t="n">
        <v>67200</v>
      </c>
      <c r="B2606" s="1115" t="s">
        <v>165</v>
      </c>
      <c r="C2606" s="1115" t="n">
        <v>67200</v>
      </c>
      <c r="D2606" s="1115" t="s">
        <v>761</v>
      </c>
      <c r="E2606" s="1115" t="s">
        <v>159</v>
      </c>
      <c r="F2606" s="1115" t="n">
        <v>28760</v>
      </c>
      <c r="G2606" s="1115" t="n">
        <v>68970</v>
      </c>
      <c r="H2606" s="1115" t="s">
        <v>3611</v>
      </c>
      <c r="I2606" s="1115" t="n">
        <v>67400</v>
      </c>
      <c r="J2606" s="1115" t="s">
        <v>761</v>
      </c>
    </row>
    <row r="2607" customFormat="false" ht="14.1" hidden="false" customHeight="true" outlineLevel="0" collapsed="false">
      <c r="A2607" s="1115" t="n">
        <v>67300</v>
      </c>
      <c r="B2607" s="1115" t="s">
        <v>165</v>
      </c>
      <c r="C2607" s="1115" t="n">
        <v>67300</v>
      </c>
      <c r="D2607" s="1115" t="s">
        <v>761</v>
      </c>
      <c r="E2607" s="1115" t="s">
        <v>159</v>
      </c>
      <c r="F2607" s="1115" t="n">
        <v>28780</v>
      </c>
      <c r="G2607" s="1115" t="n">
        <v>68970</v>
      </c>
      <c r="H2607" s="1115" t="s">
        <v>3611</v>
      </c>
      <c r="I2607" s="1115" t="n">
        <v>67410</v>
      </c>
      <c r="J2607" s="1115" t="s">
        <v>761</v>
      </c>
    </row>
    <row r="2608" customFormat="false" ht="14.1" hidden="false" customHeight="true" outlineLevel="0" collapsed="false">
      <c r="A2608" s="1115" t="n">
        <v>67400</v>
      </c>
      <c r="B2608" s="1115" t="s">
        <v>165</v>
      </c>
      <c r="C2608" s="1115" t="n">
        <v>67400</v>
      </c>
      <c r="D2608" s="1115" t="s">
        <v>761</v>
      </c>
      <c r="E2608" s="1115" t="s">
        <v>159</v>
      </c>
      <c r="F2608" s="1115" t="n">
        <v>28840</v>
      </c>
      <c r="G2608" s="1115" t="n">
        <v>68999</v>
      </c>
      <c r="H2608" s="1115" t="s">
        <v>761</v>
      </c>
      <c r="I2608" s="1115" t="n">
        <v>67500</v>
      </c>
      <c r="J2608" s="1115" t="s">
        <v>761</v>
      </c>
    </row>
    <row r="2609" customFormat="false" ht="14.1" hidden="false" customHeight="true" outlineLevel="0" collapsed="false">
      <c r="A2609" s="1115" t="n">
        <v>67410</v>
      </c>
      <c r="B2609" s="1115" t="s">
        <v>165</v>
      </c>
      <c r="C2609" s="1115" t="n">
        <v>67410</v>
      </c>
      <c r="D2609" s="1115" t="s">
        <v>761</v>
      </c>
      <c r="E2609" s="1115" t="s">
        <v>159</v>
      </c>
      <c r="F2609" s="1115" t="n">
        <v>28880</v>
      </c>
      <c r="G2609" s="1115" t="n">
        <v>69100</v>
      </c>
      <c r="H2609" s="1115" t="s">
        <v>985</v>
      </c>
      <c r="I2609" s="1115" t="n">
        <v>67600</v>
      </c>
      <c r="J2609" s="1115" t="s">
        <v>761</v>
      </c>
    </row>
    <row r="2610" customFormat="false" ht="14.1" hidden="false" customHeight="true" outlineLevel="0" collapsed="false">
      <c r="A2610" s="1115" t="n">
        <v>67500</v>
      </c>
      <c r="B2610" s="1115" t="s">
        <v>165</v>
      </c>
      <c r="C2610" s="1115" t="n">
        <v>67500</v>
      </c>
      <c r="D2610" s="1115" t="s">
        <v>761</v>
      </c>
      <c r="E2610" s="1115" t="s">
        <v>159</v>
      </c>
      <c r="F2610" s="1115" t="n">
        <v>28900</v>
      </c>
      <c r="G2610" s="1115" t="n">
        <v>69150</v>
      </c>
      <c r="H2610" s="1115" t="s">
        <v>1115</v>
      </c>
      <c r="I2610" s="1115" t="n">
        <v>67700</v>
      </c>
      <c r="J2610" s="1115" t="s">
        <v>761</v>
      </c>
    </row>
    <row r="2611" customFormat="false" ht="14.1" hidden="false" customHeight="true" outlineLevel="0" collapsed="false">
      <c r="A2611" s="1115" t="n">
        <v>67600</v>
      </c>
      <c r="B2611" s="1115" t="s">
        <v>165</v>
      </c>
      <c r="C2611" s="1115" t="n">
        <v>67600</v>
      </c>
      <c r="D2611" s="1115" t="s">
        <v>761</v>
      </c>
      <c r="E2611" s="1115" t="s">
        <v>1455</v>
      </c>
      <c r="F2611" s="1115" t="n">
        <v>7820</v>
      </c>
      <c r="G2611" s="1115" t="n">
        <v>69170</v>
      </c>
      <c r="H2611" s="1115" t="s">
        <v>3612</v>
      </c>
      <c r="I2611" s="1115" t="n">
        <v>67800</v>
      </c>
      <c r="J2611" s="1115" t="s">
        <v>761</v>
      </c>
    </row>
    <row r="2612" customFormat="false" ht="14.1" hidden="false" customHeight="true" outlineLevel="0" collapsed="false">
      <c r="A2612" s="1115" t="n">
        <v>67700</v>
      </c>
      <c r="B2612" s="1115" t="s">
        <v>165</v>
      </c>
      <c r="C2612" s="1115" t="n">
        <v>67700</v>
      </c>
      <c r="D2612" s="1115" t="s">
        <v>761</v>
      </c>
      <c r="E2612" s="1115" t="s">
        <v>1360</v>
      </c>
      <c r="F2612" s="1115" t="n">
        <v>7170</v>
      </c>
      <c r="G2612" s="1115" t="n">
        <v>69300</v>
      </c>
      <c r="H2612" s="1115" t="s">
        <v>1565</v>
      </c>
      <c r="I2612" s="1115" t="n">
        <v>67900</v>
      </c>
      <c r="J2612" s="1115" t="s">
        <v>761</v>
      </c>
    </row>
    <row r="2613" customFormat="false" ht="14.1" hidden="false" customHeight="true" outlineLevel="0" collapsed="false">
      <c r="A2613" s="1115" t="n">
        <v>67800</v>
      </c>
      <c r="B2613" s="1115" t="s">
        <v>165</v>
      </c>
      <c r="C2613" s="1115" t="n">
        <v>67800</v>
      </c>
      <c r="D2613" s="1115" t="s">
        <v>761</v>
      </c>
      <c r="E2613" s="1115" t="s">
        <v>3613</v>
      </c>
      <c r="F2613" s="1115" t="n">
        <v>97410</v>
      </c>
      <c r="G2613" s="1115" t="n">
        <v>69310</v>
      </c>
      <c r="H2613" s="1115" t="s">
        <v>2871</v>
      </c>
      <c r="I2613" s="1115" t="n">
        <v>68100</v>
      </c>
      <c r="J2613" s="1115" t="s">
        <v>848</v>
      </c>
    </row>
    <row r="2614" customFormat="false" ht="14.1" hidden="false" customHeight="true" outlineLevel="0" collapsed="false">
      <c r="A2614" s="1115" t="n">
        <v>67900</v>
      </c>
      <c r="B2614" s="1115" t="s">
        <v>165</v>
      </c>
      <c r="C2614" s="1115" t="n">
        <v>67900</v>
      </c>
      <c r="D2614" s="1115" t="s">
        <v>761</v>
      </c>
      <c r="E2614" s="1115" t="s">
        <v>3614</v>
      </c>
      <c r="F2614" s="1115" t="n">
        <v>75530</v>
      </c>
      <c r="G2614" s="1115" t="n">
        <v>69330</v>
      </c>
      <c r="H2614" s="1115" t="s">
        <v>3268</v>
      </c>
      <c r="I2614" s="1115" t="n">
        <v>68150</v>
      </c>
      <c r="J2614" s="1115" t="s">
        <v>848</v>
      </c>
    </row>
    <row r="2615" customFormat="false" ht="14.1" hidden="false" customHeight="true" outlineLevel="0" collapsed="false">
      <c r="A2615" s="1115" t="n">
        <v>68100</v>
      </c>
      <c r="B2615" s="1115" t="s">
        <v>169</v>
      </c>
      <c r="C2615" s="1115" t="n">
        <v>68100</v>
      </c>
      <c r="D2615" s="1115" t="s">
        <v>848</v>
      </c>
      <c r="E2615" s="1115" t="s">
        <v>3615</v>
      </c>
      <c r="F2615" s="1115" t="n">
        <v>93890</v>
      </c>
      <c r="G2615" s="1115" t="n">
        <v>69340</v>
      </c>
      <c r="H2615" s="1115" t="s">
        <v>3616</v>
      </c>
      <c r="I2615" s="1115" t="n">
        <v>68210</v>
      </c>
      <c r="J2615" s="1115" t="s">
        <v>761</v>
      </c>
    </row>
    <row r="2616" customFormat="false" ht="14.1" hidden="false" customHeight="true" outlineLevel="0" collapsed="false">
      <c r="A2616" s="1115" t="n">
        <v>68150</v>
      </c>
      <c r="B2616" s="1115" t="s">
        <v>169</v>
      </c>
      <c r="C2616" s="1115" t="n">
        <v>68150</v>
      </c>
      <c r="D2616" s="1115" t="s">
        <v>1702</v>
      </c>
      <c r="E2616" s="1115" t="s">
        <v>2337</v>
      </c>
      <c r="F2616" s="1115" t="n">
        <v>31340</v>
      </c>
      <c r="G2616" s="1115" t="n">
        <v>69410</v>
      </c>
      <c r="H2616" s="1115" t="s">
        <v>3617</v>
      </c>
      <c r="I2616" s="1115" t="n">
        <v>68220</v>
      </c>
      <c r="J2616" s="1115" t="s">
        <v>761</v>
      </c>
    </row>
    <row r="2617" customFormat="false" ht="14.1" hidden="false" customHeight="true" outlineLevel="0" collapsed="false">
      <c r="A2617" s="1115" t="n">
        <v>68210</v>
      </c>
      <c r="B2617" s="1115" t="s">
        <v>165</v>
      </c>
      <c r="C2617" s="1115" t="n">
        <v>68210</v>
      </c>
      <c r="D2617" s="1115" t="s">
        <v>3141</v>
      </c>
      <c r="E2617" s="1115" t="s">
        <v>3618</v>
      </c>
      <c r="F2617" s="1115" t="n">
        <v>95650</v>
      </c>
      <c r="G2617" s="1115" t="n">
        <v>69420</v>
      </c>
      <c r="H2617" s="1115" t="s">
        <v>3619</v>
      </c>
      <c r="I2617" s="1115" t="n">
        <v>68230</v>
      </c>
      <c r="J2617" s="1115" t="s">
        <v>761</v>
      </c>
    </row>
    <row r="2618" customFormat="false" ht="14.1" hidden="false" customHeight="true" outlineLevel="0" collapsed="false">
      <c r="A2618" s="1115" t="n">
        <v>68220</v>
      </c>
      <c r="B2618" s="1115" t="s">
        <v>165</v>
      </c>
      <c r="C2618" s="1115" t="n">
        <v>68220</v>
      </c>
      <c r="D2618" s="1115" t="s">
        <v>2242</v>
      </c>
      <c r="E2618" s="1115" t="s">
        <v>3620</v>
      </c>
      <c r="F2618" s="1115" t="n">
        <v>72950</v>
      </c>
      <c r="G2618" s="1115" t="n">
        <v>69440</v>
      </c>
      <c r="H2618" s="1115" t="s">
        <v>1167</v>
      </c>
      <c r="I2618" s="1115" t="n">
        <v>68240</v>
      </c>
      <c r="J2618" s="1115" t="s">
        <v>761</v>
      </c>
    </row>
    <row r="2619" customFormat="false" ht="14.1" hidden="false" customHeight="true" outlineLevel="0" collapsed="false">
      <c r="A2619" s="1115" t="n">
        <v>68230</v>
      </c>
      <c r="B2619" s="1115" t="s">
        <v>165</v>
      </c>
      <c r="C2619" s="1115" t="n">
        <v>68230</v>
      </c>
      <c r="D2619" s="1115" t="s">
        <v>1185</v>
      </c>
      <c r="E2619" s="1115" t="s">
        <v>1331</v>
      </c>
      <c r="F2619" s="1115" t="n">
        <v>6100</v>
      </c>
      <c r="G2619" s="1115" t="n">
        <v>69450</v>
      </c>
      <c r="H2619" s="1115" t="s">
        <v>3621</v>
      </c>
      <c r="I2619" s="1115" t="n">
        <v>68300</v>
      </c>
      <c r="J2619" s="1115" t="s">
        <v>761</v>
      </c>
    </row>
    <row r="2620" customFormat="false" ht="14.1" hidden="false" customHeight="true" outlineLevel="0" collapsed="false">
      <c r="A2620" s="1115" t="n">
        <v>68240</v>
      </c>
      <c r="B2620" s="1115" t="s">
        <v>165</v>
      </c>
      <c r="C2620" s="1115" t="n">
        <v>68240</v>
      </c>
      <c r="D2620" s="1115" t="s">
        <v>858</v>
      </c>
      <c r="E2620" s="1115" t="s">
        <v>1331</v>
      </c>
      <c r="F2620" s="1115" t="n">
        <v>6150</v>
      </c>
      <c r="G2620" s="1115" t="n">
        <v>69510</v>
      </c>
      <c r="H2620" s="1115" t="s">
        <v>815</v>
      </c>
      <c r="I2620" s="1115" t="n">
        <v>68320</v>
      </c>
      <c r="J2620" s="1115" t="s">
        <v>761</v>
      </c>
    </row>
    <row r="2621" customFormat="false" ht="14.1" hidden="false" customHeight="true" outlineLevel="0" collapsed="false">
      <c r="A2621" s="1115" t="n">
        <v>68300</v>
      </c>
      <c r="B2621" s="1115" t="s">
        <v>165</v>
      </c>
      <c r="C2621" s="1115" t="n">
        <v>68300</v>
      </c>
      <c r="D2621" s="1115" t="s">
        <v>1140</v>
      </c>
      <c r="E2621" s="1115" t="s">
        <v>1331</v>
      </c>
      <c r="F2621" s="1115" t="n">
        <v>6200</v>
      </c>
      <c r="G2621" s="1115" t="n">
        <v>69550</v>
      </c>
      <c r="H2621" s="1115" t="s">
        <v>2206</v>
      </c>
      <c r="I2621" s="1115" t="n">
        <v>68370</v>
      </c>
      <c r="J2621" s="1115" t="s">
        <v>761</v>
      </c>
    </row>
    <row r="2622" customFormat="false" ht="14.1" hidden="false" customHeight="true" outlineLevel="0" collapsed="false">
      <c r="A2622" s="1115" t="n">
        <v>68320</v>
      </c>
      <c r="B2622" s="1115" t="s">
        <v>165</v>
      </c>
      <c r="C2622" s="1115" t="n">
        <v>68320</v>
      </c>
      <c r="D2622" s="1115" t="s">
        <v>3596</v>
      </c>
      <c r="E2622" s="1115" t="s">
        <v>1331</v>
      </c>
      <c r="F2622" s="1115" t="n">
        <v>6400</v>
      </c>
      <c r="G2622" s="1115" t="n">
        <v>69570</v>
      </c>
      <c r="H2622" s="1115" t="s">
        <v>2290</v>
      </c>
      <c r="I2622" s="1115" t="n">
        <v>68380</v>
      </c>
      <c r="J2622" s="1115" t="s">
        <v>761</v>
      </c>
    </row>
    <row r="2623" customFormat="false" ht="14.1" hidden="false" customHeight="true" outlineLevel="0" collapsed="false">
      <c r="A2623" s="1115" t="n">
        <v>68370</v>
      </c>
      <c r="B2623" s="1115" t="s">
        <v>165</v>
      </c>
      <c r="C2623" s="1115" t="n">
        <v>68370</v>
      </c>
      <c r="D2623" s="1115" t="s">
        <v>1577</v>
      </c>
      <c r="E2623" s="1115" t="s">
        <v>1331</v>
      </c>
      <c r="F2623" s="1115" t="n">
        <v>6450</v>
      </c>
      <c r="G2623" s="1115" t="n">
        <v>69600</v>
      </c>
      <c r="H2623" s="1115" t="s">
        <v>1028</v>
      </c>
      <c r="I2623" s="1115" t="n">
        <v>68390</v>
      </c>
      <c r="J2623" s="1115" t="s">
        <v>761</v>
      </c>
    </row>
    <row r="2624" customFormat="false" ht="14.1" hidden="false" customHeight="true" outlineLevel="0" collapsed="false">
      <c r="A2624" s="1115" t="n">
        <v>68380</v>
      </c>
      <c r="B2624" s="1115" t="s">
        <v>165</v>
      </c>
      <c r="C2624" s="1115" t="n">
        <v>68380</v>
      </c>
      <c r="D2624" s="1115" t="s">
        <v>3598</v>
      </c>
      <c r="E2624" s="1115" t="s">
        <v>1365</v>
      </c>
      <c r="F2624" s="1115" t="n">
        <v>97900</v>
      </c>
      <c r="G2624" s="1115" t="n">
        <v>69660</v>
      </c>
      <c r="H2624" s="1115" t="s">
        <v>2834</v>
      </c>
      <c r="I2624" s="1115" t="n">
        <v>68410</v>
      </c>
      <c r="J2624" s="1115" t="s">
        <v>1114</v>
      </c>
    </row>
    <row r="2625" customFormat="false" ht="14.1" hidden="false" customHeight="true" outlineLevel="0" collapsed="false">
      <c r="A2625" s="1115" t="n">
        <v>68390</v>
      </c>
      <c r="B2625" s="1115" t="s">
        <v>165</v>
      </c>
      <c r="C2625" s="1115" t="n">
        <v>68390</v>
      </c>
      <c r="D2625" s="1115" t="s">
        <v>3599</v>
      </c>
      <c r="E2625" s="1115" t="s">
        <v>3622</v>
      </c>
      <c r="F2625" s="1115" t="n">
        <v>82520</v>
      </c>
      <c r="G2625" s="1115" t="n">
        <v>69700</v>
      </c>
      <c r="H2625" s="1115" t="s">
        <v>1614</v>
      </c>
      <c r="I2625" s="1115" t="n">
        <v>68420</v>
      </c>
      <c r="J2625" s="1115" t="s">
        <v>1114</v>
      </c>
    </row>
    <row r="2626" customFormat="false" ht="14.1" hidden="false" customHeight="true" outlineLevel="0" collapsed="false">
      <c r="A2626" s="1115" t="n">
        <v>68410</v>
      </c>
      <c r="B2626" s="1115" t="s">
        <v>165</v>
      </c>
      <c r="C2626" s="1115" t="n">
        <v>68410</v>
      </c>
      <c r="D2626" s="1115" t="s">
        <v>877</v>
      </c>
      <c r="E2626" s="1115" t="s">
        <v>3623</v>
      </c>
      <c r="F2626" s="1115" t="n">
        <v>93730</v>
      </c>
      <c r="G2626" s="1115" t="n">
        <v>69730</v>
      </c>
      <c r="H2626" s="1115" t="s">
        <v>3624</v>
      </c>
      <c r="I2626" s="1115" t="n">
        <v>68430</v>
      </c>
      <c r="J2626" s="1115" t="s">
        <v>1114</v>
      </c>
    </row>
    <row r="2627" customFormat="false" ht="14.1" hidden="false" customHeight="true" outlineLevel="0" collapsed="false">
      <c r="A2627" s="1115" t="n">
        <v>68420</v>
      </c>
      <c r="B2627" s="1115" t="s">
        <v>165</v>
      </c>
      <c r="C2627" s="1115" t="n">
        <v>68420</v>
      </c>
      <c r="D2627" s="1115" t="s">
        <v>3601</v>
      </c>
      <c r="E2627" s="1115" t="s">
        <v>3625</v>
      </c>
      <c r="F2627" s="1115" t="n">
        <v>71175</v>
      </c>
      <c r="G2627" s="1115" t="n">
        <v>69750</v>
      </c>
      <c r="H2627" s="1115" t="s">
        <v>3626</v>
      </c>
      <c r="I2627" s="1115" t="n">
        <v>68500</v>
      </c>
      <c r="J2627" s="1115" t="s">
        <v>1114</v>
      </c>
    </row>
    <row r="2628" customFormat="false" ht="14.1" hidden="false" customHeight="true" outlineLevel="0" collapsed="false">
      <c r="A2628" s="1115" t="n">
        <v>68430</v>
      </c>
      <c r="B2628" s="1115" t="s">
        <v>165</v>
      </c>
      <c r="C2628" s="1115" t="n">
        <v>68430</v>
      </c>
      <c r="D2628" s="1115" t="s">
        <v>3349</v>
      </c>
      <c r="E2628" s="1115" t="s">
        <v>1970</v>
      </c>
      <c r="F2628" s="1115" t="n">
        <v>21540</v>
      </c>
      <c r="G2628" s="1115" t="n">
        <v>69820</v>
      </c>
      <c r="H2628" s="1115" t="s">
        <v>3627</v>
      </c>
      <c r="I2628" s="1115" t="n">
        <v>68530</v>
      </c>
      <c r="J2628" s="1115" t="s">
        <v>1114</v>
      </c>
    </row>
    <row r="2629" customFormat="false" ht="14.1" hidden="false" customHeight="true" outlineLevel="0" collapsed="false">
      <c r="A2629" s="1115" t="n">
        <v>68500</v>
      </c>
      <c r="B2629" s="1115" t="s">
        <v>165</v>
      </c>
      <c r="C2629" s="1115" t="n">
        <v>68500</v>
      </c>
      <c r="D2629" s="1115" t="s">
        <v>1114</v>
      </c>
      <c r="E2629" s="1115" t="s">
        <v>1961</v>
      </c>
      <c r="F2629" s="1115" t="n">
        <v>21480</v>
      </c>
      <c r="G2629" s="1115" t="n">
        <v>69830</v>
      </c>
      <c r="H2629" s="1115" t="s">
        <v>3628</v>
      </c>
      <c r="I2629" s="1115" t="n">
        <v>68550</v>
      </c>
      <c r="J2629" s="1115" t="s">
        <v>1114</v>
      </c>
    </row>
    <row r="2630" customFormat="false" ht="14.1" hidden="false" customHeight="true" outlineLevel="0" collapsed="false">
      <c r="A2630" s="1115" t="n">
        <v>68530</v>
      </c>
      <c r="B2630" s="1115" t="s">
        <v>165</v>
      </c>
      <c r="C2630" s="1115" t="n">
        <v>68530</v>
      </c>
      <c r="D2630" s="1115" t="s">
        <v>2964</v>
      </c>
      <c r="E2630" s="1115" t="s">
        <v>1368</v>
      </c>
      <c r="F2630" s="1115" t="n">
        <v>93100</v>
      </c>
      <c r="G2630" s="1115" t="n">
        <v>69850</v>
      </c>
      <c r="H2630" s="1115" t="s">
        <v>3500</v>
      </c>
      <c r="I2630" s="1115" t="n">
        <v>68555</v>
      </c>
      <c r="J2630" s="1115" t="s">
        <v>1114</v>
      </c>
    </row>
    <row r="2631" customFormat="false" ht="14.1" hidden="false" customHeight="true" outlineLevel="0" collapsed="false">
      <c r="A2631" s="1115" t="n">
        <v>68550</v>
      </c>
      <c r="B2631" s="1115" t="s">
        <v>165</v>
      </c>
      <c r="C2631" s="1115" t="n">
        <v>68550</v>
      </c>
      <c r="D2631" s="1115" t="s">
        <v>3603</v>
      </c>
      <c r="E2631" s="1115" t="s">
        <v>3313</v>
      </c>
      <c r="F2631" s="1115" t="n">
        <v>58685</v>
      </c>
      <c r="G2631" s="1115" t="n">
        <v>69910</v>
      </c>
      <c r="H2631" s="1115" t="s">
        <v>2451</v>
      </c>
      <c r="I2631" s="1115" t="n">
        <v>68560</v>
      </c>
      <c r="J2631" s="1115" t="s">
        <v>1114</v>
      </c>
    </row>
    <row r="2632" customFormat="false" ht="14.1" hidden="false" customHeight="true" outlineLevel="0" collapsed="false">
      <c r="A2632" s="1115" t="n">
        <v>68555</v>
      </c>
      <c r="B2632" s="1115" t="s">
        <v>165</v>
      </c>
      <c r="C2632" s="1115" t="n">
        <v>68555</v>
      </c>
      <c r="D2632" s="1115" t="s">
        <v>1005</v>
      </c>
      <c r="E2632" s="1115" t="s">
        <v>3629</v>
      </c>
      <c r="F2632" s="1115" t="n">
        <v>82430</v>
      </c>
      <c r="G2632" s="1115" t="n">
        <v>69920</v>
      </c>
      <c r="H2632" s="1115" t="s">
        <v>3396</v>
      </c>
      <c r="I2632" s="1115" t="n">
        <v>68570</v>
      </c>
      <c r="J2632" s="1115" t="s">
        <v>1114</v>
      </c>
    </row>
    <row r="2633" customFormat="false" ht="14.1" hidden="false" customHeight="true" outlineLevel="0" collapsed="false">
      <c r="A2633" s="1115" t="n">
        <v>68560</v>
      </c>
      <c r="B2633" s="1115" t="s">
        <v>165</v>
      </c>
      <c r="C2633" s="1115" t="n">
        <v>68560</v>
      </c>
      <c r="D2633" s="1115" t="s">
        <v>1189</v>
      </c>
      <c r="E2633" s="1115" t="s">
        <v>3630</v>
      </c>
      <c r="F2633" s="1115" t="n">
        <v>93390</v>
      </c>
      <c r="G2633" s="1115" t="n">
        <v>69950</v>
      </c>
      <c r="H2633" s="1115" t="s">
        <v>1328</v>
      </c>
      <c r="I2633" s="1115" t="n">
        <v>68580</v>
      </c>
      <c r="J2633" s="1115" t="s">
        <v>1114</v>
      </c>
    </row>
    <row r="2634" customFormat="false" ht="14.1" hidden="false" customHeight="true" outlineLevel="0" collapsed="false">
      <c r="A2634" s="1115" t="n">
        <v>68570</v>
      </c>
      <c r="B2634" s="1115" t="s">
        <v>165</v>
      </c>
      <c r="C2634" s="1115" t="n">
        <v>68570</v>
      </c>
      <c r="D2634" s="1115" t="s">
        <v>3067</v>
      </c>
      <c r="E2634" s="1115" t="s">
        <v>3631</v>
      </c>
      <c r="F2634" s="1115" t="n">
        <v>82440</v>
      </c>
      <c r="G2634" s="1115" t="n">
        <v>69970</v>
      </c>
      <c r="H2634" s="1115" t="s">
        <v>3632</v>
      </c>
      <c r="I2634" s="1115" t="n">
        <v>68600</v>
      </c>
      <c r="J2634" s="1115" t="s">
        <v>1344</v>
      </c>
    </row>
    <row r="2635" customFormat="false" ht="14.1" hidden="false" customHeight="true" outlineLevel="0" collapsed="false">
      <c r="A2635" s="1115" t="n">
        <v>68580</v>
      </c>
      <c r="B2635" s="1115" t="s">
        <v>165</v>
      </c>
      <c r="C2635" s="1115" t="n">
        <v>68580</v>
      </c>
      <c r="D2635" s="1115" t="s">
        <v>1229</v>
      </c>
      <c r="E2635" s="1115" t="s">
        <v>3633</v>
      </c>
      <c r="F2635" s="1115" t="n">
        <v>70330</v>
      </c>
      <c r="G2635" s="1115" t="n">
        <v>69980</v>
      </c>
      <c r="H2635" s="1115" t="s">
        <v>3274</v>
      </c>
      <c r="I2635" s="1115" t="n">
        <v>68620</v>
      </c>
      <c r="J2635" s="1115" t="s">
        <v>1344</v>
      </c>
    </row>
    <row r="2636" customFormat="false" ht="14.1" hidden="false" customHeight="true" outlineLevel="0" collapsed="false">
      <c r="A2636" s="1115" t="n">
        <v>68600</v>
      </c>
      <c r="B2636" s="1115" t="s">
        <v>165</v>
      </c>
      <c r="C2636" s="1115" t="n">
        <v>68600</v>
      </c>
      <c r="D2636" s="1115" t="s">
        <v>1344</v>
      </c>
      <c r="E2636" s="1115" t="s">
        <v>2673</v>
      </c>
      <c r="F2636" s="1115" t="n">
        <v>38980</v>
      </c>
      <c r="G2636" s="1115" t="n">
        <v>70100</v>
      </c>
      <c r="H2636" s="1115" t="s">
        <v>166</v>
      </c>
      <c r="I2636" s="1115" t="n">
        <v>68630</v>
      </c>
      <c r="J2636" s="1115" t="s">
        <v>1344</v>
      </c>
    </row>
    <row r="2637" customFormat="false" ht="14.1" hidden="false" customHeight="true" outlineLevel="0" collapsed="false">
      <c r="A2637" s="1115" t="n">
        <v>68620</v>
      </c>
      <c r="B2637" s="1115" t="s">
        <v>165</v>
      </c>
      <c r="C2637" s="1115" t="n">
        <v>68620</v>
      </c>
      <c r="D2637" s="1115" t="s">
        <v>1344</v>
      </c>
      <c r="E2637" s="1115" t="s">
        <v>1457</v>
      </c>
      <c r="F2637" s="1115" t="n">
        <v>7830</v>
      </c>
      <c r="G2637" s="1115" t="n">
        <v>70200</v>
      </c>
      <c r="H2637" s="1115" t="s">
        <v>166</v>
      </c>
      <c r="I2637" s="1115" t="n">
        <v>68660</v>
      </c>
      <c r="J2637" s="1115" t="s">
        <v>1344</v>
      </c>
    </row>
    <row r="2638" customFormat="false" ht="14.1" hidden="false" customHeight="true" outlineLevel="0" collapsed="false">
      <c r="A2638" s="1115" t="n">
        <v>68630</v>
      </c>
      <c r="B2638" s="1115" t="s">
        <v>165</v>
      </c>
      <c r="C2638" s="1115" t="n">
        <v>68630</v>
      </c>
      <c r="D2638" s="1115" t="s">
        <v>1344</v>
      </c>
      <c r="E2638" s="1115" t="s">
        <v>1370</v>
      </c>
      <c r="F2638" s="1115" t="n">
        <v>7560</v>
      </c>
      <c r="G2638" s="1115" t="n">
        <v>70210</v>
      </c>
      <c r="H2638" s="1115" t="s">
        <v>166</v>
      </c>
      <c r="I2638" s="1115" t="n">
        <v>68700</v>
      </c>
      <c r="J2638" s="1115" t="s">
        <v>1344</v>
      </c>
    </row>
    <row r="2639" customFormat="false" ht="14.1" hidden="false" customHeight="true" outlineLevel="0" collapsed="false">
      <c r="A2639" s="1115" t="n">
        <v>68660</v>
      </c>
      <c r="B2639" s="1115" t="s">
        <v>165</v>
      </c>
      <c r="C2639" s="1115" t="n">
        <v>68660</v>
      </c>
      <c r="D2639" s="1115" t="s">
        <v>1344</v>
      </c>
      <c r="E2639" s="1115" t="s">
        <v>3634</v>
      </c>
      <c r="F2639" s="1115" t="n">
        <v>99170</v>
      </c>
      <c r="G2639" s="1115" t="n">
        <v>70240</v>
      </c>
      <c r="H2639" s="1115" t="s">
        <v>166</v>
      </c>
      <c r="I2639" s="1115" t="n">
        <v>68710</v>
      </c>
      <c r="J2639" s="1115" t="s">
        <v>1344</v>
      </c>
    </row>
    <row r="2640" customFormat="false" ht="14.1" hidden="false" customHeight="true" outlineLevel="0" collapsed="false">
      <c r="A2640" s="1115" t="n">
        <v>68700</v>
      </c>
      <c r="B2640" s="1115" t="s">
        <v>165</v>
      </c>
      <c r="C2640" s="1115" t="n">
        <v>68700</v>
      </c>
      <c r="D2640" s="1115" t="s">
        <v>3606</v>
      </c>
      <c r="E2640" s="1115" t="s">
        <v>1373</v>
      </c>
      <c r="F2640" s="1115" t="n">
        <v>92600</v>
      </c>
      <c r="G2640" s="1115" t="n">
        <v>70260</v>
      </c>
      <c r="H2640" s="1115" t="s">
        <v>166</v>
      </c>
      <c r="I2640" s="1115" t="n">
        <v>68730</v>
      </c>
      <c r="J2640" s="1115" t="s">
        <v>1344</v>
      </c>
    </row>
    <row r="2641" customFormat="false" ht="14.1" hidden="false" customHeight="true" outlineLevel="0" collapsed="false">
      <c r="A2641" s="1115" t="n">
        <v>68710</v>
      </c>
      <c r="B2641" s="1115" t="s">
        <v>165</v>
      </c>
      <c r="C2641" s="1115" t="n">
        <v>68710</v>
      </c>
      <c r="D2641" s="1115" t="s">
        <v>1901</v>
      </c>
      <c r="E2641" s="1115" t="s">
        <v>3628</v>
      </c>
      <c r="F2641" s="1115" t="n">
        <v>69830</v>
      </c>
      <c r="G2641" s="1115" t="n">
        <v>70280</v>
      </c>
      <c r="H2641" s="1115" t="s">
        <v>166</v>
      </c>
      <c r="I2641" s="1115" t="n">
        <v>68740</v>
      </c>
      <c r="J2641" s="1115" t="s">
        <v>1344</v>
      </c>
    </row>
    <row r="2642" customFormat="false" ht="14.1" hidden="false" customHeight="true" outlineLevel="0" collapsed="false">
      <c r="A2642" s="1115" t="n">
        <v>68730</v>
      </c>
      <c r="B2642" s="1115" t="s">
        <v>165</v>
      </c>
      <c r="C2642" s="1115" t="n">
        <v>68730</v>
      </c>
      <c r="D2642" s="1115" t="s">
        <v>2579</v>
      </c>
      <c r="E2642" s="1115" t="s">
        <v>3635</v>
      </c>
      <c r="F2642" s="1115" t="n">
        <v>71680</v>
      </c>
      <c r="G2642" s="1115" t="n">
        <v>70300</v>
      </c>
      <c r="H2642" s="1115" t="s">
        <v>166</v>
      </c>
      <c r="I2642" s="1115" t="n">
        <v>68750</v>
      </c>
      <c r="J2642" s="1115" t="s">
        <v>1344</v>
      </c>
    </row>
    <row r="2643" customFormat="false" ht="14.1" hidden="false" customHeight="true" outlineLevel="0" collapsed="false">
      <c r="A2643" s="1115" t="n">
        <v>68740</v>
      </c>
      <c r="B2643" s="1115" t="s">
        <v>165</v>
      </c>
      <c r="C2643" s="1115" t="n">
        <v>68740</v>
      </c>
      <c r="D2643" s="1115" t="s">
        <v>1903</v>
      </c>
      <c r="E2643" s="1115" t="s">
        <v>3166</v>
      </c>
      <c r="F2643" s="1115" t="n">
        <v>54120</v>
      </c>
      <c r="G2643" s="1115" t="n">
        <v>70330</v>
      </c>
      <c r="H2643" s="1115" t="s">
        <v>3633</v>
      </c>
      <c r="I2643" s="1115" t="n">
        <v>68800</v>
      </c>
      <c r="J2643" s="1115" t="s">
        <v>1344</v>
      </c>
    </row>
    <row r="2644" customFormat="false" ht="14.1" hidden="false" customHeight="true" outlineLevel="0" collapsed="false">
      <c r="A2644" s="1115" t="n">
        <v>68750</v>
      </c>
      <c r="B2644" s="1115" t="s">
        <v>165</v>
      </c>
      <c r="C2644" s="1115" t="n">
        <v>68750</v>
      </c>
      <c r="D2644" s="1115" t="s">
        <v>3607</v>
      </c>
      <c r="E2644" s="1115" t="s">
        <v>3180</v>
      </c>
      <c r="F2644" s="1115" t="n">
        <v>54390</v>
      </c>
      <c r="G2644" s="1115" t="n">
        <v>70340</v>
      </c>
      <c r="H2644" s="1115" t="s">
        <v>166</v>
      </c>
      <c r="I2644" s="1115" t="n">
        <v>68810</v>
      </c>
      <c r="J2644" s="1115" t="s">
        <v>1344</v>
      </c>
    </row>
    <row r="2645" customFormat="false" ht="14.1" hidden="false" customHeight="true" outlineLevel="0" collapsed="false">
      <c r="A2645" s="1115" t="n">
        <v>68800</v>
      </c>
      <c r="B2645" s="1115" t="s">
        <v>165</v>
      </c>
      <c r="C2645" s="1115" t="n">
        <v>68800</v>
      </c>
      <c r="D2645" s="1115" t="s">
        <v>2798</v>
      </c>
      <c r="E2645" s="1115" t="s">
        <v>1376</v>
      </c>
      <c r="F2645" s="1115" t="n">
        <v>58450</v>
      </c>
      <c r="G2645" s="1115" t="n">
        <v>70400</v>
      </c>
      <c r="H2645" s="1115" t="s">
        <v>166</v>
      </c>
      <c r="I2645" s="1115" t="n">
        <v>68820</v>
      </c>
      <c r="J2645" s="1115" t="s">
        <v>1344</v>
      </c>
    </row>
    <row r="2646" customFormat="false" ht="14.1" hidden="false" customHeight="true" outlineLevel="0" collapsed="false">
      <c r="A2646" s="1115" t="n">
        <v>68810</v>
      </c>
      <c r="B2646" s="1115" t="s">
        <v>165</v>
      </c>
      <c r="C2646" s="1115" t="n">
        <v>68810</v>
      </c>
      <c r="D2646" s="1115" t="s">
        <v>3608</v>
      </c>
      <c r="E2646" s="1115" t="s">
        <v>1379</v>
      </c>
      <c r="F2646" s="1115" t="n">
        <v>31900</v>
      </c>
      <c r="G2646" s="1115" t="n">
        <v>70420</v>
      </c>
      <c r="H2646" s="1115" t="s">
        <v>166</v>
      </c>
      <c r="I2646" s="1115" t="n">
        <v>68830</v>
      </c>
      <c r="J2646" s="1115" t="s">
        <v>1344</v>
      </c>
    </row>
    <row r="2647" customFormat="false" ht="14.1" hidden="false" customHeight="true" outlineLevel="0" collapsed="false">
      <c r="A2647" s="1115" t="n">
        <v>68820</v>
      </c>
      <c r="B2647" s="1115" t="s">
        <v>165</v>
      </c>
      <c r="C2647" s="1115" t="n">
        <v>68820</v>
      </c>
      <c r="D2647" s="1115" t="s">
        <v>1172</v>
      </c>
      <c r="E2647" s="1115" t="s">
        <v>3294</v>
      </c>
      <c r="F2647" s="1115" t="n">
        <v>58500</v>
      </c>
      <c r="G2647" s="1115" t="n">
        <v>70460</v>
      </c>
      <c r="H2647" s="1115" t="s">
        <v>166</v>
      </c>
      <c r="I2647" s="1115" t="n">
        <v>68840</v>
      </c>
      <c r="J2647" s="1115" t="s">
        <v>1344</v>
      </c>
    </row>
    <row r="2648" customFormat="false" ht="14.1" hidden="false" customHeight="true" outlineLevel="0" collapsed="false">
      <c r="A2648" s="1115" t="n">
        <v>68830</v>
      </c>
      <c r="B2648" s="1115" t="s">
        <v>165</v>
      </c>
      <c r="C2648" s="1115" t="n">
        <v>68830</v>
      </c>
      <c r="D2648" s="1115" t="s">
        <v>1027</v>
      </c>
      <c r="E2648" s="1115" t="s">
        <v>3636</v>
      </c>
      <c r="F2648" s="1115" t="n">
        <v>71590</v>
      </c>
      <c r="G2648" s="1115" t="n">
        <v>70500</v>
      </c>
      <c r="H2648" s="1115" t="s">
        <v>166</v>
      </c>
      <c r="I2648" s="1115" t="n">
        <v>68840</v>
      </c>
      <c r="J2648" s="1115" t="s">
        <v>1344</v>
      </c>
    </row>
    <row r="2649" customFormat="false" ht="14.1" hidden="false" customHeight="true" outlineLevel="0" collapsed="false">
      <c r="A2649" s="1115" t="n">
        <v>68840</v>
      </c>
      <c r="B2649" s="1115" t="s">
        <v>165</v>
      </c>
      <c r="C2649" s="1115" t="n">
        <v>68840</v>
      </c>
      <c r="D2649" s="1115" t="s">
        <v>3297</v>
      </c>
      <c r="E2649" s="1115" t="s">
        <v>3238</v>
      </c>
      <c r="F2649" s="1115" t="n">
        <v>56510</v>
      </c>
      <c r="G2649" s="1115" t="n">
        <v>70600</v>
      </c>
      <c r="H2649" s="1115" t="s">
        <v>166</v>
      </c>
      <c r="I2649" s="1115" t="n">
        <v>68870</v>
      </c>
      <c r="J2649" s="1115" t="s">
        <v>1344</v>
      </c>
    </row>
    <row r="2650" customFormat="false" ht="14.1" hidden="false" customHeight="true" outlineLevel="0" collapsed="false">
      <c r="A2650" s="1115" t="n">
        <v>68840</v>
      </c>
      <c r="B2650" s="1115" t="s">
        <v>165</v>
      </c>
      <c r="C2650" s="1115" t="n">
        <v>68840</v>
      </c>
      <c r="D2650" s="1115" t="s">
        <v>3297</v>
      </c>
      <c r="E2650" s="1115" t="s">
        <v>2571</v>
      </c>
      <c r="F2650" s="1115" t="n">
        <v>36820</v>
      </c>
      <c r="G2650" s="1115" t="n">
        <v>70620</v>
      </c>
      <c r="H2650" s="1115" t="s">
        <v>166</v>
      </c>
      <c r="I2650" s="1115" t="n">
        <v>68890</v>
      </c>
      <c r="J2650" s="1115" t="s">
        <v>1344</v>
      </c>
    </row>
    <row r="2651" customFormat="false" ht="14.1" hidden="false" customHeight="true" outlineLevel="0" collapsed="false">
      <c r="A2651" s="1115" t="n">
        <v>68870</v>
      </c>
      <c r="B2651" s="1115" t="s">
        <v>165</v>
      </c>
      <c r="C2651" s="1115" t="n">
        <v>68870</v>
      </c>
      <c r="D2651" s="1115" t="s">
        <v>1052</v>
      </c>
      <c r="E2651" s="1115" t="s">
        <v>3637</v>
      </c>
      <c r="F2651" s="1115" t="n">
        <v>89210</v>
      </c>
      <c r="G2651" s="1115" t="n">
        <v>70700</v>
      </c>
      <c r="H2651" s="1115" t="s">
        <v>166</v>
      </c>
      <c r="I2651" s="1115" t="n">
        <v>68910</v>
      </c>
      <c r="J2651" s="1115" t="s">
        <v>1344</v>
      </c>
    </row>
    <row r="2652" customFormat="false" ht="14.1" hidden="false" customHeight="true" outlineLevel="0" collapsed="false">
      <c r="A2652" s="1115" t="n">
        <v>68890</v>
      </c>
      <c r="B2652" s="1115" t="s">
        <v>165</v>
      </c>
      <c r="C2652" s="1115" t="n">
        <v>68890</v>
      </c>
      <c r="D2652" s="1115" t="s">
        <v>3609</v>
      </c>
      <c r="E2652" s="1115" t="s">
        <v>1382</v>
      </c>
      <c r="F2652" s="1115" t="n">
        <v>89200</v>
      </c>
      <c r="G2652" s="1115" t="n">
        <v>70780</v>
      </c>
      <c r="H2652" s="1115" t="s">
        <v>166</v>
      </c>
      <c r="I2652" s="1115" t="n">
        <v>68920</v>
      </c>
      <c r="J2652" s="1115" t="s">
        <v>1344</v>
      </c>
    </row>
    <row r="2653" customFormat="false" ht="14.1" hidden="false" customHeight="true" outlineLevel="0" collapsed="false">
      <c r="A2653" s="1115" t="n">
        <v>68910</v>
      </c>
      <c r="B2653" s="1115" t="s">
        <v>165</v>
      </c>
      <c r="C2653" s="1115" t="n">
        <v>68910</v>
      </c>
      <c r="D2653" s="1115" t="s">
        <v>976</v>
      </c>
      <c r="E2653" s="1115" t="s">
        <v>3638</v>
      </c>
      <c r="F2653" s="1115" t="n">
        <v>79265</v>
      </c>
      <c r="G2653" s="1115" t="n">
        <v>70800</v>
      </c>
      <c r="H2653" s="1115" t="s">
        <v>166</v>
      </c>
      <c r="I2653" s="1115" t="n">
        <v>68930</v>
      </c>
      <c r="J2653" s="1115" t="s">
        <v>1344</v>
      </c>
    </row>
    <row r="2654" customFormat="false" ht="14.1" hidden="false" customHeight="true" outlineLevel="0" collapsed="false">
      <c r="A2654" s="1115" t="n">
        <v>68920</v>
      </c>
      <c r="B2654" s="1115" t="s">
        <v>165</v>
      </c>
      <c r="C2654" s="1115" t="n">
        <v>68920</v>
      </c>
      <c r="D2654" s="1115" t="s">
        <v>1218</v>
      </c>
      <c r="E2654" s="1115" t="s">
        <v>2915</v>
      </c>
      <c r="F2654" s="1115" t="n">
        <v>44620</v>
      </c>
      <c r="G2654" s="1115" t="n">
        <v>70820</v>
      </c>
      <c r="H2654" s="1115" t="s">
        <v>166</v>
      </c>
      <c r="I2654" s="1115" t="n">
        <v>68940</v>
      </c>
      <c r="J2654" s="1115" t="s">
        <v>1344</v>
      </c>
    </row>
    <row r="2655" customFormat="false" ht="14.1" hidden="false" customHeight="true" outlineLevel="0" collapsed="false">
      <c r="A2655" s="1115" t="n">
        <v>68930</v>
      </c>
      <c r="B2655" s="1115" t="s">
        <v>165</v>
      </c>
      <c r="C2655" s="1115" t="n">
        <v>68930</v>
      </c>
      <c r="D2655" s="1115" t="s">
        <v>3610</v>
      </c>
      <c r="E2655" s="1115" t="s">
        <v>2880</v>
      </c>
      <c r="F2655" s="1115" t="n">
        <v>43820</v>
      </c>
      <c r="G2655" s="1115" t="n">
        <v>70840</v>
      </c>
      <c r="H2655" s="1115" t="s">
        <v>166</v>
      </c>
      <c r="I2655" s="1115" t="n">
        <v>68970</v>
      </c>
      <c r="J2655" s="1115" t="s">
        <v>1344</v>
      </c>
    </row>
    <row r="2656" customFormat="false" ht="14.1" hidden="false" customHeight="true" outlineLevel="0" collapsed="false">
      <c r="A2656" s="1115" t="n">
        <v>68940</v>
      </c>
      <c r="B2656" s="1115" t="s">
        <v>165</v>
      </c>
      <c r="C2656" s="1115" t="n">
        <v>68940</v>
      </c>
      <c r="D2656" s="1115" t="s">
        <v>3000</v>
      </c>
      <c r="E2656" s="1115" t="s">
        <v>3022</v>
      </c>
      <c r="F2656" s="1115" t="n">
        <v>49590</v>
      </c>
      <c r="G2656" s="1115" t="n">
        <v>70870</v>
      </c>
      <c r="H2656" s="1115" t="s">
        <v>1707</v>
      </c>
      <c r="I2656" s="1115" t="n">
        <v>68970</v>
      </c>
      <c r="J2656" s="1115" t="s">
        <v>1344</v>
      </c>
    </row>
    <row r="2657" customFormat="false" ht="14.1" hidden="false" customHeight="true" outlineLevel="0" collapsed="false">
      <c r="A2657" s="1115" t="n">
        <v>68970</v>
      </c>
      <c r="B2657" s="1115" t="s">
        <v>165</v>
      </c>
      <c r="C2657" s="1115" t="n">
        <v>68970</v>
      </c>
      <c r="D2657" s="1115" t="s">
        <v>3611</v>
      </c>
      <c r="E2657" s="1115" t="s">
        <v>3610</v>
      </c>
      <c r="F2657" s="1115" t="n">
        <v>68930</v>
      </c>
      <c r="G2657" s="1115" t="n">
        <v>70900</v>
      </c>
      <c r="H2657" s="1115" t="s">
        <v>3639</v>
      </c>
      <c r="I2657" s="1115" t="n">
        <v>68999</v>
      </c>
      <c r="J2657" s="1115" t="s">
        <v>761</v>
      </c>
    </row>
    <row r="2658" customFormat="false" ht="14.1" hidden="false" customHeight="true" outlineLevel="0" collapsed="false">
      <c r="A2658" s="1115" t="n">
        <v>68970</v>
      </c>
      <c r="B2658" s="1115" t="s">
        <v>165</v>
      </c>
      <c r="C2658" s="1115" t="n">
        <v>68970</v>
      </c>
      <c r="D2658" s="1115" t="s">
        <v>3611</v>
      </c>
      <c r="E2658" s="1115" t="s">
        <v>3425</v>
      </c>
      <c r="F2658" s="1115" t="n">
        <v>62470</v>
      </c>
      <c r="G2658" s="1115" t="n">
        <v>70910</v>
      </c>
      <c r="H2658" s="1115" t="s">
        <v>3640</v>
      </c>
      <c r="I2658" s="1115" t="n">
        <v>69100</v>
      </c>
      <c r="J2658" s="1115" t="s">
        <v>985</v>
      </c>
    </row>
    <row r="2659" customFormat="false" ht="14.1" hidden="false" customHeight="true" outlineLevel="0" collapsed="false">
      <c r="A2659" s="1115" t="n">
        <v>68999</v>
      </c>
      <c r="B2659" s="1115" t="s">
        <v>165</v>
      </c>
      <c r="C2659" s="1115" t="n">
        <v>68999</v>
      </c>
      <c r="D2659" s="1115" t="s">
        <v>761</v>
      </c>
      <c r="E2659" s="1115" t="s">
        <v>3425</v>
      </c>
      <c r="F2659" s="1115" t="n">
        <v>62470</v>
      </c>
      <c r="G2659" s="1115" t="n">
        <v>70940</v>
      </c>
      <c r="H2659" s="1115" t="s">
        <v>2107</v>
      </c>
      <c r="I2659" s="1115" t="n">
        <v>69150</v>
      </c>
      <c r="J2659" s="1115" t="s">
        <v>985</v>
      </c>
    </row>
    <row r="2660" customFormat="false" ht="14.1" hidden="false" customHeight="true" outlineLevel="0" collapsed="false">
      <c r="A2660" s="1115" t="n">
        <v>69100</v>
      </c>
      <c r="B2660" s="1115" t="s">
        <v>169</v>
      </c>
      <c r="C2660" s="1115" t="n">
        <v>69100</v>
      </c>
      <c r="D2660" s="1115" t="s">
        <v>985</v>
      </c>
      <c r="E2660" s="1115" t="s">
        <v>3241</v>
      </c>
      <c r="F2660" s="1115" t="n">
        <v>56640</v>
      </c>
      <c r="G2660" s="1115" t="n">
        <v>71130</v>
      </c>
      <c r="H2660" s="1115" t="s">
        <v>2572</v>
      </c>
      <c r="I2660" s="1115" t="n">
        <v>69170</v>
      </c>
      <c r="J2660" s="1115" t="s">
        <v>985</v>
      </c>
    </row>
    <row r="2661" customFormat="false" ht="14.1" hidden="false" customHeight="true" outlineLevel="0" collapsed="false">
      <c r="A2661" s="1115" t="n">
        <v>69150</v>
      </c>
      <c r="B2661" s="1115" t="s">
        <v>169</v>
      </c>
      <c r="C2661" s="1115" t="n">
        <v>69150</v>
      </c>
      <c r="D2661" s="1115" t="s">
        <v>1115</v>
      </c>
      <c r="E2661" s="1115" t="s">
        <v>3641</v>
      </c>
      <c r="F2661" s="1115" t="n">
        <v>93650</v>
      </c>
      <c r="G2661" s="1115" t="n">
        <v>71150</v>
      </c>
      <c r="H2661" s="1115" t="s">
        <v>3642</v>
      </c>
      <c r="I2661" s="1115" t="n">
        <v>69300</v>
      </c>
      <c r="J2661" s="1115" t="s">
        <v>1565</v>
      </c>
    </row>
    <row r="2662" customFormat="false" ht="14.1" hidden="false" customHeight="true" outlineLevel="0" collapsed="false">
      <c r="A2662" s="1115" t="n">
        <v>69170</v>
      </c>
      <c r="B2662" s="1115" t="s">
        <v>169</v>
      </c>
      <c r="C2662" s="1115" t="n">
        <v>69170</v>
      </c>
      <c r="D2662" s="1115" t="s">
        <v>3612</v>
      </c>
      <c r="E2662" s="1115" t="s">
        <v>3011</v>
      </c>
      <c r="F2662" s="1115" t="n">
        <v>49240</v>
      </c>
      <c r="G2662" s="1115" t="n">
        <v>71160</v>
      </c>
      <c r="H2662" s="1115" t="s">
        <v>3643</v>
      </c>
      <c r="I2662" s="1115" t="n">
        <v>69310</v>
      </c>
      <c r="J2662" s="1115" t="s">
        <v>1565</v>
      </c>
    </row>
    <row r="2663" customFormat="false" ht="14.1" hidden="false" customHeight="true" outlineLevel="0" collapsed="false">
      <c r="A2663" s="1115" t="n">
        <v>69300</v>
      </c>
      <c r="B2663" s="1115" t="s">
        <v>164</v>
      </c>
      <c r="C2663" s="1115" t="n">
        <v>69300</v>
      </c>
      <c r="D2663" s="1115" t="s">
        <v>1565</v>
      </c>
      <c r="E2663" s="1115" t="s">
        <v>3644</v>
      </c>
      <c r="F2663" s="1115" t="n">
        <v>83140</v>
      </c>
      <c r="G2663" s="1115" t="n">
        <v>71170</v>
      </c>
      <c r="H2663" s="1115" t="s">
        <v>2925</v>
      </c>
      <c r="I2663" s="1115" t="n">
        <v>69330</v>
      </c>
      <c r="J2663" s="1115" t="s">
        <v>1565</v>
      </c>
    </row>
    <row r="2664" customFormat="false" ht="14.1" hidden="false" customHeight="true" outlineLevel="0" collapsed="false">
      <c r="A2664" s="1115" t="n">
        <v>69310</v>
      </c>
      <c r="B2664" s="1115" t="s">
        <v>164</v>
      </c>
      <c r="C2664" s="1115" t="n">
        <v>69310</v>
      </c>
      <c r="D2664" s="1115" t="s">
        <v>2871</v>
      </c>
      <c r="E2664" s="1115" t="s">
        <v>3616</v>
      </c>
      <c r="F2664" s="1115" t="n">
        <v>69340</v>
      </c>
      <c r="G2664" s="1115" t="n">
        <v>71175</v>
      </c>
      <c r="H2664" s="1115" t="s">
        <v>3625</v>
      </c>
      <c r="I2664" s="1115" t="n">
        <v>69340</v>
      </c>
      <c r="J2664" s="1115" t="s">
        <v>1565</v>
      </c>
    </row>
    <row r="2665" customFormat="false" ht="14.1" hidden="false" customHeight="true" outlineLevel="0" collapsed="false">
      <c r="A2665" s="1115" t="n">
        <v>69330</v>
      </c>
      <c r="B2665" s="1115" t="s">
        <v>164</v>
      </c>
      <c r="C2665" s="1115" t="n">
        <v>69330</v>
      </c>
      <c r="D2665" s="1115" t="s">
        <v>3268</v>
      </c>
      <c r="E2665" s="1115" t="s">
        <v>3343</v>
      </c>
      <c r="F2665" s="1115" t="n">
        <v>59820</v>
      </c>
      <c r="G2665" s="1115" t="n">
        <v>71200</v>
      </c>
      <c r="H2665" s="1115" t="s">
        <v>1571</v>
      </c>
      <c r="I2665" s="1115" t="n">
        <v>69410</v>
      </c>
      <c r="J2665" s="1115" t="s">
        <v>1565</v>
      </c>
    </row>
    <row r="2666" customFormat="false" ht="14.1" hidden="false" customHeight="true" outlineLevel="0" collapsed="false">
      <c r="A2666" s="1115" t="n">
        <v>69340</v>
      </c>
      <c r="B2666" s="1115" t="s">
        <v>164</v>
      </c>
      <c r="C2666" s="1115" t="n">
        <v>69340</v>
      </c>
      <c r="D2666" s="1115" t="s">
        <v>3616</v>
      </c>
      <c r="E2666" s="1115" t="s">
        <v>1205</v>
      </c>
      <c r="F2666" s="1115" t="n">
        <v>3850</v>
      </c>
      <c r="G2666" s="1115" t="n">
        <v>71210</v>
      </c>
      <c r="H2666" s="1115" t="s">
        <v>3645</v>
      </c>
      <c r="I2666" s="1115" t="n">
        <v>69420</v>
      </c>
      <c r="J2666" s="1115" t="s">
        <v>1167</v>
      </c>
    </row>
    <row r="2667" customFormat="false" ht="14.1" hidden="false" customHeight="true" outlineLevel="0" collapsed="false">
      <c r="A2667" s="1115" t="n">
        <v>69410</v>
      </c>
      <c r="B2667" s="1115" t="s">
        <v>164</v>
      </c>
      <c r="C2667" s="1115" t="n">
        <v>69410</v>
      </c>
      <c r="D2667" s="1115" t="s">
        <v>3617</v>
      </c>
      <c r="E2667" s="1115" t="s">
        <v>2642</v>
      </c>
      <c r="F2667" s="1115" t="n">
        <v>38540</v>
      </c>
      <c r="G2667" s="1115" t="n">
        <v>71240</v>
      </c>
      <c r="H2667" s="1115" t="s">
        <v>3440</v>
      </c>
      <c r="I2667" s="1115" t="n">
        <v>69440</v>
      </c>
      <c r="J2667" s="1115" t="s">
        <v>1167</v>
      </c>
    </row>
    <row r="2668" customFormat="false" ht="14.1" hidden="false" customHeight="true" outlineLevel="0" collapsed="false">
      <c r="A2668" s="1115" t="n">
        <v>69420</v>
      </c>
      <c r="B2668" s="1115" t="s">
        <v>164</v>
      </c>
      <c r="C2668" s="1115" t="n">
        <v>69420</v>
      </c>
      <c r="D2668" s="1115" t="s">
        <v>3619</v>
      </c>
      <c r="E2668" s="1115" t="s">
        <v>3298</v>
      </c>
      <c r="F2668" s="1115" t="n">
        <v>58550</v>
      </c>
      <c r="G2668" s="1115" t="n">
        <v>71260</v>
      </c>
      <c r="H2668" s="1115" t="s">
        <v>2066</v>
      </c>
      <c r="I2668" s="1115" t="n">
        <v>69450</v>
      </c>
      <c r="J2668" s="1115" t="s">
        <v>1167</v>
      </c>
    </row>
    <row r="2669" customFormat="false" ht="14.1" hidden="false" customHeight="true" outlineLevel="0" collapsed="false">
      <c r="A2669" s="1115" t="n">
        <v>69440</v>
      </c>
      <c r="B2669" s="1115" t="s">
        <v>164</v>
      </c>
      <c r="C2669" s="1115" t="n">
        <v>69440</v>
      </c>
      <c r="D2669" s="1115" t="s">
        <v>1167</v>
      </c>
      <c r="E2669" s="1115" t="s">
        <v>1891</v>
      </c>
      <c r="F2669" s="1115" t="n">
        <v>19850</v>
      </c>
      <c r="G2669" s="1115" t="n">
        <v>71270</v>
      </c>
      <c r="H2669" s="1115" t="s">
        <v>3646</v>
      </c>
      <c r="I2669" s="1115" t="n">
        <v>69510</v>
      </c>
      <c r="J2669" s="1115" t="s">
        <v>815</v>
      </c>
    </row>
    <row r="2670" customFormat="false" ht="14.1" hidden="false" customHeight="true" outlineLevel="0" collapsed="false">
      <c r="A2670" s="1115" t="n">
        <v>69450</v>
      </c>
      <c r="B2670" s="1115" t="s">
        <v>164</v>
      </c>
      <c r="C2670" s="1115" t="n">
        <v>69450</v>
      </c>
      <c r="D2670" s="1115" t="s">
        <v>3621</v>
      </c>
      <c r="E2670" s="1115" t="s">
        <v>1898</v>
      </c>
      <c r="F2670" s="1115" t="n">
        <v>19970</v>
      </c>
      <c r="G2670" s="1115" t="n">
        <v>71280</v>
      </c>
      <c r="H2670" s="1115" t="s">
        <v>2605</v>
      </c>
      <c r="I2670" s="1115" t="n">
        <v>69550</v>
      </c>
      <c r="J2670" s="1115" t="s">
        <v>815</v>
      </c>
    </row>
    <row r="2671" customFormat="false" ht="14.1" hidden="false" customHeight="true" outlineLevel="0" collapsed="false">
      <c r="A2671" s="1115" t="n">
        <v>69510</v>
      </c>
      <c r="B2671" s="1115" t="s">
        <v>164</v>
      </c>
      <c r="C2671" s="1115" t="n">
        <v>69510</v>
      </c>
      <c r="D2671" s="1115" t="s">
        <v>815</v>
      </c>
      <c r="E2671" s="1115" t="s">
        <v>3647</v>
      </c>
      <c r="F2671" s="1115" t="n">
        <v>95667</v>
      </c>
      <c r="G2671" s="1115" t="n">
        <v>71290</v>
      </c>
      <c r="H2671" s="1115" t="s">
        <v>2985</v>
      </c>
      <c r="I2671" s="1115" t="n">
        <v>69570</v>
      </c>
      <c r="J2671" s="1115" t="s">
        <v>815</v>
      </c>
    </row>
    <row r="2672" customFormat="false" ht="14.1" hidden="false" customHeight="true" outlineLevel="0" collapsed="false">
      <c r="A2672" s="1115" t="n">
        <v>69550</v>
      </c>
      <c r="B2672" s="1115" t="s">
        <v>164</v>
      </c>
      <c r="C2672" s="1115" t="n">
        <v>69550</v>
      </c>
      <c r="D2672" s="1115" t="s">
        <v>2206</v>
      </c>
      <c r="E2672" s="1115" t="s">
        <v>3648</v>
      </c>
      <c r="F2672" s="1115" t="n">
        <v>75770</v>
      </c>
      <c r="G2672" s="1115" t="n">
        <v>71310</v>
      </c>
      <c r="H2672" s="1115" t="s">
        <v>3649</v>
      </c>
      <c r="I2672" s="1115" t="n">
        <v>69600</v>
      </c>
      <c r="J2672" s="1115" t="s">
        <v>1028</v>
      </c>
    </row>
    <row r="2673" customFormat="false" ht="14.1" hidden="false" customHeight="true" outlineLevel="0" collapsed="false">
      <c r="A2673" s="1115" t="n">
        <v>69570</v>
      </c>
      <c r="B2673" s="1115" t="s">
        <v>164</v>
      </c>
      <c r="C2673" s="1115" t="n">
        <v>69570</v>
      </c>
      <c r="D2673" s="1115" t="s">
        <v>2290</v>
      </c>
      <c r="E2673" s="1115" t="s">
        <v>1839</v>
      </c>
      <c r="F2673" s="1115" t="n">
        <v>17970</v>
      </c>
      <c r="G2673" s="1115" t="n">
        <v>71320</v>
      </c>
      <c r="H2673" s="1115" t="s">
        <v>1096</v>
      </c>
      <c r="I2673" s="1115" t="n">
        <v>69660</v>
      </c>
      <c r="J2673" s="1115" t="s">
        <v>1028</v>
      </c>
    </row>
    <row r="2674" customFormat="false" ht="14.1" hidden="false" customHeight="true" outlineLevel="0" collapsed="false">
      <c r="A2674" s="1115" t="n">
        <v>69600</v>
      </c>
      <c r="B2674" s="1115" t="s">
        <v>164</v>
      </c>
      <c r="C2674" s="1115" t="n">
        <v>69600</v>
      </c>
      <c r="D2674" s="1115" t="s">
        <v>1028</v>
      </c>
      <c r="E2674" s="1115" t="s">
        <v>1384</v>
      </c>
      <c r="F2674" s="1115" t="n">
        <v>52200</v>
      </c>
      <c r="G2674" s="1115" t="n">
        <v>71330</v>
      </c>
      <c r="H2674" s="1115" t="s">
        <v>3650</v>
      </c>
      <c r="I2674" s="1115" t="n">
        <v>69700</v>
      </c>
      <c r="J2674" s="1115" t="s">
        <v>1614</v>
      </c>
    </row>
    <row r="2675" customFormat="false" ht="14.1" hidden="false" customHeight="true" outlineLevel="0" collapsed="false">
      <c r="A2675" s="1115" t="n">
        <v>69660</v>
      </c>
      <c r="B2675" s="1115" t="s">
        <v>164</v>
      </c>
      <c r="C2675" s="1115" t="n">
        <v>69660</v>
      </c>
      <c r="D2675" s="1115" t="s">
        <v>2834</v>
      </c>
      <c r="E2675" s="1115" t="s">
        <v>2741</v>
      </c>
      <c r="F2675" s="1115" t="n">
        <v>41120</v>
      </c>
      <c r="G2675" s="1115" t="n">
        <v>71360</v>
      </c>
      <c r="H2675" s="1115" t="s">
        <v>3006</v>
      </c>
      <c r="I2675" s="1115" t="n">
        <v>69730</v>
      </c>
      <c r="J2675" s="1115" t="s">
        <v>1614</v>
      </c>
    </row>
    <row r="2676" customFormat="false" ht="14.1" hidden="false" customHeight="true" outlineLevel="0" collapsed="false">
      <c r="A2676" s="1115" t="n">
        <v>69700</v>
      </c>
      <c r="B2676" s="1115" t="s">
        <v>164</v>
      </c>
      <c r="C2676" s="1115" t="n">
        <v>69700</v>
      </c>
      <c r="D2676" s="1115" t="s">
        <v>1614</v>
      </c>
      <c r="E2676" s="1115" t="s">
        <v>1672</v>
      </c>
      <c r="F2676" s="1115" t="n">
        <v>14960</v>
      </c>
      <c r="G2676" s="1115" t="n">
        <v>71370</v>
      </c>
      <c r="H2676" s="1115" t="s">
        <v>2105</v>
      </c>
      <c r="I2676" s="1115" t="n">
        <v>69750</v>
      </c>
      <c r="J2676" s="1115" t="s">
        <v>1614</v>
      </c>
    </row>
    <row r="2677" customFormat="false" ht="14.1" hidden="false" customHeight="true" outlineLevel="0" collapsed="false">
      <c r="A2677" s="1115" t="n">
        <v>69730</v>
      </c>
      <c r="B2677" s="1115" t="s">
        <v>164</v>
      </c>
      <c r="C2677" s="1115" t="n">
        <v>69730</v>
      </c>
      <c r="D2677" s="1115" t="s">
        <v>3624</v>
      </c>
      <c r="E2677" s="1115" t="s">
        <v>3651</v>
      </c>
      <c r="F2677" s="1115" t="n">
        <v>76620</v>
      </c>
      <c r="G2677" s="1115" t="n">
        <v>71380</v>
      </c>
      <c r="H2677" s="1115" t="s">
        <v>3232</v>
      </c>
      <c r="I2677" s="1115" t="n">
        <v>69820</v>
      </c>
      <c r="J2677" s="1115" t="s">
        <v>1614</v>
      </c>
    </row>
    <row r="2678" customFormat="false" ht="14.1" hidden="false" customHeight="true" outlineLevel="0" collapsed="false">
      <c r="A2678" s="1115" t="n">
        <v>69750</v>
      </c>
      <c r="B2678" s="1115" t="s">
        <v>164</v>
      </c>
      <c r="C2678" s="1115" t="n">
        <v>69750</v>
      </c>
      <c r="D2678" s="1115" t="s">
        <v>3626</v>
      </c>
      <c r="E2678" s="1115" t="s">
        <v>1386</v>
      </c>
      <c r="F2678" s="1115" t="n">
        <v>49270</v>
      </c>
      <c r="G2678" s="1115" t="n">
        <v>71460</v>
      </c>
      <c r="H2678" s="1115" t="s">
        <v>3508</v>
      </c>
      <c r="I2678" s="1115" t="n">
        <v>69830</v>
      </c>
      <c r="J2678" s="1115" t="s">
        <v>1614</v>
      </c>
    </row>
    <row r="2679" customFormat="false" ht="14.1" hidden="false" customHeight="true" outlineLevel="0" collapsed="false">
      <c r="A2679" s="1115" t="n">
        <v>69820</v>
      </c>
      <c r="B2679" s="1115" t="s">
        <v>164</v>
      </c>
      <c r="C2679" s="1115" t="n">
        <v>69820</v>
      </c>
      <c r="D2679" s="1115" t="s">
        <v>3627</v>
      </c>
      <c r="E2679" s="1115" t="s">
        <v>1388</v>
      </c>
      <c r="F2679" s="1115" t="n">
        <v>86100</v>
      </c>
      <c r="G2679" s="1115" t="n">
        <v>71470</v>
      </c>
      <c r="H2679" s="1115" t="s">
        <v>3414</v>
      </c>
      <c r="I2679" s="1115" t="n">
        <v>69850</v>
      </c>
      <c r="J2679" s="1115" t="s">
        <v>1614</v>
      </c>
    </row>
    <row r="2680" customFormat="false" ht="14.1" hidden="false" customHeight="true" outlineLevel="0" collapsed="false">
      <c r="A2680" s="1115" t="n">
        <v>69830</v>
      </c>
      <c r="B2680" s="1115" t="s">
        <v>164</v>
      </c>
      <c r="C2680" s="1115" t="n">
        <v>69830</v>
      </c>
      <c r="D2680" s="1115" t="s">
        <v>3628</v>
      </c>
      <c r="E2680" s="1115" t="s">
        <v>1390</v>
      </c>
      <c r="F2680" s="1115" t="n">
        <v>86810</v>
      </c>
      <c r="G2680" s="1115" t="n">
        <v>71480</v>
      </c>
      <c r="H2680" s="1115" t="s">
        <v>2732</v>
      </c>
      <c r="I2680" s="1115" t="n">
        <v>69910</v>
      </c>
      <c r="J2680" s="1115" t="s">
        <v>1328</v>
      </c>
    </row>
    <row r="2681" customFormat="false" ht="14.1" hidden="false" customHeight="true" outlineLevel="0" collapsed="false">
      <c r="A2681" s="1115" t="n">
        <v>69850</v>
      </c>
      <c r="B2681" s="1115" t="s">
        <v>164</v>
      </c>
      <c r="C2681" s="1115" t="n">
        <v>69850</v>
      </c>
      <c r="D2681" s="1115" t="s">
        <v>3500</v>
      </c>
      <c r="E2681" s="1115" t="s">
        <v>3652</v>
      </c>
      <c r="F2681" s="1115" t="n">
        <v>86900</v>
      </c>
      <c r="G2681" s="1115" t="n">
        <v>71490</v>
      </c>
      <c r="H2681" s="1115" t="s">
        <v>801</v>
      </c>
      <c r="I2681" s="1115" t="n">
        <v>69920</v>
      </c>
      <c r="J2681" s="1115" t="s">
        <v>1328</v>
      </c>
    </row>
    <row r="2682" customFormat="false" ht="14.1" hidden="false" customHeight="true" outlineLevel="0" collapsed="false">
      <c r="A2682" s="1115" t="n">
        <v>69910</v>
      </c>
      <c r="B2682" s="1115" t="s">
        <v>164</v>
      </c>
      <c r="C2682" s="1115" t="n">
        <v>69910</v>
      </c>
      <c r="D2682" s="1115" t="s">
        <v>2451</v>
      </c>
      <c r="E2682" s="1115" t="s">
        <v>2908</v>
      </c>
      <c r="F2682" s="1115" t="n">
        <v>44390</v>
      </c>
      <c r="G2682" s="1115" t="n">
        <v>71520</v>
      </c>
      <c r="H2682" s="1115" t="s">
        <v>2154</v>
      </c>
      <c r="I2682" s="1115" t="n">
        <v>69950</v>
      </c>
      <c r="J2682" s="1115" t="s">
        <v>1328</v>
      </c>
    </row>
    <row r="2683" customFormat="false" ht="14.1" hidden="false" customHeight="true" outlineLevel="0" collapsed="false">
      <c r="A2683" s="1115" t="n">
        <v>69920</v>
      </c>
      <c r="B2683" s="1115" t="s">
        <v>164</v>
      </c>
      <c r="C2683" s="1115" t="n">
        <v>69920</v>
      </c>
      <c r="D2683" s="1115" t="s">
        <v>3396</v>
      </c>
      <c r="E2683" s="1115" t="s">
        <v>3026</v>
      </c>
      <c r="F2683" s="1115" t="n">
        <v>49660</v>
      </c>
      <c r="G2683" s="1115" t="n">
        <v>71570</v>
      </c>
      <c r="H2683" s="1115" t="s">
        <v>3653</v>
      </c>
      <c r="I2683" s="1115" t="n">
        <v>69970</v>
      </c>
      <c r="J2683" s="1115" t="s">
        <v>1328</v>
      </c>
    </row>
    <row r="2684" customFormat="false" ht="14.1" hidden="false" customHeight="true" outlineLevel="0" collapsed="false">
      <c r="A2684" s="1115" t="n">
        <v>69950</v>
      </c>
      <c r="B2684" s="1115" t="s">
        <v>164</v>
      </c>
      <c r="C2684" s="1115" t="n">
        <v>69950</v>
      </c>
      <c r="D2684" s="1115" t="s">
        <v>1328</v>
      </c>
      <c r="E2684" s="1115" t="s">
        <v>2081</v>
      </c>
      <c r="F2684" s="1115" t="n">
        <v>23930</v>
      </c>
      <c r="G2684" s="1115" t="n">
        <v>71580</v>
      </c>
      <c r="H2684" s="1115" t="s">
        <v>2598</v>
      </c>
      <c r="I2684" s="1115" t="n">
        <v>69980</v>
      </c>
      <c r="J2684" s="1115" t="s">
        <v>1328</v>
      </c>
    </row>
    <row r="2685" customFormat="false" ht="14.1" hidden="false" customHeight="true" outlineLevel="0" collapsed="false">
      <c r="A2685" s="1115" t="n">
        <v>69970</v>
      </c>
      <c r="B2685" s="1115" t="s">
        <v>164</v>
      </c>
      <c r="C2685" s="1115" t="n">
        <v>69970</v>
      </c>
      <c r="D2685" s="1115" t="s">
        <v>3632</v>
      </c>
      <c r="E2685" s="1115" t="s">
        <v>3654</v>
      </c>
      <c r="F2685" s="1115" t="n">
        <v>86240</v>
      </c>
      <c r="G2685" s="1115" t="n">
        <v>71590</v>
      </c>
      <c r="H2685" s="1115" t="s">
        <v>3636</v>
      </c>
      <c r="I2685" s="1115" t="n">
        <v>70100</v>
      </c>
      <c r="J2685" s="1115" t="s">
        <v>166</v>
      </c>
    </row>
    <row r="2686" customFormat="false" ht="14.1" hidden="false" customHeight="true" outlineLevel="0" collapsed="false">
      <c r="A2686" s="1115" t="n">
        <v>69980</v>
      </c>
      <c r="B2686" s="1115" t="s">
        <v>164</v>
      </c>
      <c r="C2686" s="1115" t="n">
        <v>69980</v>
      </c>
      <c r="D2686" s="1115" t="s">
        <v>3274</v>
      </c>
      <c r="E2686" s="1115" t="s">
        <v>1392</v>
      </c>
      <c r="F2686" s="1115" t="n">
        <v>92930</v>
      </c>
      <c r="G2686" s="1115" t="n">
        <v>71610</v>
      </c>
      <c r="H2686" s="1115" t="s">
        <v>3655</v>
      </c>
      <c r="I2686" s="1115" t="n">
        <v>70200</v>
      </c>
      <c r="J2686" s="1115" t="s">
        <v>166</v>
      </c>
    </row>
    <row r="2687" customFormat="false" ht="14.1" hidden="false" customHeight="true" outlineLevel="0" collapsed="false">
      <c r="A2687" s="1115" t="n">
        <v>70100</v>
      </c>
      <c r="B2687" s="1115" t="s">
        <v>166</v>
      </c>
      <c r="C2687" s="1115" t="n">
        <v>70100</v>
      </c>
      <c r="D2687" s="1115" t="s">
        <v>166</v>
      </c>
      <c r="E2687" s="1115" t="s">
        <v>1394</v>
      </c>
      <c r="F2687" s="1115" t="n">
        <v>23950</v>
      </c>
      <c r="G2687" s="1115" t="n">
        <v>71630</v>
      </c>
      <c r="H2687" s="1115" t="s">
        <v>3656</v>
      </c>
      <c r="I2687" s="1115" t="n">
        <v>70210</v>
      </c>
      <c r="J2687" s="1115" t="s">
        <v>166</v>
      </c>
    </row>
    <row r="2688" customFormat="false" ht="14.1" hidden="false" customHeight="true" outlineLevel="0" collapsed="false">
      <c r="A2688" s="1115" t="n">
        <v>70200</v>
      </c>
      <c r="B2688" s="1115" t="s">
        <v>166</v>
      </c>
      <c r="C2688" s="1115" t="n">
        <v>70200</v>
      </c>
      <c r="D2688" s="1115" t="s">
        <v>166</v>
      </c>
      <c r="E2688" s="1115" t="s">
        <v>3657</v>
      </c>
      <c r="F2688" s="1115" t="n">
        <v>86800</v>
      </c>
      <c r="G2688" s="1115" t="n">
        <v>71640</v>
      </c>
      <c r="H2688" s="1115" t="s">
        <v>3658</v>
      </c>
      <c r="I2688" s="1115" t="n">
        <v>70240</v>
      </c>
      <c r="J2688" s="1115" t="s">
        <v>166</v>
      </c>
    </row>
    <row r="2689" customFormat="false" ht="14.1" hidden="false" customHeight="true" outlineLevel="0" collapsed="false">
      <c r="A2689" s="1115" t="n">
        <v>70210</v>
      </c>
      <c r="B2689" s="1115" t="s">
        <v>166</v>
      </c>
      <c r="C2689" s="1115" t="n">
        <v>70210</v>
      </c>
      <c r="D2689" s="1115" t="s">
        <v>166</v>
      </c>
      <c r="E2689" s="1115" t="s">
        <v>3659</v>
      </c>
      <c r="F2689" s="1115" t="n">
        <v>98530</v>
      </c>
      <c r="G2689" s="1115" t="n">
        <v>71650</v>
      </c>
      <c r="H2689" s="1115" t="s">
        <v>1732</v>
      </c>
      <c r="I2689" s="1115" t="n">
        <v>70260</v>
      </c>
      <c r="J2689" s="1115" t="s">
        <v>166</v>
      </c>
    </row>
    <row r="2690" customFormat="false" ht="14.1" hidden="false" customHeight="true" outlineLevel="0" collapsed="false">
      <c r="A2690" s="1115" t="n">
        <v>70240</v>
      </c>
      <c r="B2690" s="1115" t="s">
        <v>166</v>
      </c>
      <c r="C2690" s="1115" t="n">
        <v>70240</v>
      </c>
      <c r="D2690" s="1115" t="s">
        <v>166</v>
      </c>
      <c r="E2690" s="1115" t="s">
        <v>3660</v>
      </c>
      <c r="F2690" s="1115" t="n">
        <v>73860</v>
      </c>
      <c r="G2690" s="1115" t="n">
        <v>71660</v>
      </c>
      <c r="H2690" s="1115" t="s">
        <v>2940</v>
      </c>
      <c r="I2690" s="1115" t="n">
        <v>70280</v>
      </c>
      <c r="J2690" s="1115" t="s">
        <v>166</v>
      </c>
    </row>
    <row r="2691" customFormat="false" ht="14.1" hidden="false" customHeight="true" outlineLevel="0" collapsed="false">
      <c r="A2691" s="1115" t="n">
        <v>70260</v>
      </c>
      <c r="B2691" s="1115" t="s">
        <v>166</v>
      </c>
      <c r="C2691" s="1115" t="n">
        <v>70260</v>
      </c>
      <c r="D2691" s="1115" t="s">
        <v>166</v>
      </c>
      <c r="E2691" s="1115" t="s">
        <v>1400</v>
      </c>
      <c r="F2691" s="1115" t="n">
        <v>43440</v>
      </c>
      <c r="G2691" s="1115" t="n">
        <v>71670</v>
      </c>
      <c r="H2691" s="1115" t="s">
        <v>2733</v>
      </c>
      <c r="I2691" s="1115" t="n">
        <v>70300</v>
      </c>
      <c r="J2691" s="1115" t="s">
        <v>166</v>
      </c>
    </row>
    <row r="2692" customFormat="false" ht="14.1" hidden="false" customHeight="true" outlineLevel="0" collapsed="false">
      <c r="A2692" s="1115" t="n">
        <v>70280</v>
      </c>
      <c r="B2692" s="1115" t="s">
        <v>166</v>
      </c>
      <c r="C2692" s="1115" t="n">
        <v>70280</v>
      </c>
      <c r="D2692" s="1115" t="s">
        <v>166</v>
      </c>
      <c r="E2692" s="1115" t="s">
        <v>3661</v>
      </c>
      <c r="F2692" s="1115" t="n">
        <v>89310</v>
      </c>
      <c r="G2692" s="1115" t="n">
        <v>71680</v>
      </c>
      <c r="H2692" s="1115" t="s">
        <v>3635</v>
      </c>
      <c r="I2692" s="1115" t="n">
        <v>70330</v>
      </c>
      <c r="J2692" s="1115" t="s">
        <v>166</v>
      </c>
    </row>
    <row r="2693" customFormat="false" ht="14.1" hidden="false" customHeight="true" outlineLevel="0" collapsed="false">
      <c r="A2693" s="1115" t="n">
        <v>70300</v>
      </c>
      <c r="B2693" s="1115" t="s">
        <v>166</v>
      </c>
      <c r="C2693" s="1115" t="n">
        <v>70300</v>
      </c>
      <c r="D2693" s="1115" t="s">
        <v>166</v>
      </c>
      <c r="E2693" s="1115" t="s">
        <v>2354</v>
      </c>
      <c r="F2693" s="1115" t="n">
        <v>31530</v>
      </c>
      <c r="G2693" s="1115" t="n">
        <v>71690</v>
      </c>
      <c r="H2693" s="1115" t="s">
        <v>3662</v>
      </c>
      <c r="I2693" s="1115" t="n">
        <v>70340</v>
      </c>
      <c r="J2693" s="1115" t="s">
        <v>166</v>
      </c>
    </row>
    <row r="2694" customFormat="false" ht="14.1" hidden="false" customHeight="true" outlineLevel="0" collapsed="false">
      <c r="A2694" s="1115" t="n">
        <v>70330</v>
      </c>
      <c r="B2694" s="1115" t="s">
        <v>166</v>
      </c>
      <c r="C2694" s="1115" t="n">
        <v>70330</v>
      </c>
      <c r="D2694" s="1115" t="s">
        <v>3633</v>
      </c>
      <c r="E2694" s="1115" t="s">
        <v>2020</v>
      </c>
      <c r="F2694" s="1115" t="n">
        <v>22310</v>
      </c>
      <c r="G2694" s="1115" t="n">
        <v>71695</v>
      </c>
      <c r="H2694" s="1115" t="s">
        <v>2082</v>
      </c>
      <c r="I2694" s="1115" t="n">
        <v>70400</v>
      </c>
      <c r="J2694" s="1115" t="s">
        <v>166</v>
      </c>
    </row>
    <row r="2695" customFormat="false" ht="14.1" hidden="false" customHeight="true" outlineLevel="0" collapsed="false">
      <c r="A2695" s="1115" t="n">
        <v>70340</v>
      </c>
      <c r="B2695" s="1115" t="s">
        <v>166</v>
      </c>
      <c r="C2695" s="1115" t="n">
        <v>70340</v>
      </c>
      <c r="D2695" s="1115" t="s">
        <v>166</v>
      </c>
      <c r="E2695" s="1115" t="s">
        <v>2020</v>
      </c>
      <c r="F2695" s="1115" t="n">
        <v>22310</v>
      </c>
      <c r="G2695" s="1115" t="n">
        <v>71720</v>
      </c>
      <c r="H2695" s="1115" t="s">
        <v>2827</v>
      </c>
      <c r="I2695" s="1115" t="n">
        <v>70420</v>
      </c>
      <c r="J2695" s="1115" t="s">
        <v>166</v>
      </c>
    </row>
    <row r="2696" customFormat="false" ht="14.1" hidden="false" customHeight="true" outlineLevel="0" collapsed="false">
      <c r="A2696" s="1115" t="n">
        <v>70400</v>
      </c>
      <c r="B2696" s="1115" t="s">
        <v>166</v>
      </c>
      <c r="C2696" s="1115" t="n">
        <v>70400</v>
      </c>
      <c r="D2696" s="1115" t="s">
        <v>166</v>
      </c>
      <c r="E2696" s="1115" t="s">
        <v>1835</v>
      </c>
      <c r="F2696" s="1115" t="n">
        <v>17930</v>
      </c>
      <c r="G2696" s="1115" t="n">
        <v>71730</v>
      </c>
      <c r="H2696" s="1115" t="s">
        <v>2435</v>
      </c>
      <c r="I2696" s="1115" t="n">
        <v>70460</v>
      </c>
      <c r="J2696" s="1115" t="s">
        <v>166</v>
      </c>
    </row>
    <row r="2697" customFormat="false" ht="14.1" hidden="false" customHeight="true" outlineLevel="0" collapsed="false">
      <c r="A2697" s="1115" t="n">
        <v>70420</v>
      </c>
      <c r="B2697" s="1115" t="s">
        <v>166</v>
      </c>
      <c r="C2697" s="1115" t="n">
        <v>70420</v>
      </c>
      <c r="D2697" s="1115" t="s">
        <v>166</v>
      </c>
      <c r="E2697" s="1115" t="s">
        <v>2510</v>
      </c>
      <c r="F2697" s="1115" t="n">
        <v>35150</v>
      </c>
      <c r="G2697" s="1115" t="n">
        <v>71740</v>
      </c>
      <c r="H2697" s="1115" t="s">
        <v>3663</v>
      </c>
      <c r="I2697" s="1115" t="n">
        <v>70500</v>
      </c>
      <c r="J2697" s="1115" t="s">
        <v>166</v>
      </c>
    </row>
    <row r="2698" customFormat="false" ht="14.1" hidden="false" customHeight="true" outlineLevel="0" collapsed="false">
      <c r="A2698" s="1115" t="n">
        <v>70460</v>
      </c>
      <c r="B2698" s="1115" t="s">
        <v>166</v>
      </c>
      <c r="C2698" s="1115" t="n">
        <v>70460</v>
      </c>
      <c r="D2698" s="1115" t="s">
        <v>166</v>
      </c>
      <c r="E2698" s="1115" t="s">
        <v>3286</v>
      </c>
      <c r="F2698" s="1115" t="n">
        <v>58440</v>
      </c>
      <c r="G2698" s="1115" t="n">
        <v>71745</v>
      </c>
      <c r="H2698" s="1115" t="s">
        <v>1307</v>
      </c>
      <c r="I2698" s="1115" t="n">
        <v>70600</v>
      </c>
      <c r="J2698" s="1115" t="s">
        <v>166</v>
      </c>
    </row>
    <row r="2699" customFormat="false" ht="14.1" hidden="false" customHeight="true" outlineLevel="0" collapsed="false">
      <c r="A2699" s="1115" t="n">
        <v>70500</v>
      </c>
      <c r="B2699" s="1115" t="s">
        <v>166</v>
      </c>
      <c r="C2699" s="1115" t="n">
        <v>70500</v>
      </c>
      <c r="D2699" s="1115" t="s">
        <v>166</v>
      </c>
      <c r="E2699" s="1115" t="s">
        <v>3322</v>
      </c>
      <c r="F2699" s="1115" t="n">
        <v>58840</v>
      </c>
      <c r="G2699" s="1115" t="n">
        <v>71750</v>
      </c>
      <c r="H2699" s="1115" t="s">
        <v>1210</v>
      </c>
      <c r="I2699" s="1115" t="n">
        <v>70620</v>
      </c>
      <c r="J2699" s="1115" t="s">
        <v>166</v>
      </c>
    </row>
    <row r="2700" customFormat="false" ht="14.1" hidden="false" customHeight="true" outlineLevel="0" collapsed="false">
      <c r="A2700" s="1115" t="n">
        <v>70600</v>
      </c>
      <c r="B2700" s="1115" t="s">
        <v>166</v>
      </c>
      <c r="C2700" s="1115" t="n">
        <v>70600</v>
      </c>
      <c r="D2700" s="1115" t="s">
        <v>166</v>
      </c>
      <c r="E2700" s="1115" t="s">
        <v>1535</v>
      </c>
      <c r="F2700" s="1115" t="n">
        <v>10140</v>
      </c>
      <c r="G2700" s="1115" t="n">
        <v>71760</v>
      </c>
      <c r="H2700" s="1115" t="s">
        <v>726</v>
      </c>
      <c r="I2700" s="1115" t="n">
        <v>70700</v>
      </c>
      <c r="J2700" s="1115" t="s">
        <v>166</v>
      </c>
    </row>
    <row r="2701" customFormat="false" ht="14.1" hidden="false" customHeight="true" outlineLevel="0" collapsed="false">
      <c r="A2701" s="1115" t="n">
        <v>70620</v>
      </c>
      <c r="B2701" s="1115" t="s">
        <v>166</v>
      </c>
      <c r="C2701" s="1115" t="n">
        <v>70620</v>
      </c>
      <c r="D2701" s="1115" t="s">
        <v>166</v>
      </c>
      <c r="E2701" s="1115" t="s">
        <v>1402</v>
      </c>
      <c r="F2701" s="1115" t="n">
        <v>36600</v>
      </c>
      <c r="G2701" s="1115" t="n">
        <v>71770</v>
      </c>
      <c r="H2701" s="1115" t="s">
        <v>3664</v>
      </c>
      <c r="I2701" s="1115" t="n">
        <v>70780</v>
      </c>
      <c r="J2701" s="1115" t="s">
        <v>166</v>
      </c>
    </row>
    <row r="2702" customFormat="false" ht="14.1" hidden="false" customHeight="true" outlineLevel="0" collapsed="false">
      <c r="A2702" s="1115" t="n">
        <v>70700</v>
      </c>
      <c r="B2702" s="1115" t="s">
        <v>166</v>
      </c>
      <c r="C2702" s="1115" t="n">
        <v>70700</v>
      </c>
      <c r="D2702" s="1115" t="s">
        <v>166</v>
      </c>
      <c r="E2702" s="1115" t="s">
        <v>3665</v>
      </c>
      <c r="F2702" s="1115" t="n">
        <v>82770</v>
      </c>
      <c r="G2702" s="1115" t="n">
        <v>71775</v>
      </c>
      <c r="H2702" s="1115" t="s">
        <v>3666</v>
      </c>
      <c r="I2702" s="1115" t="n">
        <v>70800</v>
      </c>
      <c r="J2702" s="1115" t="s">
        <v>166</v>
      </c>
    </row>
    <row r="2703" customFormat="false" ht="14.1" hidden="false" customHeight="true" outlineLevel="0" collapsed="false">
      <c r="A2703" s="1115" t="n">
        <v>70780</v>
      </c>
      <c r="B2703" s="1115" t="s">
        <v>166</v>
      </c>
      <c r="C2703" s="1115" t="n">
        <v>70780</v>
      </c>
      <c r="D2703" s="1115" t="s">
        <v>166</v>
      </c>
      <c r="E2703" s="1115" t="s">
        <v>3402</v>
      </c>
      <c r="F2703" s="1115" t="n">
        <v>61980</v>
      </c>
      <c r="G2703" s="1115" t="n">
        <v>71780</v>
      </c>
      <c r="H2703" s="1115" t="s">
        <v>1782</v>
      </c>
      <c r="I2703" s="1115" t="n">
        <v>70820</v>
      </c>
      <c r="J2703" s="1115" t="s">
        <v>166</v>
      </c>
    </row>
    <row r="2704" customFormat="false" ht="14.1" hidden="false" customHeight="true" outlineLevel="0" collapsed="false">
      <c r="A2704" s="1115" t="n">
        <v>70800</v>
      </c>
      <c r="B2704" s="1115" t="s">
        <v>166</v>
      </c>
      <c r="C2704" s="1115" t="n">
        <v>70800</v>
      </c>
      <c r="D2704" s="1115" t="s">
        <v>166</v>
      </c>
      <c r="E2704" s="1115" t="s">
        <v>3667</v>
      </c>
      <c r="F2704" s="1115" t="n">
        <v>93225</v>
      </c>
      <c r="G2704" s="1115" t="n">
        <v>71790</v>
      </c>
      <c r="H2704" s="1115" t="s">
        <v>2965</v>
      </c>
      <c r="I2704" s="1115" t="n">
        <v>70840</v>
      </c>
      <c r="J2704" s="1115" t="s">
        <v>166</v>
      </c>
    </row>
    <row r="2705" customFormat="false" ht="14.1" hidden="false" customHeight="true" outlineLevel="0" collapsed="false">
      <c r="A2705" s="1115" t="n">
        <v>70820</v>
      </c>
      <c r="B2705" s="1115" t="s">
        <v>166</v>
      </c>
      <c r="C2705" s="1115" t="n">
        <v>70820</v>
      </c>
      <c r="D2705" s="1115" t="s">
        <v>166</v>
      </c>
      <c r="E2705" s="1115" t="s">
        <v>3134</v>
      </c>
      <c r="F2705" s="1115" t="n">
        <v>52650</v>
      </c>
      <c r="G2705" s="1115" t="n">
        <v>71800</v>
      </c>
      <c r="H2705" s="1115" t="s">
        <v>1498</v>
      </c>
      <c r="I2705" s="1115" t="n">
        <v>70870</v>
      </c>
      <c r="J2705" s="1115" t="s">
        <v>166</v>
      </c>
    </row>
    <row r="2706" customFormat="false" ht="14.1" hidden="false" customHeight="true" outlineLevel="0" collapsed="false">
      <c r="A2706" s="1115" t="n">
        <v>70840</v>
      </c>
      <c r="B2706" s="1115" t="s">
        <v>166</v>
      </c>
      <c r="C2706" s="1115" t="n">
        <v>70840</v>
      </c>
      <c r="D2706" s="1115" t="s">
        <v>166</v>
      </c>
      <c r="E2706" s="1115" t="s">
        <v>2866</v>
      </c>
      <c r="F2706" s="1115" t="n">
        <v>43480</v>
      </c>
      <c r="G2706" s="1115" t="n">
        <v>71810</v>
      </c>
      <c r="H2706" s="1115" t="s">
        <v>715</v>
      </c>
      <c r="I2706" s="1115" t="n">
        <v>70900</v>
      </c>
      <c r="J2706" s="1115" t="s">
        <v>1498</v>
      </c>
    </row>
    <row r="2707" customFormat="false" ht="14.1" hidden="false" customHeight="true" outlineLevel="0" collapsed="false">
      <c r="A2707" s="1115" t="n">
        <v>70870</v>
      </c>
      <c r="B2707" s="1115" t="s">
        <v>166</v>
      </c>
      <c r="C2707" s="1115" t="n">
        <v>70870</v>
      </c>
      <c r="D2707" s="1115" t="s">
        <v>1707</v>
      </c>
      <c r="E2707" s="1115" t="s">
        <v>3668</v>
      </c>
      <c r="F2707" s="1115" t="n">
        <v>71820</v>
      </c>
      <c r="G2707" s="1115" t="n">
        <v>71820</v>
      </c>
      <c r="H2707" s="1115" t="s">
        <v>3668</v>
      </c>
      <c r="I2707" s="1115" t="n">
        <v>70910</v>
      </c>
      <c r="J2707" s="1115" t="s">
        <v>1498</v>
      </c>
    </row>
    <row r="2708" customFormat="false" ht="14.1" hidden="false" customHeight="true" outlineLevel="0" collapsed="false">
      <c r="A2708" s="1115" t="n">
        <v>70900</v>
      </c>
      <c r="B2708" s="1115" t="s">
        <v>166</v>
      </c>
      <c r="C2708" s="1115" t="n">
        <v>70900</v>
      </c>
      <c r="D2708" s="1115" t="s">
        <v>3639</v>
      </c>
      <c r="E2708" s="1115" t="s">
        <v>3669</v>
      </c>
      <c r="F2708" s="1115" t="n">
        <v>77390</v>
      </c>
      <c r="G2708" s="1115" t="n">
        <v>71830</v>
      </c>
      <c r="H2708" s="1115" t="s">
        <v>2528</v>
      </c>
      <c r="I2708" s="1115" t="n">
        <v>70940</v>
      </c>
      <c r="J2708" s="1115" t="s">
        <v>1498</v>
      </c>
    </row>
    <row r="2709" customFormat="false" ht="14.1" hidden="false" customHeight="true" outlineLevel="0" collapsed="false">
      <c r="A2709" s="1115" t="n">
        <v>70910</v>
      </c>
      <c r="B2709" s="1115" t="s">
        <v>166</v>
      </c>
      <c r="C2709" s="1115" t="n">
        <v>70910</v>
      </c>
      <c r="D2709" s="1115" t="s">
        <v>3640</v>
      </c>
      <c r="E2709" s="1115" t="s">
        <v>3670</v>
      </c>
      <c r="F2709" s="1115" t="n">
        <v>74550</v>
      </c>
      <c r="G2709" s="1115" t="n">
        <v>71840</v>
      </c>
      <c r="H2709" s="1115" t="s">
        <v>2761</v>
      </c>
      <c r="I2709" s="1115" t="n">
        <v>71130</v>
      </c>
      <c r="J2709" s="1115" t="s">
        <v>1498</v>
      </c>
    </row>
    <row r="2710" customFormat="false" ht="14.1" hidden="false" customHeight="true" outlineLevel="0" collapsed="false">
      <c r="A2710" s="1115" t="n">
        <v>70940</v>
      </c>
      <c r="B2710" s="1115" t="s">
        <v>166</v>
      </c>
      <c r="C2710" s="1115" t="n">
        <v>70940</v>
      </c>
      <c r="D2710" s="1115" t="s">
        <v>2107</v>
      </c>
      <c r="E2710" s="1115" t="s">
        <v>3503</v>
      </c>
      <c r="F2710" s="1115" t="n">
        <v>64640</v>
      </c>
      <c r="G2710" s="1115" t="n">
        <v>71860</v>
      </c>
      <c r="H2710" s="1115" t="s">
        <v>2101</v>
      </c>
      <c r="I2710" s="1115" t="n">
        <v>71150</v>
      </c>
      <c r="J2710" s="1115" t="s">
        <v>1498</v>
      </c>
    </row>
    <row r="2711" customFormat="false" ht="14.1" hidden="false" customHeight="true" outlineLevel="0" collapsed="false">
      <c r="A2711" s="1115" t="n">
        <v>71130</v>
      </c>
      <c r="B2711" s="1115" t="s">
        <v>166</v>
      </c>
      <c r="C2711" s="1115" t="n">
        <v>71130</v>
      </c>
      <c r="D2711" s="1115" t="s">
        <v>2572</v>
      </c>
      <c r="E2711" s="1115" t="s">
        <v>1405</v>
      </c>
      <c r="F2711" s="1115" t="n">
        <v>21880</v>
      </c>
      <c r="G2711" s="1115" t="n">
        <v>71870</v>
      </c>
      <c r="H2711" s="1115" t="s">
        <v>1407</v>
      </c>
      <c r="I2711" s="1115" t="n">
        <v>71160</v>
      </c>
      <c r="J2711" s="1115" t="s">
        <v>1498</v>
      </c>
    </row>
    <row r="2712" customFormat="false" ht="14.1" hidden="false" customHeight="true" outlineLevel="0" collapsed="false">
      <c r="A2712" s="1115" t="n">
        <v>71150</v>
      </c>
      <c r="B2712" s="1115" t="s">
        <v>166</v>
      </c>
      <c r="C2712" s="1115" t="n">
        <v>71150</v>
      </c>
      <c r="D2712" s="1115" t="s">
        <v>3642</v>
      </c>
      <c r="E2712" s="1115" t="s">
        <v>1408</v>
      </c>
      <c r="F2712" s="1115" t="n">
        <v>92100</v>
      </c>
      <c r="G2712" s="1115" t="n">
        <v>71880</v>
      </c>
      <c r="H2712" s="1115" t="s">
        <v>3671</v>
      </c>
      <c r="I2712" s="1115" t="n">
        <v>71170</v>
      </c>
      <c r="J2712" s="1115" t="s">
        <v>1571</v>
      </c>
    </row>
    <row r="2713" customFormat="false" ht="14.1" hidden="false" customHeight="true" outlineLevel="0" collapsed="false">
      <c r="A2713" s="1115" t="n">
        <v>71160</v>
      </c>
      <c r="B2713" s="1115" t="s">
        <v>166</v>
      </c>
      <c r="C2713" s="1115" t="n">
        <v>71160</v>
      </c>
      <c r="D2713" s="1115" t="s">
        <v>3643</v>
      </c>
      <c r="E2713" s="1115" t="s">
        <v>1408</v>
      </c>
      <c r="F2713" s="1115" t="n">
        <v>92120</v>
      </c>
      <c r="G2713" s="1115" t="n">
        <v>71890</v>
      </c>
      <c r="H2713" s="1115" t="s">
        <v>1363</v>
      </c>
      <c r="I2713" s="1115" t="n">
        <v>71175</v>
      </c>
      <c r="J2713" s="1115" t="s">
        <v>1571</v>
      </c>
    </row>
    <row r="2714" customFormat="false" ht="14.1" hidden="false" customHeight="true" outlineLevel="0" collapsed="false">
      <c r="A2714" s="1115" t="n">
        <v>71170</v>
      </c>
      <c r="B2714" s="1115" t="s">
        <v>166</v>
      </c>
      <c r="C2714" s="1115" t="n">
        <v>71170</v>
      </c>
      <c r="D2714" s="1115" t="s">
        <v>2925</v>
      </c>
      <c r="E2714" s="1115" t="s">
        <v>1408</v>
      </c>
      <c r="F2714" s="1115" t="n">
        <v>92130</v>
      </c>
      <c r="G2714" s="1115" t="n">
        <v>71910</v>
      </c>
      <c r="H2714" s="1115" t="s">
        <v>869</v>
      </c>
      <c r="I2714" s="1115" t="n">
        <v>71200</v>
      </c>
      <c r="J2714" s="1115" t="s">
        <v>1571</v>
      </c>
    </row>
    <row r="2715" customFormat="false" ht="14.1" hidden="false" customHeight="true" outlineLevel="0" collapsed="false">
      <c r="A2715" s="1115" t="n">
        <v>71175</v>
      </c>
      <c r="B2715" s="1115" t="s">
        <v>166</v>
      </c>
      <c r="C2715" s="1115" t="n">
        <v>71175</v>
      </c>
      <c r="D2715" s="1115" t="s">
        <v>3625</v>
      </c>
      <c r="E2715" s="1115" t="s">
        <v>3672</v>
      </c>
      <c r="F2715" s="1115" t="n">
        <v>92170</v>
      </c>
      <c r="G2715" s="1115" t="n">
        <v>71920</v>
      </c>
      <c r="H2715" s="1115" t="s">
        <v>3461</v>
      </c>
      <c r="I2715" s="1115" t="n">
        <v>71210</v>
      </c>
      <c r="J2715" s="1115" t="s">
        <v>1571</v>
      </c>
    </row>
    <row r="2716" customFormat="false" ht="14.1" hidden="false" customHeight="true" outlineLevel="0" collapsed="false">
      <c r="A2716" s="1115" t="n">
        <v>71200</v>
      </c>
      <c r="B2716" s="1115" t="s">
        <v>166</v>
      </c>
      <c r="C2716" s="1115" t="n">
        <v>71200</v>
      </c>
      <c r="D2716" s="1115" t="s">
        <v>1571</v>
      </c>
      <c r="E2716" s="1115" t="s">
        <v>3673</v>
      </c>
      <c r="F2716" s="1115" t="n">
        <v>97590</v>
      </c>
      <c r="G2716" s="1115" t="n">
        <v>71930</v>
      </c>
      <c r="H2716" s="1115" t="s">
        <v>2281</v>
      </c>
      <c r="I2716" s="1115" t="n">
        <v>71240</v>
      </c>
      <c r="J2716" s="1115" t="s">
        <v>1571</v>
      </c>
    </row>
    <row r="2717" customFormat="false" ht="14.1" hidden="false" customHeight="true" outlineLevel="0" collapsed="false">
      <c r="A2717" s="1115" t="n">
        <v>71210</v>
      </c>
      <c r="B2717" s="1115" t="s">
        <v>166</v>
      </c>
      <c r="C2717" s="1115" t="n">
        <v>71210</v>
      </c>
      <c r="D2717" s="1115" t="s">
        <v>3645</v>
      </c>
      <c r="E2717" s="1115" t="s">
        <v>1298</v>
      </c>
      <c r="F2717" s="1115" t="n">
        <v>5310</v>
      </c>
      <c r="G2717" s="1115" t="n">
        <v>71950</v>
      </c>
      <c r="H2717" s="1115" t="s">
        <v>2881</v>
      </c>
      <c r="I2717" s="1115" t="n">
        <v>71260</v>
      </c>
      <c r="J2717" s="1115" t="s">
        <v>1571</v>
      </c>
    </row>
    <row r="2718" customFormat="false" ht="14.1" hidden="false" customHeight="true" outlineLevel="0" collapsed="false">
      <c r="A2718" s="1115" t="n">
        <v>71240</v>
      </c>
      <c r="B2718" s="1115" t="s">
        <v>166</v>
      </c>
      <c r="C2718" s="1115" t="n">
        <v>71240</v>
      </c>
      <c r="D2718" s="1115" t="s">
        <v>3440</v>
      </c>
      <c r="E2718" s="1115" t="s">
        <v>3674</v>
      </c>
      <c r="F2718" s="1115" t="n">
        <v>97250</v>
      </c>
      <c r="G2718" s="1115" t="n">
        <v>71960</v>
      </c>
      <c r="H2718" s="1115" t="s">
        <v>3049</v>
      </c>
      <c r="I2718" s="1115" t="n">
        <v>71270</v>
      </c>
      <c r="J2718" s="1115" t="s">
        <v>1571</v>
      </c>
    </row>
    <row r="2719" customFormat="false" ht="14.1" hidden="false" customHeight="true" outlineLevel="0" collapsed="false">
      <c r="A2719" s="1115" t="n">
        <v>71260</v>
      </c>
      <c r="B2719" s="1115" t="s">
        <v>166</v>
      </c>
      <c r="C2719" s="1115" t="n">
        <v>71260</v>
      </c>
      <c r="D2719" s="1115" t="s">
        <v>2066</v>
      </c>
      <c r="E2719" s="1115" t="s">
        <v>2099</v>
      </c>
      <c r="F2719" s="1115" t="n">
        <v>25320</v>
      </c>
      <c r="G2719" s="1115" t="n">
        <v>72100</v>
      </c>
      <c r="H2719" s="1115" t="s">
        <v>1006</v>
      </c>
      <c r="I2719" s="1115" t="n">
        <v>71280</v>
      </c>
      <c r="J2719" s="1115" t="s">
        <v>1571</v>
      </c>
    </row>
    <row r="2720" customFormat="false" ht="14.1" hidden="false" customHeight="true" outlineLevel="0" collapsed="false">
      <c r="A2720" s="1115" t="n">
        <v>71270</v>
      </c>
      <c r="B2720" s="1115" t="s">
        <v>166</v>
      </c>
      <c r="C2720" s="1115" t="n">
        <v>71270</v>
      </c>
      <c r="D2720" s="1115" t="s">
        <v>3646</v>
      </c>
      <c r="E2720" s="1115" t="s">
        <v>3675</v>
      </c>
      <c r="F2720" s="1115" t="n">
        <v>98940</v>
      </c>
      <c r="G2720" s="1115" t="n">
        <v>72140</v>
      </c>
      <c r="H2720" s="1115" t="s">
        <v>1969</v>
      </c>
      <c r="I2720" s="1115" t="n">
        <v>71290</v>
      </c>
      <c r="J2720" s="1115" t="s">
        <v>1571</v>
      </c>
    </row>
    <row r="2721" customFormat="false" ht="14.1" hidden="false" customHeight="true" outlineLevel="0" collapsed="false">
      <c r="A2721" s="1115" t="n">
        <v>71280</v>
      </c>
      <c r="B2721" s="1115" t="s">
        <v>166</v>
      </c>
      <c r="C2721" s="1115" t="n">
        <v>71280</v>
      </c>
      <c r="D2721" s="1115" t="s">
        <v>2605</v>
      </c>
      <c r="E2721" s="1115" t="s">
        <v>3676</v>
      </c>
      <c r="F2721" s="1115" t="n">
        <v>99340</v>
      </c>
      <c r="G2721" s="1115" t="n">
        <v>72210</v>
      </c>
      <c r="H2721" s="1115" t="s">
        <v>1559</v>
      </c>
      <c r="I2721" s="1115" t="n">
        <v>71310</v>
      </c>
      <c r="J2721" s="1115" t="s">
        <v>1571</v>
      </c>
    </row>
    <row r="2722" customFormat="false" ht="14.1" hidden="false" customHeight="true" outlineLevel="0" collapsed="false">
      <c r="A2722" s="1115" t="n">
        <v>71290</v>
      </c>
      <c r="B2722" s="1115" t="s">
        <v>166</v>
      </c>
      <c r="C2722" s="1115" t="n">
        <v>71290</v>
      </c>
      <c r="D2722" s="1115" t="s">
        <v>2985</v>
      </c>
      <c r="E2722" s="1115" t="s">
        <v>3677</v>
      </c>
      <c r="F2722" s="1115" t="n">
        <v>73820</v>
      </c>
      <c r="G2722" s="1115" t="n">
        <v>72220</v>
      </c>
      <c r="H2722" s="1115" t="s">
        <v>1057</v>
      </c>
      <c r="I2722" s="1115" t="n">
        <v>71320</v>
      </c>
      <c r="J2722" s="1115" t="s">
        <v>1571</v>
      </c>
    </row>
    <row r="2723" customFormat="false" ht="14.1" hidden="false" customHeight="true" outlineLevel="0" collapsed="false">
      <c r="A2723" s="1115" t="n">
        <v>71310</v>
      </c>
      <c r="B2723" s="1115" t="s">
        <v>166</v>
      </c>
      <c r="C2723" s="1115" t="n">
        <v>71310</v>
      </c>
      <c r="D2723" s="1115" t="s">
        <v>3649</v>
      </c>
      <c r="E2723" s="1115" t="s">
        <v>2990</v>
      </c>
      <c r="F2723" s="1115" t="n">
        <v>47510</v>
      </c>
      <c r="G2723" s="1115" t="n">
        <v>72260</v>
      </c>
      <c r="H2723" s="1115" t="s">
        <v>3678</v>
      </c>
      <c r="I2723" s="1115" t="n">
        <v>71330</v>
      </c>
      <c r="J2723" s="1115" t="s">
        <v>1571</v>
      </c>
    </row>
    <row r="2724" customFormat="false" ht="14.1" hidden="false" customHeight="true" outlineLevel="0" collapsed="false">
      <c r="A2724" s="1115" t="n">
        <v>71320</v>
      </c>
      <c r="B2724" s="1115" t="s">
        <v>166</v>
      </c>
      <c r="C2724" s="1115" t="n">
        <v>71320</v>
      </c>
      <c r="D2724" s="1115" t="s">
        <v>1096</v>
      </c>
      <c r="E2724" s="1115" t="s">
        <v>2978</v>
      </c>
      <c r="F2724" s="1115" t="n">
        <v>47210</v>
      </c>
      <c r="G2724" s="1115" t="n">
        <v>72300</v>
      </c>
      <c r="H2724" s="1115" t="s">
        <v>1610</v>
      </c>
      <c r="I2724" s="1115" t="n">
        <v>71360</v>
      </c>
      <c r="J2724" s="1115" t="s">
        <v>1571</v>
      </c>
    </row>
    <row r="2725" customFormat="false" ht="14.1" hidden="false" customHeight="true" outlineLevel="0" collapsed="false">
      <c r="A2725" s="1115" t="n">
        <v>71330</v>
      </c>
      <c r="B2725" s="1115" t="s">
        <v>166</v>
      </c>
      <c r="C2725" s="1115" t="n">
        <v>71330</v>
      </c>
      <c r="D2725" s="1115" t="s">
        <v>3650</v>
      </c>
      <c r="E2725" s="1115" t="s">
        <v>3679</v>
      </c>
      <c r="F2725" s="1115" t="n">
        <v>85180</v>
      </c>
      <c r="G2725" s="1115" t="n">
        <v>72310</v>
      </c>
      <c r="H2725" s="1115" t="s">
        <v>3326</v>
      </c>
      <c r="I2725" s="1115" t="n">
        <v>71370</v>
      </c>
      <c r="J2725" s="1115" t="s">
        <v>1571</v>
      </c>
    </row>
    <row r="2726" customFormat="false" ht="14.1" hidden="false" customHeight="true" outlineLevel="0" collapsed="false">
      <c r="A2726" s="1115" t="n">
        <v>71360</v>
      </c>
      <c r="B2726" s="1115" t="s">
        <v>166</v>
      </c>
      <c r="C2726" s="1115" t="n">
        <v>71360</v>
      </c>
      <c r="D2726" s="1115" t="s">
        <v>3006</v>
      </c>
      <c r="E2726" s="1115" t="s">
        <v>2001</v>
      </c>
      <c r="F2726" s="1115" t="n">
        <v>21830</v>
      </c>
      <c r="G2726" s="1115" t="n">
        <v>72330</v>
      </c>
      <c r="H2726" s="1115" t="s">
        <v>3680</v>
      </c>
      <c r="I2726" s="1115" t="n">
        <v>71380</v>
      </c>
      <c r="J2726" s="1115" t="s">
        <v>1571</v>
      </c>
    </row>
    <row r="2727" customFormat="false" ht="14.1" hidden="false" customHeight="true" outlineLevel="0" collapsed="false">
      <c r="A2727" s="1115" t="n">
        <v>71370</v>
      </c>
      <c r="B2727" s="1115" t="s">
        <v>166</v>
      </c>
      <c r="C2727" s="1115" t="n">
        <v>71370</v>
      </c>
      <c r="D2727" s="1115" t="s">
        <v>2105</v>
      </c>
      <c r="E2727" s="1115" t="s">
        <v>3599</v>
      </c>
      <c r="F2727" s="1115" t="n">
        <v>68390</v>
      </c>
      <c r="G2727" s="1115" t="n">
        <v>72350</v>
      </c>
      <c r="H2727" s="1115" t="s">
        <v>3568</v>
      </c>
      <c r="I2727" s="1115" t="n">
        <v>71460</v>
      </c>
      <c r="J2727" s="1115" t="s">
        <v>1165</v>
      </c>
    </row>
    <row r="2728" customFormat="false" ht="14.1" hidden="false" customHeight="true" outlineLevel="0" collapsed="false">
      <c r="A2728" s="1115" t="n">
        <v>71380</v>
      </c>
      <c r="B2728" s="1115" t="s">
        <v>166</v>
      </c>
      <c r="C2728" s="1115" t="n">
        <v>71380</v>
      </c>
      <c r="D2728" s="1115" t="s">
        <v>3232</v>
      </c>
      <c r="E2728" s="1115" t="s">
        <v>3681</v>
      </c>
      <c r="F2728" s="1115" t="n">
        <v>95630</v>
      </c>
      <c r="G2728" s="1115" t="n">
        <v>72360</v>
      </c>
      <c r="H2728" s="1115" t="s">
        <v>3375</v>
      </c>
      <c r="I2728" s="1115" t="n">
        <v>71470</v>
      </c>
      <c r="J2728" s="1115" t="s">
        <v>1165</v>
      </c>
    </row>
    <row r="2729" customFormat="false" ht="14.1" hidden="false" customHeight="true" outlineLevel="0" collapsed="false">
      <c r="A2729" s="1115" t="n">
        <v>71460</v>
      </c>
      <c r="B2729" s="1115" t="s">
        <v>166</v>
      </c>
      <c r="C2729" s="1115" t="n">
        <v>71460</v>
      </c>
      <c r="D2729" s="1115" t="s">
        <v>3508</v>
      </c>
      <c r="E2729" s="1115" t="s">
        <v>3088</v>
      </c>
      <c r="F2729" s="1115" t="n">
        <v>51720</v>
      </c>
      <c r="G2729" s="1115" t="n">
        <v>72380</v>
      </c>
      <c r="H2729" s="1115" t="s">
        <v>1774</v>
      </c>
      <c r="I2729" s="1115" t="n">
        <v>71480</v>
      </c>
      <c r="J2729" s="1115" t="s">
        <v>1165</v>
      </c>
    </row>
    <row r="2730" customFormat="false" ht="14.1" hidden="false" customHeight="true" outlineLevel="0" collapsed="false">
      <c r="A2730" s="1115" t="n">
        <v>71470</v>
      </c>
      <c r="B2730" s="1115" t="s">
        <v>166</v>
      </c>
      <c r="C2730" s="1115" t="n">
        <v>71470</v>
      </c>
      <c r="D2730" s="1115" t="s">
        <v>3414</v>
      </c>
      <c r="E2730" s="1115" t="s">
        <v>2565</v>
      </c>
      <c r="F2730" s="1115" t="n">
        <v>36520</v>
      </c>
      <c r="G2730" s="1115" t="n">
        <v>72400</v>
      </c>
      <c r="H2730" s="1115" t="s">
        <v>1342</v>
      </c>
      <c r="I2730" s="1115" t="n">
        <v>71490</v>
      </c>
      <c r="J2730" s="1115" t="s">
        <v>1006</v>
      </c>
    </row>
    <row r="2731" customFormat="false" ht="14.1" hidden="false" customHeight="true" outlineLevel="0" collapsed="false">
      <c r="A2731" s="1115" t="n">
        <v>71480</v>
      </c>
      <c r="B2731" s="1115" t="s">
        <v>166</v>
      </c>
      <c r="C2731" s="1115" t="n">
        <v>71480</v>
      </c>
      <c r="D2731" s="1115" t="s">
        <v>2732</v>
      </c>
      <c r="E2731" s="1115" t="s">
        <v>3276</v>
      </c>
      <c r="F2731" s="1115" t="n">
        <v>58320</v>
      </c>
      <c r="G2731" s="1115" t="n">
        <v>72430</v>
      </c>
      <c r="H2731" s="1115" t="s">
        <v>2694</v>
      </c>
      <c r="I2731" s="1115" t="n">
        <v>71520</v>
      </c>
      <c r="J2731" s="1115" t="s">
        <v>1006</v>
      </c>
    </row>
    <row r="2732" customFormat="false" ht="14.1" hidden="false" customHeight="true" outlineLevel="0" collapsed="false">
      <c r="A2732" s="1115" t="n">
        <v>71490</v>
      </c>
      <c r="B2732" s="1115" t="s">
        <v>166</v>
      </c>
      <c r="C2732" s="1115" t="n">
        <v>71490</v>
      </c>
      <c r="D2732" s="1115" t="s">
        <v>801</v>
      </c>
      <c r="E2732" s="1115" t="s">
        <v>3537</v>
      </c>
      <c r="F2732" s="1115" t="n">
        <v>65800</v>
      </c>
      <c r="G2732" s="1115" t="n">
        <v>72440</v>
      </c>
      <c r="H2732" s="1115" t="s">
        <v>2889</v>
      </c>
      <c r="I2732" s="1115" t="n">
        <v>71570</v>
      </c>
      <c r="J2732" s="1115" t="s">
        <v>1006</v>
      </c>
    </row>
    <row r="2733" customFormat="false" ht="14.1" hidden="false" customHeight="true" outlineLevel="0" collapsed="false">
      <c r="A2733" s="1115" t="n">
        <v>71520</v>
      </c>
      <c r="B2733" s="1115" t="s">
        <v>166</v>
      </c>
      <c r="C2733" s="1115" t="n">
        <v>71520</v>
      </c>
      <c r="D2733" s="1115" t="s">
        <v>2154</v>
      </c>
      <c r="E2733" s="1115" t="s">
        <v>3175</v>
      </c>
      <c r="F2733" s="1115" t="n">
        <v>54340</v>
      </c>
      <c r="G2733" s="1115" t="n">
        <v>72480</v>
      </c>
      <c r="H2733" s="1115" t="s">
        <v>3485</v>
      </c>
      <c r="I2733" s="1115" t="n">
        <v>71580</v>
      </c>
      <c r="J2733" s="1115" t="s">
        <v>1006</v>
      </c>
    </row>
    <row r="2734" customFormat="false" ht="14.1" hidden="false" customHeight="true" outlineLevel="0" collapsed="false">
      <c r="A2734" s="1115" t="n">
        <v>71570</v>
      </c>
      <c r="B2734" s="1115" t="s">
        <v>166</v>
      </c>
      <c r="C2734" s="1115" t="n">
        <v>71570</v>
      </c>
      <c r="D2734" s="1115" t="s">
        <v>3653</v>
      </c>
      <c r="E2734" s="1115" t="s">
        <v>1410</v>
      </c>
      <c r="F2734" s="1115" t="n">
        <v>21120</v>
      </c>
      <c r="G2734" s="1115" t="n">
        <v>72490</v>
      </c>
      <c r="H2734" s="1115" t="s">
        <v>3682</v>
      </c>
      <c r="I2734" s="1115" t="n">
        <v>71590</v>
      </c>
      <c r="J2734" s="1115" t="s">
        <v>1006</v>
      </c>
    </row>
    <row r="2735" customFormat="false" ht="14.1" hidden="false" customHeight="true" outlineLevel="0" collapsed="false">
      <c r="A2735" s="1115" t="n">
        <v>71580</v>
      </c>
      <c r="B2735" s="1115" t="s">
        <v>166</v>
      </c>
      <c r="C2735" s="1115" t="n">
        <v>71580</v>
      </c>
      <c r="D2735" s="1115" t="s">
        <v>2598</v>
      </c>
      <c r="E2735" s="1115" t="s">
        <v>1410</v>
      </c>
      <c r="F2735" s="1115" t="n">
        <v>21200</v>
      </c>
      <c r="G2735" s="1115" t="n">
        <v>72510</v>
      </c>
      <c r="H2735" s="1115" t="s">
        <v>2015</v>
      </c>
      <c r="I2735" s="1115" t="n">
        <v>71610</v>
      </c>
      <c r="J2735" s="1115" t="s">
        <v>1006</v>
      </c>
    </row>
    <row r="2736" customFormat="false" ht="14.1" hidden="false" customHeight="true" outlineLevel="0" collapsed="false">
      <c r="A2736" s="1115" t="n">
        <v>71590</v>
      </c>
      <c r="B2736" s="1115" t="s">
        <v>166</v>
      </c>
      <c r="C2736" s="1115" t="n">
        <v>71590</v>
      </c>
      <c r="D2736" s="1115" t="s">
        <v>3636</v>
      </c>
      <c r="E2736" s="1115" t="s">
        <v>1410</v>
      </c>
      <c r="F2736" s="1115" t="n">
        <v>21210</v>
      </c>
      <c r="G2736" s="1115" t="n">
        <v>72530</v>
      </c>
      <c r="H2736" s="1115" t="s">
        <v>3683</v>
      </c>
      <c r="I2736" s="1115" t="n">
        <v>71630</v>
      </c>
      <c r="J2736" s="1115" t="s">
        <v>1006</v>
      </c>
    </row>
    <row r="2737" customFormat="false" ht="14.1" hidden="false" customHeight="true" outlineLevel="0" collapsed="false">
      <c r="A2737" s="1115" t="n">
        <v>71610</v>
      </c>
      <c r="B2737" s="1115" t="s">
        <v>166</v>
      </c>
      <c r="C2737" s="1115" t="n">
        <v>71610</v>
      </c>
      <c r="D2737" s="1115" t="s">
        <v>3655</v>
      </c>
      <c r="E2737" s="1115" t="s">
        <v>1410</v>
      </c>
      <c r="F2737" s="1115" t="n">
        <v>21220</v>
      </c>
      <c r="G2737" s="1115" t="n">
        <v>72550</v>
      </c>
      <c r="H2737" s="1115" t="s">
        <v>3684</v>
      </c>
      <c r="I2737" s="1115" t="n">
        <v>71640</v>
      </c>
      <c r="J2737" s="1115" t="s">
        <v>1559</v>
      </c>
    </row>
    <row r="2738" customFormat="false" ht="14.1" hidden="false" customHeight="true" outlineLevel="0" collapsed="false">
      <c r="A2738" s="1115" t="n">
        <v>71630</v>
      </c>
      <c r="B2738" s="1115" t="s">
        <v>166</v>
      </c>
      <c r="C2738" s="1115" t="n">
        <v>71630</v>
      </c>
      <c r="D2738" s="1115" t="s">
        <v>3656</v>
      </c>
      <c r="E2738" s="1115" t="s">
        <v>1410</v>
      </c>
      <c r="F2738" s="1115" t="n">
        <v>21260</v>
      </c>
      <c r="G2738" s="1115" t="n">
        <v>72570</v>
      </c>
      <c r="H2738" s="1115" t="s">
        <v>3262</v>
      </c>
      <c r="I2738" s="1115" t="n">
        <v>71650</v>
      </c>
      <c r="J2738" s="1115" t="s">
        <v>1559</v>
      </c>
    </row>
    <row r="2739" customFormat="false" ht="14.1" hidden="false" customHeight="true" outlineLevel="0" collapsed="false">
      <c r="A2739" s="1115" t="n">
        <v>71640</v>
      </c>
      <c r="B2739" s="1115" t="s">
        <v>166</v>
      </c>
      <c r="C2739" s="1115" t="n">
        <v>71640</v>
      </c>
      <c r="D2739" s="1115" t="s">
        <v>3658</v>
      </c>
      <c r="E2739" s="1115" t="s">
        <v>1410</v>
      </c>
      <c r="F2739" s="1115" t="n">
        <v>21280</v>
      </c>
      <c r="G2739" s="1115" t="n">
        <v>72600</v>
      </c>
      <c r="H2739" s="1115" t="s">
        <v>1031</v>
      </c>
      <c r="I2739" s="1115" t="n">
        <v>71660</v>
      </c>
      <c r="J2739" s="1115" t="s">
        <v>1210</v>
      </c>
    </row>
    <row r="2740" customFormat="false" ht="14.1" hidden="false" customHeight="true" outlineLevel="0" collapsed="false">
      <c r="A2740" s="1115" t="n">
        <v>71650</v>
      </c>
      <c r="B2740" s="1115" t="s">
        <v>166</v>
      </c>
      <c r="C2740" s="1115" t="n">
        <v>71650</v>
      </c>
      <c r="D2740" s="1115" t="s">
        <v>1732</v>
      </c>
      <c r="E2740" s="1115" t="s">
        <v>3685</v>
      </c>
      <c r="F2740" s="1115" t="n">
        <v>97715</v>
      </c>
      <c r="G2740" s="1115" t="n">
        <v>72630</v>
      </c>
      <c r="H2740" s="1115" t="s">
        <v>2752</v>
      </c>
      <c r="I2740" s="1115" t="n">
        <v>71670</v>
      </c>
      <c r="J2740" s="1115" t="s">
        <v>1210</v>
      </c>
    </row>
    <row r="2741" customFormat="false" ht="14.1" hidden="false" customHeight="true" outlineLevel="0" collapsed="false">
      <c r="A2741" s="1115" t="n">
        <v>71660</v>
      </c>
      <c r="B2741" s="1115" t="s">
        <v>166</v>
      </c>
      <c r="C2741" s="1115" t="n">
        <v>71660</v>
      </c>
      <c r="D2741" s="1115" t="s">
        <v>2940</v>
      </c>
      <c r="E2741" s="1115" t="s">
        <v>2318</v>
      </c>
      <c r="F2741" s="1115" t="n">
        <v>31120</v>
      </c>
      <c r="G2741" s="1115" t="n">
        <v>72650</v>
      </c>
      <c r="H2741" s="1115" t="s">
        <v>3686</v>
      </c>
      <c r="I2741" s="1115" t="n">
        <v>71680</v>
      </c>
      <c r="J2741" s="1115" t="s">
        <v>1210</v>
      </c>
    </row>
    <row r="2742" customFormat="false" ht="14.1" hidden="false" customHeight="true" outlineLevel="0" collapsed="false">
      <c r="A2742" s="1115" t="n">
        <v>71670</v>
      </c>
      <c r="B2742" s="1115" t="s">
        <v>166</v>
      </c>
      <c r="C2742" s="1115" t="n">
        <v>71670</v>
      </c>
      <c r="D2742" s="1115" t="s">
        <v>2733</v>
      </c>
      <c r="E2742" s="1115" t="s">
        <v>2541</v>
      </c>
      <c r="F2742" s="1115" t="n">
        <v>35860</v>
      </c>
      <c r="G2742" s="1115" t="n">
        <v>72710</v>
      </c>
      <c r="H2742" s="1115" t="s">
        <v>3687</v>
      </c>
      <c r="I2742" s="1115" t="n">
        <v>71690</v>
      </c>
      <c r="J2742" s="1115" t="s">
        <v>1210</v>
      </c>
    </row>
    <row r="2743" customFormat="false" ht="14.1" hidden="false" customHeight="true" outlineLevel="0" collapsed="false">
      <c r="A2743" s="1115" t="n">
        <v>71680</v>
      </c>
      <c r="B2743" s="1115" t="s">
        <v>166</v>
      </c>
      <c r="C2743" s="1115" t="n">
        <v>71680</v>
      </c>
      <c r="D2743" s="1115" t="s">
        <v>3635</v>
      </c>
      <c r="E2743" s="1115" t="s">
        <v>3686</v>
      </c>
      <c r="F2743" s="1115" t="n">
        <v>72650</v>
      </c>
      <c r="G2743" s="1115" t="n">
        <v>72740</v>
      </c>
      <c r="H2743" s="1115" t="s">
        <v>2926</v>
      </c>
      <c r="I2743" s="1115" t="n">
        <v>71695</v>
      </c>
      <c r="J2743" s="1115" t="s">
        <v>1342</v>
      </c>
    </row>
    <row r="2744" customFormat="false" ht="14.1" hidden="false" customHeight="true" outlineLevel="0" collapsed="false">
      <c r="A2744" s="1115" t="n">
        <v>71690</v>
      </c>
      <c r="B2744" s="1115" t="s">
        <v>166</v>
      </c>
      <c r="C2744" s="1115" t="n">
        <v>71690</v>
      </c>
      <c r="D2744" s="1115" t="s">
        <v>3662</v>
      </c>
      <c r="E2744" s="1115" t="s">
        <v>1292</v>
      </c>
      <c r="F2744" s="1115" t="n">
        <v>5200</v>
      </c>
      <c r="G2744" s="1115" t="n">
        <v>72810</v>
      </c>
      <c r="H2744" s="1115" t="s">
        <v>2078</v>
      </c>
      <c r="I2744" s="1115" t="n">
        <v>71720</v>
      </c>
      <c r="J2744" s="1115" t="s">
        <v>1342</v>
      </c>
    </row>
    <row r="2745" customFormat="false" ht="14.1" hidden="false" customHeight="true" outlineLevel="0" collapsed="false">
      <c r="A2745" s="1115" t="n">
        <v>71695</v>
      </c>
      <c r="B2745" s="1115" t="s">
        <v>166</v>
      </c>
      <c r="C2745" s="1115" t="n">
        <v>71695</v>
      </c>
      <c r="D2745" s="1115" t="s">
        <v>2082</v>
      </c>
      <c r="E2745" s="1115" t="s">
        <v>3299</v>
      </c>
      <c r="F2745" s="1115" t="n">
        <v>58560</v>
      </c>
      <c r="G2745" s="1115" t="n">
        <v>72830</v>
      </c>
      <c r="H2745" s="1115" t="s">
        <v>2151</v>
      </c>
      <c r="I2745" s="1115" t="n">
        <v>71730</v>
      </c>
      <c r="J2745" s="1115" t="s">
        <v>1342</v>
      </c>
    </row>
    <row r="2746" customFormat="false" ht="14.1" hidden="false" customHeight="true" outlineLevel="0" collapsed="false">
      <c r="A2746" s="1115" t="n">
        <v>71720</v>
      </c>
      <c r="B2746" s="1115" t="s">
        <v>166</v>
      </c>
      <c r="C2746" s="1115" t="n">
        <v>71720</v>
      </c>
      <c r="D2746" s="1115" t="s">
        <v>2827</v>
      </c>
      <c r="E2746" s="1115" t="s">
        <v>3307</v>
      </c>
      <c r="F2746" s="1115" t="n">
        <v>58620</v>
      </c>
      <c r="G2746" s="1115" t="n">
        <v>72840</v>
      </c>
      <c r="H2746" s="1115" t="s">
        <v>3688</v>
      </c>
      <c r="I2746" s="1115" t="n">
        <v>71740</v>
      </c>
      <c r="J2746" s="1115" t="s">
        <v>1342</v>
      </c>
    </row>
    <row r="2747" customFormat="false" ht="14.1" hidden="false" customHeight="true" outlineLevel="0" collapsed="false">
      <c r="A2747" s="1115" t="n">
        <v>71730</v>
      </c>
      <c r="B2747" s="1115" t="s">
        <v>166</v>
      </c>
      <c r="C2747" s="1115" t="n">
        <v>71730</v>
      </c>
      <c r="D2747" s="1115" t="s">
        <v>2435</v>
      </c>
      <c r="E2747" s="1115" t="s">
        <v>3498</v>
      </c>
      <c r="F2747" s="1115" t="n">
        <v>64550</v>
      </c>
      <c r="G2747" s="1115" t="n">
        <v>72880</v>
      </c>
      <c r="H2747" s="1115" t="s">
        <v>2483</v>
      </c>
      <c r="I2747" s="1115" t="n">
        <v>71745</v>
      </c>
      <c r="J2747" s="1115" t="s">
        <v>1342</v>
      </c>
    </row>
    <row r="2748" customFormat="false" ht="14.1" hidden="false" customHeight="true" outlineLevel="0" collapsed="false">
      <c r="A2748" s="1115" t="n">
        <v>71740</v>
      </c>
      <c r="B2748" s="1115" t="s">
        <v>166</v>
      </c>
      <c r="C2748" s="1115" t="n">
        <v>71740</v>
      </c>
      <c r="D2748" s="1115" t="s">
        <v>3663</v>
      </c>
      <c r="E2748" s="1115" t="s">
        <v>2806</v>
      </c>
      <c r="F2748" s="1115" t="n">
        <v>41860</v>
      </c>
      <c r="G2748" s="1115" t="n">
        <v>72920</v>
      </c>
      <c r="H2748" s="1115" t="s">
        <v>1734</v>
      </c>
      <c r="I2748" s="1115" t="n">
        <v>71750</v>
      </c>
      <c r="J2748" s="1115" t="s">
        <v>1342</v>
      </c>
    </row>
    <row r="2749" customFormat="false" ht="14.1" hidden="false" customHeight="true" outlineLevel="0" collapsed="false">
      <c r="A2749" s="1115" t="n">
        <v>71745</v>
      </c>
      <c r="B2749" s="1115" t="s">
        <v>166</v>
      </c>
      <c r="C2749" s="1115" t="n">
        <v>71745</v>
      </c>
      <c r="D2749" s="1115" t="s">
        <v>1307</v>
      </c>
      <c r="E2749" s="1115" t="s">
        <v>2186</v>
      </c>
      <c r="F2749" s="1115" t="n">
        <v>27330</v>
      </c>
      <c r="G2749" s="1115" t="n">
        <v>72930</v>
      </c>
      <c r="H2749" s="1115" t="s">
        <v>3689</v>
      </c>
      <c r="I2749" s="1115" t="n">
        <v>71760</v>
      </c>
      <c r="J2749" s="1115" t="s">
        <v>1342</v>
      </c>
    </row>
    <row r="2750" customFormat="false" ht="14.1" hidden="false" customHeight="true" outlineLevel="0" collapsed="false">
      <c r="A2750" s="1115" t="n">
        <v>71750</v>
      </c>
      <c r="B2750" s="1115" t="s">
        <v>166</v>
      </c>
      <c r="C2750" s="1115" t="n">
        <v>71750</v>
      </c>
      <c r="D2750" s="1115" t="s">
        <v>1210</v>
      </c>
      <c r="E2750" s="1115" t="s">
        <v>2868</v>
      </c>
      <c r="F2750" s="1115" t="n">
        <v>43540</v>
      </c>
      <c r="G2750" s="1115" t="n">
        <v>72950</v>
      </c>
      <c r="H2750" s="1115" t="s">
        <v>3620</v>
      </c>
      <c r="I2750" s="1115" t="n">
        <v>71770</v>
      </c>
      <c r="J2750" s="1115" t="s">
        <v>1342</v>
      </c>
    </row>
    <row r="2751" customFormat="false" ht="14.1" hidden="false" customHeight="true" outlineLevel="0" collapsed="false">
      <c r="A2751" s="1115" t="n">
        <v>71760</v>
      </c>
      <c r="B2751" s="1115" t="s">
        <v>166</v>
      </c>
      <c r="C2751" s="1115" t="n">
        <v>71760</v>
      </c>
      <c r="D2751" s="1115" t="s">
        <v>726</v>
      </c>
      <c r="E2751" s="1115" t="s">
        <v>3450</v>
      </c>
      <c r="F2751" s="1115" t="n">
        <v>63250</v>
      </c>
      <c r="G2751" s="1115" t="n">
        <v>72980</v>
      </c>
      <c r="H2751" s="1115" t="s">
        <v>3551</v>
      </c>
      <c r="I2751" s="1115" t="n">
        <v>71775</v>
      </c>
      <c r="J2751" s="1115" t="s">
        <v>1342</v>
      </c>
    </row>
    <row r="2752" customFormat="false" ht="14.1" hidden="false" customHeight="true" outlineLevel="0" collapsed="false">
      <c r="A2752" s="1115" t="n">
        <v>71770</v>
      </c>
      <c r="B2752" s="1115" t="s">
        <v>166</v>
      </c>
      <c r="C2752" s="1115" t="n">
        <v>71770</v>
      </c>
      <c r="D2752" s="1115" t="s">
        <v>3664</v>
      </c>
      <c r="E2752" s="1115" t="s">
        <v>1413</v>
      </c>
      <c r="F2752" s="1115" t="n">
        <v>58900</v>
      </c>
      <c r="G2752" s="1115" t="n">
        <v>73100</v>
      </c>
      <c r="H2752" s="1115" t="s">
        <v>1151</v>
      </c>
      <c r="I2752" s="1115" t="n">
        <v>71780</v>
      </c>
      <c r="J2752" s="1115" t="s">
        <v>1342</v>
      </c>
    </row>
    <row r="2753" customFormat="false" ht="14.1" hidden="false" customHeight="true" outlineLevel="0" collapsed="false">
      <c r="A2753" s="1115" t="n">
        <v>71775</v>
      </c>
      <c r="B2753" s="1115" t="s">
        <v>166</v>
      </c>
      <c r="C2753" s="1115" t="n">
        <v>71775</v>
      </c>
      <c r="D2753" s="1115" t="s">
        <v>3666</v>
      </c>
      <c r="E2753" s="1115" t="s">
        <v>1413</v>
      </c>
      <c r="F2753" s="1115" t="n">
        <v>58910</v>
      </c>
      <c r="G2753" s="1115" t="n">
        <v>73110</v>
      </c>
      <c r="H2753" s="1115" t="s">
        <v>3261</v>
      </c>
      <c r="I2753" s="1115" t="n">
        <v>71790</v>
      </c>
      <c r="J2753" s="1115" t="s">
        <v>1342</v>
      </c>
    </row>
    <row r="2754" customFormat="false" ht="14.1" hidden="false" customHeight="true" outlineLevel="0" collapsed="false">
      <c r="A2754" s="1115" t="n">
        <v>71780</v>
      </c>
      <c r="B2754" s="1115" t="s">
        <v>166</v>
      </c>
      <c r="C2754" s="1115" t="n">
        <v>71780</v>
      </c>
      <c r="D2754" s="1115" t="s">
        <v>1782</v>
      </c>
      <c r="E2754" s="1115" t="s">
        <v>3460</v>
      </c>
      <c r="F2754" s="1115" t="n">
        <v>63410</v>
      </c>
      <c r="G2754" s="1115" t="n">
        <v>73120</v>
      </c>
      <c r="H2754" s="1115" t="s">
        <v>3308</v>
      </c>
      <c r="I2754" s="1115" t="n">
        <v>71800</v>
      </c>
      <c r="J2754" s="1115" t="s">
        <v>1498</v>
      </c>
    </row>
    <row r="2755" customFormat="false" ht="14.1" hidden="false" customHeight="true" outlineLevel="0" collapsed="false">
      <c r="A2755" s="1115" t="n">
        <v>71790</v>
      </c>
      <c r="B2755" s="1115" t="s">
        <v>166</v>
      </c>
      <c r="C2755" s="1115" t="n">
        <v>71790</v>
      </c>
      <c r="D2755" s="1115" t="s">
        <v>2965</v>
      </c>
      <c r="E2755" s="1115" t="s">
        <v>1415</v>
      </c>
      <c r="F2755" s="1115" t="n">
        <v>92500</v>
      </c>
      <c r="G2755" s="1115" t="n">
        <v>73130</v>
      </c>
      <c r="H2755" s="1115" t="s">
        <v>3690</v>
      </c>
      <c r="I2755" s="1115" t="n">
        <v>71810</v>
      </c>
      <c r="J2755" s="1115" t="s">
        <v>1498</v>
      </c>
    </row>
    <row r="2756" customFormat="false" ht="14.1" hidden="false" customHeight="true" outlineLevel="0" collapsed="false">
      <c r="A2756" s="1115" t="n">
        <v>71800</v>
      </c>
      <c r="B2756" s="1115" t="s">
        <v>166</v>
      </c>
      <c r="C2756" s="1115" t="n">
        <v>71800</v>
      </c>
      <c r="D2756" s="1115" t="s">
        <v>1498</v>
      </c>
      <c r="E2756" s="1115" t="s">
        <v>1418</v>
      </c>
      <c r="F2756" s="1115" t="n">
        <v>97700</v>
      </c>
      <c r="G2756" s="1115" t="n">
        <v>73140</v>
      </c>
      <c r="H2756" s="1115" t="s">
        <v>3401</v>
      </c>
      <c r="I2756" s="1115" t="n">
        <v>71820</v>
      </c>
      <c r="J2756" s="1115" t="s">
        <v>1498</v>
      </c>
    </row>
    <row r="2757" customFormat="false" ht="14.1" hidden="false" customHeight="true" outlineLevel="0" collapsed="false">
      <c r="A2757" s="1115" t="n">
        <v>71810</v>
      </c>
      <c r="B2757" s="1115" t="s">
        <v>166</v>
      </c>
      <c r="C2757" s="1115" t="n">
        <v>71810</v>
      </c>
      <c r="D2757" s="1115" t="s">
        <v>715</v>
      </c>
      <c r="E2757" s="1115" t="s">
        <v>3691</v>
      </c>
      <c r="F2757" s="1115" t="n">
        <v>74670</v>
      </c>
      <c r="G2757" s="1115" t="n">
        <v>73160</v>
      </c>
      <c r="H2757" s="1115" t="s">
        <v>1778</v>
      </c>
      <c r="I2757" s="1115" t="n">
        <v>71830</v>
      </c>
      <c r="J2757" s="1115" t="s">
        <v>1498</v>
      </c>
    </row>
    <row r="2758" customFormat="false" ht="14.1" hidden="false" customHeight="true" outlineLevel="0" collapsed="false">
      <c r="A2758" s="1115" t="n">
        <v>71820</v>
      </c>
      <c r="B2758" s="1115" t="s">
        <v>166</v>
      </c>
      <c r="C2758" s="1115" t="n">
        <v>71820</v>
      </c>
      <c r="D2758" s="1115" t="s">
        <v>3668</v>
      </c>
      <c r="E2758" s="1115" t="s">
        <v>3170</v>
      </c>
      <c r="F2758" s="1115" t="n">
        <v>54250</v>
      </c>
      <c r="G2758" s="1115" t="n">
        <v>73180</v>
      </c>
      <c r="H2758" s="1115" t="s">
        <v>2035</v>
      </c>
      <c r="I2758" s="1115" t="n">
        <v>71840</v>
      </c>
      <c r="J2758" s="1115" t="s">
        <v>1498</v>
      </c>
    </row>
    <row r="2759" customFormat="false" ht="14.1" hidden="false" customHeight="true" outlineLevel="0" collapsed="false">
      <c r="A2759" s="1115" t="n">
        <v>71830</v>
      </c>
      <c r="B2759" s="1115" t="s">
        <v>166</v>
      </c>
      <c r="C2759" s="1115" t="n">
        <v>71830</v>
      </c>
      <c r="D2759" s="1115" t="s">
        <v>2528</v>
      </c>
      <c r="E2759" s="1115" t="s">
        <v>2923</v>
      </c>
      <c r="F2759" s="1115" t="n">
        <v>44780</v>
      </c>
      <c r="G2759" s="1115" t="n">
        <v>73190</v>
      </c>
      <c r="H2759" s="1115" t="s">
        <v>3692</v>
      </c>
      <c r="I2759" s="1115" t="n">
        <v>71860</v>
      </c>
      <c r="J2759" s="1115" t="s">
        <v>1498</v>
      </c>
    </row>
    <row r="2760" customFormat="false" ht="14.1" hidden="false" customHeight="true" outlineLevel="0" collapsed="false">
      <c r="A2760" s="1115" t="n">
        <v>71840</v>
      </c>
      <c r="B2760" s="1115" t="s">
        <v>166</v>
      </c>
      <c r="C2760" s="1115" t="n">
        <v>71840</v>
      </c>
      <c r="D2760" s="1115" t="s">
        <v>2761</v>
      </c>
      <c r="E2760" s="1115" t="s">
        <v>3693</v>
      </c>
      <c r="F2760" s="1115" t="n">
        <v>73610</v>
      </c>
      <c r="G2760" s="1115" t="n">
        <v>73200</v>
      </c>
      <c r="H2760" s="1115" t="s">
        <v>1604</v>
      </c>
      <c r="I2760" s="1115" t="n">
        <v>71870</v>
      </c>
      <c r="J2760" s="1115" t="s">
        <v>1498</v>
      </c>
    </row>
    <row r="2761" customFormat="false" ht="14.1" hidden="false" customHeight="true" outlineLevel="0" collapsed="false">
      <c r="A2761" s="1115" t="n">
        <v>71860</v>
      </c>
      <c r="B2761" s="1115" t="s">
        <v>166</v>
      </c>
      <c r="C2761" s="1115" t="n">
        <v>71860</v>
      </c>
      <c r="D2761" s="1115" t="s">
        <v>2101</v>
      </c>
      <c r="E2761" s="1115" t="s">
        <v>3694</v>
      </c>
      <c r="F2761" s="1115" t="n">
        <v>83235</v>
      </c>
      <c r="G2761" s="1115" t="n">
        <v>73230</v>
      </c>
      <c r="H2761" s="1115" t="s">
        <v>3695</v>
      </c>
      <c r="I2761" s="1115" t="n">
        <v>71880</v>
      </c>
      <c r="J2761" s="1115" t="s">
        <v>1498</v>
      </c>
    </row>
    <row r="2762" customFormat="false" ht="14.1" hidden="false" customHeight="true" outlineLevel="0" collapsed="false">
      <c r="A2762" s="1115" t="n">
        <v>71870</v>
      </c>
      <c r="B2762" s="1115" t="s">
        <v>166</v>
      </c>
      <c r="C2762" s="1115" t="n">
        <v>71870</v>
      </c>
      <c r="D2762" s="1115" t="s">
        <v>1407</v>
      </c>
      <c r="E2762" s="1115" t="s">
        <v>3337</v>
      </c>
      <c r="F2762" s="1115" t="n">
        <v>59430</v>
      </c>
      <c r="G2762" s="1115" t="n">
        <v>73250</v>
      </c>
      <c r="H2762" s="1115" t="s">
        <v>2566</v>
      </c>
      <c r="I2762" s="1115" t="n">
        <v>71890</v>
      </c>
      <c r="J2762" s="1115" t="s">
        <v>1498</v>
      </c>
    </row>
    <row r="2763" customFormat="false" ht="14.1" hidden="false" customHeight="true" outlineLevel="0" collapsed="false">
      <c r="A2763" s="1115" t="n">
        <v>71880</v>
      </c>
      <c r="B2763" s="1115" t="s">
        <v>166</v>
      </c>
      <c r="C2763" s="1115" t="n">
        <v>71880</v>
      </c>
      <c r="D2763" s="1115" t="s">
        <v>3671</v>
      </c>
      <c r="E2763" s="1115" t="s">
        <v>3696</v>
      </c>
      <c r="F2763" s="1115" t="n">
        <v>97330</v>
      </c>
      <c r="G2763" s="1115" t="n">
        <v>73270</v>
      </c>
      <c r="H2763" s="1115" t="s">
        <v>2269</v>
      </c>
      <c r="I2763" s="1115" t="n">
        <v>71910</v>
      </c>
      <c r="J2763" s="1115" t="s">
        <v>1151</v>
      </c>
    </row>
    <row r="2764" customFormat="false" ht="14.1" hidden="false" customHeight="true" outlineLevel="0" collapsed="false">
      <c r="A2764" s="1115" t="n">
        <v>71890</v>
      </c>
      <c r="B2764" s="1115" t="s">
        <v>166</v>
      </c>
      <c r="C2764" s="1115" t="n">
        <v>71890</v>
      </c>
      <c r="D2764" s="1115" t="s">
        <v>1363</v>
      </c>
      <c r="E2764" s="1115" t="s">
        <v>2981</v>
      </c>
      <c r="F2764" s="1115" t="n">
        <v>47260</v>
      </c>
      <c r="G2764" s="1115" t="n">
        <v>73300</v>
      </c>
      <c r="H2764" s="1115" t="s">
        <v>1265</v>
      </c>
      <c r="I2764" s="1115" t="n">
        <v>71920</v>
      </c>
      <c r="J2764" s="1115" t="s">
        <v>1151</v>
      </c>
    </row>
    <row r="2765" customFormat="false" ht="14.1" hidden="false" customHeight="true" outlineLevel="0" collapsed="false">
      <c r="A2765" s="1115" t="n">
        <v>71910</v>
      </c>
      <c r="B2765" s="1115" t="s">
        <v>166</v>
      </c>
      <c r="C2765" s="1115" t="n">
        <v>71910</v>
      </c>
      <c r="D2765" s="1115" t="s">
        <v>869</v>
      </c>
      <c r="E2765" s="1115" t="s">
        <v>3697</v>
      </c>
      <c r="F2765" s="1115" t="n">
        <v>99510</v>
      </c>
      <c r="G2765" s="1115" t="n">
        <v>73310</v>
      </c>
      <c r="H2765" s="1115" t="s">
        <v>3698</v>
      </c>
      <c r="I2765" s="1115" t="n">
        <v>71930</v>
      </c>
      <c r="J2765" s="1115" t="s">
        <v>1151</v>
      </c>
    </row>
    <row r="2766" customFormat="false" ht="14.1" hidden="false" customHeight="true" outlineLevel="0" collapsed="false">
      <c r="A2766" s="1115" t="n">
        <v>71920</v>
      </c>
      <c r="B2766" s="1115" t="s">
        <v>166</v>
      </c>
      <c r="C2766" s="1115" t="n">
        <v>71920</v>
      </c>
      <c r="D2766" s="1115" t="s">
        <v>3461</v>
      </c>
      <c r="E2766" s="1115" t="s">
        <v>1934</v>
      </c>
      <c r="F2766" s="1115" t="n">
        <v>21170</v>
      </c>
      <c r="G2766" s="1115" t="n">
        <v>73350</v>
      </c>
      <c r="H2766" s="1115" t="s">
        <v>1348</v>
      </c>
      <c r="I2766" s="1115" t="n">
        <v>71950</v>
      </c>
      <c r="J2766" s="1115" t="s">
        <v>1265</v>
      </c>
    </row>
    <row r="2767" customFormat="false" ht="14.1" hidden="false" customHeight="true" outlineLevel="0" collapsed="false">
      <c r="A2767" s="1115" t="n">
        <v>71930</v>
      </c>
      <c r="B2767" s="1115" t="s">
        <v>166</v>
      </c>
      <c r="C2767" s="1115" t="n">
        <v>71930</v>
      </c>
      <c r="D2767" s="1115" t="s">
        <v>2281</v>
      </c>
      <c r="E2767" s="1115" t="s">
        <v>3220</v>
      </c>
      <c r="F2767" s="1115" t="n">
        <v>55300</v>
      </c>
      <c r="G2767" s="1115" t="n">
        <v>73360</v>
      </c>
      <c r="H2767" s="1115" t="s">
        <v>3463</v>
      </c>
      <c r="I2767" s="1115" t="n">
        <v>71960</v>
      </c>
      <c r="J2767" s="1115" t="s">
        <v>1604</v>
      </c>
    </row>
    <row r="2768" customFormat="false" ht="14.1" hidden="false" customHeight="true" outlineLevel="0" collapsed="false">
      <c r="A2768" s="1115" t="n">
        <v>71950</v>
      </c>
      <c r="B2768" s="1115" t="s">
        <v>166</v>
      </c>
      <c r="C2768" s="1115" t="n">
        <v>71950</v>
      </c>
      <c r="D2768" s="1115" t="s">
        <v>2881</v>
      </c>
      <c r="E2768" s="1115" t="s">
        <v>3220</v>
      </c>
      <c r="F2768" s="1115" t="n">
        <v>55320</v>
      </c>
      <c r="G2768" s="1115" t="n">
        <v>73410</v>
      </c>
      <c r="H2768" s="1115" t="s">
        <v>3564</v>
      </c>
      <c r="I2768" s="1115" t="n">
        <v>72100</v>
      </c>
      <c r="J2768" s="1115" t="s">
        <v>1604</v>
      </c>
    </row>
    <row r="2769" customFormat="false" ht="14.1" hidden="false" customHeight="true" outlineLevel="0" collapsed="false">
      <c r="A2769" s="1115" t="n">
        <v>71960</v>
      </c>
      <c r="B2769" s="1115" t="s">
        <v>166</v>
      </c>
      <c r="C2769" s="1115" t="n">
        <v>71960</v>
      </c>
      <c r="D2769" s="1115" t="s">
        <v>3049</v>
      </c>
      <c r="E2769" s="1115" t="s">
        <v>3269</v>
      </c>
      <c r="F2769" s="1115" t="n">
        <v>58265</v>
      </c>
      <c r="G2769" s="1115" t="n">
        <v>73420</v>
      </c>
      <c r="H2769" s="1115" t="s">
        <v>3699</v>
      </c>
      <c r="I2769" s="1115" t="n">
        <v>72140</v>
      </c>
      <c r="J2769" s="1115" t="s">
        <v>1604</v>
      </c>
    </row>
    <row r="2770" customFormat="false" ht="14.1" hidden="false" customHeight="true" outlineLevel="0" collapsed="false">
      <c r="A2770" s="1115" t="n">
        <v>72100</v>
      </c>
      <c r="B2770" s="1115" t="s">
        <v>166</v>
      </c>
      <c r="C2770" s="1115" t="n">
        <v>72100</v>
      </c>
      <c r="D2770" s="1115" t="s">
        <v>1006</v>
      </c>
      <c r="E2770" s="1115" t="s">
        <v>2079</v>
      </c>
      <c r="F2770" s="1115" t="n">
        <v>23910</v>
      </c>
      <c r="G2770" s="1115" t="n">
        <v>73440</v>
      </c>
      <c r="H2770" s="1115" t="s">
        <v>3560</v>
      </c>
      <c r="I2770" s="1115" t="n">
        <v>72210</v>
      </c>
      <c r="J2770" s="1115" t="s">
        <v>1604</v>
      </c>
    </row>
    <row r="2771" customFormat="false" ht="14.1" hidden="false" customHeight="true" outlineLevel="0" collapsed="false">
      <c r="A2771" s="1115" t="n">
        <v>72140</v>
      </c>
      <c r="B2771" s="1115" t="s">
        <v>166</v>
      </c>
      <c r="C2771" s="1115" t="n">
        <v>72140</v>
      </c>
      <c r="D2771" s="1115" t="s">
        <v>1969</v>
      </c>
      <c r="E2771" s="1115" t="s">
        <v>1421</v>
      </c>
      <c r="F2771" s="1115" t="n">
        <v>26100</v>
      </c>
      <c r="G2771" s="1115" t="n">
        <v>73460</v>
      </c>
      <c r="H2771" s="1115" t="s">
        <v>3243</v>
      </c>
      <c r="I2771" s="1115" t="n">
        <v>72220</v>
      </c>
      <c r="J2771" s="1115" t="s">
        <v>1604</v>
      </c>
    </row>
    <row r="2772" customFormat="false" ht="14.1" hidden="false" customHeight="true" outlineLevel="0" collapsed="false">
      <c r="A2772" s="1115" t="n">
        <v>72210</v>
      </c>
      <c r="B2772" s="1115" t="s">
        <v>166</v>
      </c>
      <c r="C2772" s="1115" t="n">
        <v>72210</v>
      </c>
      <c r="D2772" s="1115" t="s">
        <v>1559</v>
      </c>
      <c r="E2772" s="1115" t="s">
        <v>1421</v>
      </c>
      <c r="F2772" s="1115" t="n">
        <v>26130</v>
      </c>
      <c r="G2772" s="1115" t="n">
        <v>73470</v>
      </c>
      <c r="H2772" s="1115" t="s">
        <v>3700</v>
      </c>
      <c r="I2772" s="1115" t="n">
        <v>72260</v>
      </c>
      <c r="J2772" s="1115" t="s">
        <v>1604</v>
      </c>
    </row>
    <row r="2773" customFormat="false" ht="14.1" hidden="false" customHeight="true" outlineLevel="0" collapsed="false">
      <c r="A2773" s="1115" t="n">
        <v>72220</v>
      </c>
      <c r="B2773" s="1115" t="s">
        <v>166</v>
      </c>
      <c r="C2773" s="1115" t="n">
        <v>72220</v>
      </c>
      <c r="D2773" s="1115" t="s">
        <v>1057</v>
      </c>
      <c r="E2773" s="1115" t="s">
        <v>1421</v>
      </c>
      <c r="F2773" s="1115" t="n">
        <v>26200</v>
      </c>
      <c r="G2773" s="1115" t="n">
        <v>73480</v>
      </c>
      <c r="H2773" s="1115" t="s">
        <v>3701</v>
      </c>
      <c r="I2773" s="1115" t="n">
        <v>72300</v>
      </c>
      <c r="J2773" s="1115" t="s">
        <v>1610</v>
      </c>
    </row>
    <row r="2774" customFormat="false" ht="14.1" hidden="false" customHeight="true" outlineLevel="0" collapsed="false">
      <c r="A2774" s="1115" t="n">
        <v>72260</v>
      </c>
      <c r="B2774" s="1115" t="s">
        <v>166</v>
      </c>
      <c r="C2774" s="1115" t="n">
        <v>72260</v>
      </c>
      <c r="D2774" s="1115" t="s">
        <v>3678</v>
      </c>
      <c r="E2774" s="1115" t="s">
        <v>1421</v>
      </c>
      <c r="F2774" s="1115" t="n">
        <v>26660</v>
      </c>
      <c r="G2774" s="1115" t="n">
        <v>73500</v>
      </c>
      <c r="H2774" s="1115" t="s">
        <v>919</v>
      </c>
      <c r="I2774" s="1115" t="n">
        <v>72310</v>
      </c>
      <c r="J2774" s="1115" t="s">
        <v>1610</v>
      </c>
    </row>
    <row r="2775" customFormat="false" ht="14.1" hidden="false" customHeight="true" outlineLevel="0" collapsed="false">
      <c r="A2775" s="1115" t="n">
        <v>72300</v>
      </c>
      <c r="B2775" s="1115" t="s">
        <v>166</v>
      </c>
      <c r="C2775" s="1115" t="n">
        <v>72300</v>
      </c>
      <c r="D2775" s="1115" t="s">
        <v>1610</v>
      </c>
      <c r="E2775" s="1115" t="s">
        <v>1421</v>
      </c>
      <c r="F2775" s="1115" t="n">
        <v>26820</v>
      </c>
      <c r="G2775" s="1115" t="n">
        <v>73530</v>
      </c>
      <c r="H2775" s="1115" t="s">
        <v>3519</v>
      </c>
      <c r="I2775" s="1115" t="n">
        <v>72330</v>
      </c>
      <c r="J2775" s="1115" t="s">
        <v>1610</v>
      </c>
    </row>
    <row r="2776" customFormat="false" ht="14.1" hidden="false" customHeight="true" outlineLevel="0" collapsed="false">
      <c r="A2776" s="1115" t="n">
        <v>72310</v>
      </c>
      <c r="B2776" s="1115" t="s">
        <v>166</v>
      </c>
      <c r="C2776" s="1115" t="n">
        <v>72310</v>
      </c>
      <c r="D2776" s="1115" t="s">
        <v>3326</v>
      </c>
      <c r="E2776" s="1115" t="s">
        <v>2976</v>
      </c>
      <c r="F2776" s="1115" t="n">
        <v>47150</v>
      </c>
      <c r="G2776" s="1115" t="n">
        <v>73570</v>
      </c>
      <c r="H2776" s="1115" t="s">
        <v>1736</v>
      </c>
      <c r="I2776" s="1115" t="n">
        <v>72350</v>
      </c>
      <c r="J2776" s="1115" t="s">
        <v>1610</v>
      </c>
    </row>
    <row r="2777" customFormat="false" ht="14.1" hidden="false" customHeight="true" outlineLevel="0" collapsed="false">
      <c r="A2777" s="1115" t="n">
        <v>72330</v>
      </c>
      <c r="B2777" s="1115" t="s">
        <v>166</v>
      </c>
      <c r="C2777" s="1115" t="n">
        <v>72330</v>
      </c>
      <c r="D2777" s="1115" t="s">
        <v>3680</v>
      </c>
      <c r="E2777" s="1115" t="s">
        <v>2574</v>
      </c>
      <c r="F2777" s="1115" t="n">
        <v>36910</v>
      </c>
      <c r="G2777" s="1115" t="n">
        <v>73600</v>
      </c>
      <c r="H2777" s="1115" t="s">
        <v>951</v>
      </c>
      <c r="I2777" s="1115" t="n">
        <v>72360</v>
      </c>
      <c r="J2777" s="1115" t="s">
        <v>1610</v>
      </c>
    </row>
    <row r="2778" customFormat="false" ht="14.1" hidden="false" customHeight="true" outlineLevel="0" collapsed="false">
      <c r="A2778" s="1115" t="n">
        <v>72350</v>
      </c>
      <c r="B2778" s="1115" t="s">
        <v>166</v>
      </c>
      <c r="C2778" s="1115" t="n">
        <v>72350</v>
      </c>
      <c r="D2778" s="1115" t="s">
        <v>3568</v>
      </c>
      <c r="E2778" s="1115" t="s">
        <v>1424</v>
      </c>
      <c r="F2778" s="1115" t="n">
        <v>77700</v>
      </c>
      <c r="G2778" s="1115" t="n">
        <v>73610</v>
      </c>
      <c r="H2778" s="1115" t="s">
        <v>3693</v>
      </c>
      <c r="I2778" s="1115" t="n">
        <v>72380</v>
      </c>
      <c r="J2778" s="1115" t="s">
        <v>1610</v>
      </c>
    </row>
    <row r="2779" customFormat="false" ht="14.1" hidden="false" customHeight="true" outlineLevel="0" collapsed="false">
      <c r="A2779" s="1115" t="n">
        <v>72360</v>
      </c>
      <c r="B2779" s="1115" t="s">
        <v>166</v>
      </c>
      <c r="C2779" s="1115" t="n">
        <v>72360</v>
      </c>
      <c r="D2779" s="1115" t="s">
        <v>3375</v>
      </c>
      <c r="E2779" s="1115" t="s">
        <v>1426</v>
      </c>
      <c r="F2779" s="1115" t="n">
        <v>73900</v>
      </c>
      <c r="G2779" s="1115" t="n">
        <v>73620</v>
      </c>
      <c r="H2779" s="1115" t="s">
        <v>2580</v>
      </c>
      <c r="I2779" s="1115" t="n">
        <v>72400</v>
      </c>
      <c r="J2779" s="1115" t="s">
        <v>1342</v>
      </c>
    </row>
    <row r="2780" customFormat="false" ht="14.1" hidden="false" customHeight="true" outlineLevel="0" collapsed="false">
      <c r="A2780" s="1115" t="n">
        <v>72380</v>
      </c>
      <c r="B2780" s="1115" t="s">
        <v>166</v>
      </c>
      <c r="C2780" s="1115" t="n">
        <v>72380</v>
      </c>
      <c r="D2780" s="1115" t="s">
        <v>1774</v>
      </c>
      <c r="E2780" s="1115" t="s">
        <v>2356</v>
      </c>
      <c r="F2780" s="1115" t="n">
        <v>31540</v>
      </c>
      <c r="G2780" s="1115" t="n">
        <v>73625</v>
      </c>
      <c r="H2780" s="1115" t="s">
        <v>3264</v>
      </c>
      <c r="I2780" s="1115" t="n">
        <v>72430</v>
      </c>
      <c r="J2780" s="1115" t="s">
        <v>1610</v>
      </c>
    </row>
    <row r="2781" customFormat="false" ht="14.1" hidden="false" customHeight="true" outlineLevel="0" collapsed="false">
      <c r="A2781" s="1115" t="n">
        <v>72400</v>
      </c>
      <c r="B2781" s="1115" t="s">
        <v>166</v>
      </c>
      <c r="C2781" s="1115" t="n">
        <v>72400</v>
      </c>
      <c r="D2781" s="1115" t="s">
        <v>1342</v>
      </c>
      <c r="E2781" s="1115" t="s">
        <v>2059</v>
      </c>
      <c r="F2781" s="1115" t="n">
        <v>23260</v>
      </c>
      <c r="G2781" s="1115" t="n">
        <v>73630</v>
      </c>
      <c r="H2781" s="1115" t="s">
        <v>2581</v>
      </c>
      <c r="I2781" s="1115" t="n">
        <v>72440</v>
      </c>
      <c r="J2781" s="1115" t="s">
        <v>1610</v>
      </c>
    </row>
    <row r="2782" customFormat="false" ht="14.1" hidden="false" customHeight="true" outlineLevel="0" collapsed="false">
      <c r="A2782" s="1115" t="n">
        <v>72430</v>
      </c>
      <c r="B2782" s="1115" t="s">
        <v>166</v>
      </c>
      <c r="C2782" s="1115" t="n">
        <v>72430</v>
      </c>
      <c r="D2782" s="1115" t="s">
        <v>2694</v>
      </c>
      <c r="E2782" s="1115" t="s">
        <v>3702</v>
      </c>
      <c r="F2782" s="1115" t="n">
        <v>85160</v>
      </c>
      <c r="G2782" s="1115" t="n">
        <v>73640</v>
      </c>
      <c r="H2782" s="1115" t="s">
        <v>3703</v>
      </c>
      <c r="I2782" s="1115" t="n">
        <v>72480</v>
      </c>
      <c r="J2782" s="1115" t="s">
        <v>1610</v>
      </c>
    </row>
    <row r="2783" customFormat="false" ht="14.1" hidden="false" customHeight="true" outlineLevel="0" collapsed="false">
      <c r="A2783" s="1115" t="n">
        <v>72440</v>
      </c>
      <c r="B2783" s="1115" t="s">
        <v>166</v>
      </c>
      <c r="C2783" s="1115" t="n">
        <v>72440</v>
      </c>
      <c r="D2783" s="1115" t="s">
        <v>2889</v>
      </c>
      <c r="E2783" s="1115" t="s">
        <v>3704</v>
      </c>
      <c r="F2783" s="1115" t="n">
        <v>97110</v>
      </c>
      <c r="G2783" s="1115" t="n">
        <v>73645</v>
      </c>
      <c r="H2783" s="1115" t="s">
        <v>3325</v>
      </c>
      <c r="I2783" s="1115" t="n">
        <v>72490</v>
      </c>
      <c r="J2783" s="1115" t="s">
        <v>1610</v>
      </c>
    </row>
    <row r="2784" customFormat="false" ht="14.1" hidden="false" customHeight="true" outlineLevel="0" collapsed="false">
      <c r="A2784" s="1115" t="n">
        <v>72480</v>
      </c>
      <c r="B2784" s="1115" t="s">
        <v>166</v>
      </c>
      <c r="C2784" s="1115" t="n">
        <v>72480</v>
      </c>
      <c r="D2784" s="1115" t="s">
        <v>3485</v>
      </c>
      <c r="E2784" s="1115" t="s">
        <v>1429</v>
      </c>
      <c r="F2784" s="1115" t="n">
        <v>56610</v>
      </c>
      <c r="G2784" s="1115" t="n">
        <v>73655</v>
      </c>
      <c r="H2784" s="1115" t="s">
        <v>3403</v>
      </c>
      <c r="I2784" s="1115" t="n">
        <v>72510</v>
      </c>
      <c r="J2784" s="1115" t="s">
        <v>1610</v>
      </c>
    </row>
    <row r="2785" customFormat="false" ht="14.1" hidden="false" customHeight="true" outlineLevel="0" collapsed="false">
      <c r="A2785" s="1115" t="n">
        <v>72490</v>
      </c>
      <c r="B2785" s="1115" t="s">
        <v>166</v>
      </c>
      <c r="C2785" s="1115" t="n">
        <v>72490</v>
      </c>
      <c r="D2785" s="1115" t="s">
        <v>3682</v>
      </c>
      <c r="E2785" s="1115" t="s">
        <v>1429</v>
      </c>
      <c r="F2785" s="1115" t="n">
        <v>56620</v>
      </c>
      <c r="G2785" s="1115" t="n">
        <v>73670</v>
      </c>
      <c r="H2785" s="1115" t="s">
        <v>3047</v>
      </c>
      <c r="I2785" s="1115" t="n">
        <v>72530</v>
      </c>
      <c r="J2785" s="1115" t="s">
        <v>1610</v>
      </c>
    </row>
    <row r="2786" customFormat="false" ht="14.1" hidden="false" customHeight="true" outlineLevel="0" collapsed="false">
      <c r="A2786" s="1115" t="n">
        <v>72510</v>
      </c>
      <c r="B2786" s="1115" t="s">
        <v>166</v>
      </c>
      <c r="C2786" s="1115" t="n">
        <v>72510</v>
      </c>
      <c r="D2786" s="1115" t="s">
        <v>2015</v>
      </c>
      <c r="E2786" s="1115" t="s">
        <v>3128</v>
      </c>
      <c r="F2786" s="1115" t="n">
        <v>52430</v>
      </c>
      <c r="G2786" s="1115" t="n">
        <v>73710</v>
      </c>
      <c r="H2786" s="1115" t="s">
        <v>3705</v>
      </c>
      <c r="I2786" s="1115" t="n">
        <v>72550</v>
      </c>
      <c r="J2786" s="1115" t="s">
        <v>1610</v>
      </c>
    </row>
    <row r="2787" customFormat="false" ht="14.1" hidden="false" customHeight="true" outlineLevel="0" collapsed="false">
      <c r="A2787" s="1115" t="n">
        <v>72530</v>
      </c>
      <c r="B2787" s="1115" t="s">
        <v>166</v>
      </c>
      <c r="C2787" s="1115" t="n">
        <v>72530</v>
      </c>
      <c r="D2787" s="1115" t="s">
        <v>3683</v>
      </c>
      <c r="E2787" s="1115" t="s">
        <v>3706</v>
      </c>
      <c r="F2787" s="1115" t="n">
        <v>99180</v>
      </c>
      <c r="G2787" s="1115" t="n">
        <v>73730</v>
      </c>
      <c r="H2787" s="1115" t="s">
        <v>3032</v>
      </c>
      <c r="I2787" s="1115" t="n">
        <v>72570</v>
      </c>
      <c r="J2787" s="1115" t="s">
        <v>1610</v>
      </c>
    </row>
    <row r="2788" customFormat="false" ht="14.1" hidden="false" customHeight="true" outlineLevel="0" collapsed="false">
      <c r="A2788" s="1115" t="n">
        <v>72550</v>
      </c>
      <c r="B2788" s="1115" t="s">
        <v>166</v>
      </c>
      <c r="C2788" s="1115" t="n">
        <v>72550</v>
      </c>
      <c r="D2788" s="1115" t="s">
        <v>3684</v>
      </c>
      <c r="E2788" s="1115" t="s">
        <v>1915</v>
      </c>
      <c r="F2788" s="1115" t="n">
        <v>20640</v>
      </c>
      <c r="G2788" s="1115" t="n">
        <v>73750</v>
      </c>
      <c r="H2788" s="1115" t="s">
        <v>3591</v>
      </c>
      <c r="I2788" s="1115" t="n">
        <v>72600</v>
      </c>
      <c r="J2788" s="1115" t="s">
        <v>1031</v>
      </c>
    </row>
    <row r="2789" customFormat="false" ht="14.1" hidden="false" customHeight="true" outlineLevel="0" collapsed="false">
      <c r="A2789" s="1115" t="n">
        <v>72570</v>
      </c>
      <c r="B2789" s="1115" t="s">
        <v>166</v>
      </c>
      <c r="C2789" s="1115" t="n">
        <v>72570</v>
      </c>
      <c r="D2789" s="1115" t="s">
        <v>3262</v>
      </c>
      <c r="E2789" s="1115" t="s">
        <v>3045</v>
      </c>
      <c r="F2789" s="1115" t="n">
        <v>49980</v>
      </c>
      <c r="G2789" s="1115" t="n">
        <v>73770</v>
      </c>
      <c r="H2789" s="1115" t="s">
        <v>3707</v>
      </c>
      <c r="I2789" s="1115" t="n">
        <v>72630</v>
      </c>
      <c r="J2789" s="1115" t="s">
        <v>1031</v>
      </c>
    </row>
    <row r="2790" customFormat="false" ht="14.1" hidden="false" customHeight="true" outlineLevel="0" collapsed="false">
      <c r="A2790" s="1115" t="n">
        <v>72600</v>
      </c>
      <c r="B2790" s="1115" t="s">
        <v>166</v>
      </c>
      <c r="C2790" s="1115" t="n">
        <v>72600</v>
      </c>
      <c r="D2790" s="1115" t="s">
        <v>1031</v>
      </c>
      <c r="E2790" s="1115" t="s">
        <v>1858</v>
      </c>
      <c r="F2790" s="1115" t="n">
        <v>19340</v>
      </c>
      <c r="G2790" s="1115" t="n">
        <v>73810</v>
      </c>
      <c r="H2790" s="1115" t="s">
        <v>3478</v>
      </c>
      <c r="I2790" s="1115" t="n">
        <v>72650</v>
      </c>
      <c r="J2790" s="1115" t="s">
        <v>1031</v>
      </c>
    </row>
    <row r="2791" customFormat="false" ht="14.1" hidden="false" customHeight="true" outlineLevel="0" collapsed="false">
      <c r="A2791" s="1115" t="n">
        <v>72630</v>
      </c>
      <c r="B2791" s="1115" t="s">
        <v>166</v>
      </c>
      <c r="C2791" s="1115" t="n">
        <v>72630</v>
      </c>
      <c r="D2791" s="1115" t="s">
        <v>2752</v>
      </c>
      <c r="E2791" s="1115" t="s">
        <v>3708</v>
      </c>
      <c r="F2791" s="1115" t="n">
        <v>80330</v>
      </c>
      <c r="G2791" s="1115" t="n">
        <v>73820</v>
      </c>
      <c r="H2791" s="1115" t="s">
        <v>3677</v>
      </c>
      <c r="I2791" s="1115" t="n">
        <v>72710</v>
      </c>
      <c r="J2791" s="1115" t="s">
        <v>1031</v>
      </c>
    </row>
    <row r="2792" customFormat="false" ht="14.1" hidden="false" customHeight="true" outlineLevel="0" collapsed="false">
      <c r="A2792" s="1115" t="n">
        <v>72650</v>
      </c>
      <c r="B2792" s="1115" t="s">
        <v>166</v>
      </c>
      <c r="C2792" s="1115" t="n">
        <v>72650</v>
      </c>
      <c r="D2792" s="1115" t="s">
        <v>3686</v>
      </c>
      <c r="E2792" s="1115" t="s">
        <v>2188</v>
      </c>
      <c r="F2792" s="1115" t="n">
        <v>27340</v>
      </c>
      <c r="G2792" s="1115" t="n">
        <v>73830</v>
      </c>
      <c r="H2792" s="1115" t="s">
        <v>3709</v>
      </c>
      <c r="I2792" s="1115" t="n">
        <v>72740</v>
      </c>
      <c r="J2792" s="1115" t="s">
        <v>1031</v>
      </c>
    </row>
    <row r="2793" customFormat="false" ht="14.1" hidden="false" customHeight="true" outlineLevel="0" collapsed="false">
      <c r="A2793" s="1115" t="n">
        <v>72710</v>
      </c>
      <c r="B2793" s="1115" t="s">
        <v>166</v>
      </c>
      <c r="C2793" s="1115" t="n">
        <v>72710</v>
      </c>
      <c r="D2793" s="1115" t="s">
        <v>3687</v>
      </c>
      <c r="E2793" s="1115" t="s">
        <v>1431</v>
      </c>
      <c r="F2793" s="1115" t="n">
        <v>85900</v>
      </c>
      <c r="G2793" s="1115" t="n">
        <v>73850</v>
      </c>
      <c r="H2793" s="1115" t="s">
        <v>842</v>
      </c>
      <c r="I2793" s="1115" t="n">
        <v>72810</v>
      </c>
      <c r="J2793" s="1115" t="s">
        <v>1031</v>
      </c>
    </row>
    <row r="2794" customFormat="false" ht="14.1" hidden="false" customHeight="true" outlineLevel="0" collapsed="false">
      <c r="A2794" s="1115" t="n">
        <v>72740</v>
      </c>
      <c r="B2794" s="1115" t="s">
        <v>166</v>
      </c>
      <c r="C2794" s="1115" t="n">
        <v>72740</v>
      </c>
      <c r="D2794" s="1115" t="s">
        <v>2926</v>
      </c>
      <c r="E2794" s="1115" t="s">
        <v>3020</v>
      </c>
      <c r="F2794" s="1115" t="n">
        <v>49520</v>
      </c>
      <c r="G2794" s="1115" t="n">
        <v>73860</v>
      </c>
      <c r="H2794" s="1115" t="s">
        <v>3660</v>
      </c>
      <c r="I2794" s="1115" t="n">
        <v>72830</v>
      </c>
      <c r="J2794" s="1115" t="s">
        <v>1031</v>
      </c>
    </row>
    <row r="2795" customFormat="false" ht="14.1" hidden="false" customHeight="true" outlineLevel="0" collapsed="false">
      <c r="A2795" s="1115" t="n">
        <v>72810</v>
      </c>
      <c r="B2795" s="1115" t="s">
        <v>166</v>
      </c>
      <c r="C2795" s="1115" t="n">
        <v>72810</v>
      </c>
      <c r="D2795" s="1115" t="s">
        <v>2078</v>
      </c>
      <c r="E2795" s="1115" t="s">
        <v>2103</v>
      </c>
      <c r="F2795" s="1115" t="n">
        <v>25380</v>
      </c>
      <c r="G2795" s="1115" t="n">
        <v>73880</v>
      </c>
      <c r="H2795" s="1115" t="s">
        <v>847</v>
      </c>
      <c r="I2795" s="1115" t="n">
        <v>72840</v>
      </c>
      <c r="J2795" s="1115" t="s">
        <v>1031</v>
      </c>
    </row>
    <row r="2796" customFormat="false" ht="14.1" hidden="false" customHeight="true" outlineLevel="0" collapsed="false">
      <c r="A2796" s="1115" t="n">
        <v>72830</v>
      </c>
      <c r="B2796" s="1115" t="s">
        <v>166</v>
      </c>
      <c r="C2796" s="1115" t="n">
        <v>72830</v>
      </c>
      <c r="D2796" s="1115" t="s">
        <v>2151</v>
      </c>
      <c r="E2796" s="1115" t="s">
        <v>3580</v>
      </c>
      <c r="F2796" s="1115" t="n">
        <v>66690</v>
      </c>
      <c r="G2796" s="1115" t="n">
        <v>73890</v>
      </c>
      <c r="H2796" s="1115" t="s">
        <v>751</v>
      </c>
      <c r="I2796" s="1115" t="n">
        <v>72880</v>
      </c>
      <c r="J2796" s="1115" t="s">
        <v>1031</v>
      </c>
    </row>
    <row r="2797" customFormat="false" ht="14.1" hidden="false" customHeight="true" outlineLevel="0" collapsed="false">
      <c r="A2797" s="1115" t="n">
        <v>72840</v>
      </c>
      <c r="B2797" s="1115" t="s">
        <v>166</v>
      </c>
      <c r="C2797" s="1115" t="n">
        <v>72840</v>
      </c>
      <c r="D2797" s="1115" t="s">
        <v>3688</v>
      </c>
      <c r="E2797" s="1115" t="s">
        <v>2132</v>
      </c>
      <c r="F2797" s="1115" t="n">
        <v>25770</v>
      </c>
      <c r="G2797" s="1115" t="n">
        <v>73900</v>
      </c>
      <c r="H2797" s="1115" t="s">
        <v>1426</v>
      </c>
      <c r="I2797" s="1115" t="n">
        <v>72920</v>
      </c>
      <c r="J2797" s="1115" t="s">
        <v>1031</v>
      </c>
    </row>
    <row r="2798" customFormat="false" ht="14.1" hidden="false" customHeight="true" outlineLevel="0" collapsed="false">
      <c r="A2798" s="1115" t="n">
        <v>72880</v>
      </c>
      <c r="B2798" s="1115" t="s">
        <v>166</v>
      </c>
      <c r="C2798" s="1115" t="n">
        <v>72880</v>
      </c>
      <c r="D2798" s="1115" t="s">
        <v>2483</v>
      </c>
      <c r="E2798" s="1115" t="s">
        <v>3710</v>
      </c>
      <c r="F2798" s="1115" t="n">
        <v>74940</v>
      </c>
      <c r="G2798" s="1115" t="n">
        <v>73970</v>
      </c>
      <c r="H2798" s="1115" t="s">
        <v>3711</v>
      </c>
      <c r="I2798" s="1115" t="n">
        <v>72930</v>
      </c>
      <c r="J2798" s="1115" t="s">
        <v>1031</v>
      </c>
    </row>
    <row r="2799" customFormat="false" ht="14.1" hidden="false" customHeight="true" outlineLevel="0" collapsed="false">
      <c r="A2799" s="1115" t="n">
        <v>72920</v>
      </c>
      <c r="B2799" s="1115" t="s">
        <v>166</v>
      </c>
      <c r="C2799" s="1115" t="n">
        <v>72920</v>
      </c>
      <c r="D2799" s="1115" t="s">
        <v>1734</v>
      </c>
      <c r="E2799" s="1115" t="s">
        <v>1434</v>
      </c>
      <c r="F2799" s="1115" t="n">
        <v>14300</v>
      </c>
      <c r="G2799" s="1115" t="n">
        <v>73990</v>
      </c>
      <c r="H2799" s="1115" t="s">
        <v>2216</v>
      </c>
      <c r="I2799" s="1115" t="n">
        <v>72950</v>
      </c>
      <c r="J2799" s="1115" t="s">
        <v>1031</v>
      </c>
    </row>
    <row r="2800" customFormat="false" ht="14.1" hidden="false" customHeight="true" outlineLevel="0" collapsed="false">
      <c r="A2800" s="1115" t="n">
        <v>72930</v>
      </c>
      <c r="B2800" s="1115" t="s">
        <v>166</v>
      </c>
      <c r="C2800" s="1115" t="n">
        <v>72930</v>
      </c>
      <c r="D2800" s="1115" t="s">
        <v>3689</v>
      </c>
      <c r="E2800" s="1115" t="s">
        <v>3712</v>
      </c>
      <c r="F2800" s="1115" t="n">
        <v>82250</v>
      </c>
      <c r="G2800" s="1115" t="n">
        <v>74100</v>
      </c>
      <c r="H2800" s="1115" t="s">
        <v>874</v>
      </c>
      <c r="I2800" s="1115" t="n">
        <v>72980</v>
      </c>
      <c r="J2800" s="1115" t="s">
        <v>1031</v>
      </c>
    </row>
    <row r="2801" customFormat="false" ht="14.1" hidden="false" customHeight="true" outlineLevel="0" collapsed="false">
      <c r="A2801" s="1115" t="n">
        <v>72950</v>
      </c>
      <c r="B2801" s="1115" t="s">
        <v>166</v>
      </c>
      <c r="C2801" s="1115" t="n">
        <v>72950</v>
      </c>
      <c r="D2801" s="1115" t="s">
        <v>3620</v>
      </c>
      <c r="E2801" s="1115" t="s">
        <v>3713</v>
      </c>
      <c r="F2801" s="1115" t="n">
        <v>81390</v>
      </c>
      <c r="G2801" s="1115" t="n">
        <v>74120</v>
      </c>
      <c r="H2801" s="1115" t="s">
        <v>874</v>
      </c>
      <c r="I2801" s="1115" t="n">
        <v>73100</v>
      </c>
      <c r="J2801" s="1115" t="s">
        <v>1151</v>
      </c>
    </row>
    <row r="2802" customFormat="false" ht="14.1" hidden="false" customHeight="true" outlineLevel="0" collapsed="false">
      <c r="A2802" s="1115" t="n">
        <v>72980</v>
      </c>
      <c r="B2802" s="1115" t="s">
        <v>166</v>
      </c>
      <c r="C2802" s="1115" t="n">
        <v>72980</v>
      </c>
      <c r="D2802" s="1115" t="s">
        <v>3551</v>
      </c>
      <c r="E2802" s="1115" t="s">
        <v>3714</v>
      </c>
      <c r="F2802" s="1115" t="n">
        <v>92350</v>
      </c>
      <c r="G2802" s="1115" t="n">
        <v>74130</v>
      </c>
      <c r="H2802" s="1115" t="s">
        <v>874</v>
      </c>
      <c r="I2802" s="1115" t="n">
        <v>73110</v>
      </c>
      <c r="J2802" s="1115" t="s">
        <v>1151</v>
      </c>
    </row>
    <row r="2803" customFormat="false" ht="14.1" hidden="false" customHeight="true" outlineLevel="0" collapsed="false">
      <c r="A2803" s="1115" t="n">
        <v>73100</v>
      </c>
      <c r="B2803" s="1115" t="s">
        <v>166</v>
      </c>
      <c r="C2803" s="1115" t="n">
        <v>73100</v>
      </c>
      <c r="D2803" s="1115" t="s">
        <v>1151</v>
      </c>
      <c r="E2803" s="1115" t="s">
        <v>2491</v>
      </c>
      <c r="F2803" s="1115" t="n">
        <v>34630</v>
      </c>
      <c r="G2803" s="1115" t="n">
        <v>74160</v>
      </c>
      <c r="H2803" s="1115" t="s">
        <v>2516</v>
      </c>
      <c r="I2803" s="1115" t="n">
        <v>73120</v>
      </c>
      <c r="J2803" s="1115" t="s">
        <v>1151</v>
      </c>
    </row>
    <row r="2804" customFormat="false" ht="14.1" hidden="false" customHeight="true" outlineLevel="0" collapsed="false">
      <c r="A2804" s="1115" t="n">
        <v>73110</v>
      </c>
      <c r="B2804" s="1115" t="s">
        <v>166</v>
      </c>
      <c r="C2804" s="1115" t="n">
        <v>73110</v>
      </c>
      <c r="D2804" s="1115" t="s">
        <v>3261</v>
      </c>
      <c r="E2804" s="1115" t="s">
        <v>3715</v>
      </c>
      <c r="F2804" s="1115" t="n">
        <v>85440</v>
      </c>
      <c r="G2804" s="1115" t="n">
        <v>74170</v>
      </c>
      <c r="H2804" s="1115" t="s">
        <v>3716</v>
      </c>
      <c r="I2804" s="1115" t="n">
        <v>73130</v>
      </c>
      <c r="J2804" s="1115" t="s">
        <v>1151</v>
      </c>
    </row>
    <row r="2805" customFormat="false" ht="14.1" hidden="false" customHeight="true" outlineLevel="0" collapsed="false">
      <c r="A2805" s="1115" t="n">
        <v>73120</v>
      </c>
      <c r="B2805" s="1115" t="s">
        <v>166</v>
      </c>
      <c r="C2805" s="1115" t="n">
        <v>73120</v>
      </c>
      <c r="D2805" s="1115" t="s">
        <v>3308</v>
      </c>
      <c r="E2805" s="1115" t="s">
        <v>3717</v>
      </c>
      <c r="F2805" s="1115" t="n">
        <v>81130</v>
      </c>
      <c r="G2805" s="1115" t="n">
        <v>74200</v>
      </c>
      <c r="H2805" s="1115" t="s">
        <v>1615</v>
      </c>
      <c r="I2805" s="1115" t="n">
        <v>73140</v>
      </c>
      <c r="J2805" s="1115" t="s">
        <v>1151</v>
      </c>
    </row>
    <row r="2806" customFormat="false" ht="14.1" hidden="false" customHeight="true" outlineLevel="0" collapsed="false">
      <c r="A2806" s="1115" t="n">
        <v>73130</v>
      </c>
      <c r="B2806" s="1115" t="s">
        <v>166</v>
      </c>
      <c r="C2806" s="1115" t="n">
        <v>73130</v>
      </c>
      <c r="D2806" s="1115" t="s">
        <v>3690</v>
      </c>
      <c r="E2806" s="1115" t="s">
        <v>2325</v>
      </c>
      <c r="F2806" s="1115" t="n">
        <v>31210</v>
      </c>
      <c r="G2806" s="1115" t="n">
        <v>74210</v>
      </c>
      <c r="H2806" s="1115" t="s">
        <v>3718</v>
      </c>
      <c r="I2806" s="1115" t="n">
        <v>73160</v>
      </c>
      <c r="J2806" s="1115" t="s">
        <v>1151</v>
      </c>
    </row>
    <row r="2807" customFormat="false" ht="14.1" hidden="false" customHeight="true" outlineLevel="0" collapsed="false">
      <c r="A2807" s="1115" t="n">
        <v>73140</v>
      </c>
      <c r="B2807" s="1115" t="s">
        <v>166</v>
      </c>
      <c r="C2807" s="1115" t="n">
        <v>73140</v>
      </c>
      <c r="D2807" s="1115" t="s">
        <v>3401</v>
      </c>
      <c r="E2807" s="1115" t="s">
        <v>3719</v>
      </c>
      <c r="F2807" s="1115" t="n">
        <v>81150</v>
      </c>
      <c r="G2807" s="1115" t="n">
        <v>74230</v>
      </c>
      <c r="H2807" s="1115" t="s">
        <v>3720</v>
      </c>
      <c r="I2807" s="1115" t="n">
        <v>73180</v>
      </c>
      <c r="J2807" s="1115" t="s">
        <v>1151</v>
      </c>
    </row>
    <row r="2808" customFormat="false" ht="14.1" hidden="false" customHeight="true" outlineLevel="0" collapsed="false">
      <c r="A2808" s="1115" t="n">
        <v>73160</v>
      </c>
      <c r="B2808" s="1115" t="s">
        <v>166</v>
      </c>
      <c r="C2808" s="1115" t="n">
        <v>73160</v>
      </c>
      <c r="D2808" s="1115" t="s">
        <v>1778</v>
      </c>
      <c r="E2808" s="1115" t="s">
        <v>2006</v>
      </c>
      <c r="F2808" s="1115" t="n">
        <v>21870</v>
      </c>
      <c r="G2808" s="1115" t="n">
        <v>74240</v>
      </c>
      <c r="H2808" s="1115" t="s">
        <v>3154</v>
      </c>
      <c r="I2808" s="1115" t="n">
        <v>73190</v>
      </c>
      <c r="J2808" s="1115" t="s">
        <v>1151</v>
      </c>
    </row>
    <row r="2809" customFormat="false" ht="14.1" hidden="false" customHeight="true" outlineLevel="0" collapsed="false">
      <c r="A2809" s="1115" t="n">
        <v>73180</v>
      </c>
      <c r="B2809" s="1115" t="s">
        <v>166</v>
      </c>
      <c r="C2809" s="1115" t="n">
        <v>73180</v>
      </c>
      <c r="D2809" s="1115" t="s">
        <v>2035</v>
      </c>
      <c r="E2809" s="1115" t="s">
        <v>1436</v>
      </c>
      <c r="F2809" s="1115" t="n">
        <v>11100</v>
      </c>
      <c r="G2809" s="1115" t="n">
        <v>74250</v>
      </c>
      <c r="H2809" s="1115" t="s">
        <v>3336</v>
      </c>
      <c r="I2809" s="1115" t="n">
        <v>73200</v>
      </c>
      <c r="J2809" s="1115" t="s">
        <v>1151</v>
      </c>
    </row>
    <row r="2810" customFormat="false" ht="14.1" hidden="false" customHeight="true" outlineLevel="0" collapsed="false">
      <c r="A2810" s="1115" t="n">
        <v>73190</v>
      </c>
      <c r="B2810" s="1115" t="s">
        <v>166</v>
      </c>
      <c r="C2810" s="1115" t="n">
        <v>73190</v>
      </c>
      <c r="D2810" s="1115" t="s">
        <v>3692</v>
      </c>
      <c r="E2810" s="1115" t="s">
        <v>1436</v>
      </c>
      <c r="F2810" s="1115" t="n">
        <v>11120</v>
      </c>
      <c r="G2810" s="1115" t="n">
        <v>74270</v>
      </c>
      <c r="H2810" s="1115" t="s">
        <v>2327</v>
      </c>
      <c r="I2810" s="1115" t="n">
        <v>73230</v>
      </c>
      <c r="J2810" s="1115" t="s">
        <v>1151</v>
      </c>
    </row>
    <row r="2811" customFormat="false" ht="14.1" hidden="false" customHeight="true" outlineLevel="0" collapsed="false">
      <c r="A2811" s="1115" t="n">
        <v>73200</v>
      </c>
      <c r="B2811" s="1115" t="s">
        <v>166</v>
      </c>
      <c r="C2811" s="1115" t="n">
        <v>73200</v>
      </c>
      <c r="D2811" s="1115" t="s">
        <v>1604</v>
      </c>
      <c r="E2811" s="1115" t="s">
        <v>1436</v>
      </c>
      <c r="F2811" s="1115" t="n">
        <v>11130</v>
      </c>
      <c r="G2811" s="1115" t="n">
        <v>74285</v>
      </c>
      <c r="H2811" s="1115" t="s">
        <v>2143</v>
      </c>
      <c r="I2811" s="1115" t="n">
        <v>73250</v>
      </c>
      <c r="J2811" s="1115" t="s">
        <v>1151</v>
      </c>
    </row>
    <row r="2812" customFormat="false" ht="14.1" hidden="false" customHeight="true" outlineLevel="0" collapsed="false">
      <c r="A2812" s="1115" t="n">
        <v>73230</v>
      </c>
      <c r="B2812" s="1115" t="s">
        <v>166</v>
      </c>
      <c r="C2812" s="1115" t="n">
        <v>73230</v>
      </c>
      <c r="D2812" s="1115" t="s">
        <v>3695</v>
      </c>
      <c r="E2812" s="1115" t="s">
        <v>1436</v>
      </c>
      <c r="F2812" s="1115" t="n">
        <v>11310</v>
      </c>
      <c r="G2812" s="1115" t="n">
        <v>74300</v>
      </c>
      <c r="H2812" s="1115" t="s">
        <v>1509</v>
      </c>
      <c r="I2812" s="1115" t="n">
        <v>73270</v>
      </c>
      <c r="J2812" s="1115" t="s">
        <v>1151</v>
      </c>
    </row>
    <row r="2813" customFormat="false" ht="14.1" hidden="false" customHeight="true" outlineLevel="0" collapsed="false">
      <c r="A2813" s="1115" t="n">
        <v>73250</v>
      </c>
      <c r="B2813" s="1115" t="s">
        <v>166</v>
      </c>
      <c r="C2813" s="1115" t="n">
        <v>73250</v>
      </c>
      <c r="D2813" s="1115" t="s">
        <v>2566</v>
      </c>
      <c r="E2813" s="1115" t="s">
        <v>1436</v>
      </c>
      <c r="F2813" s="1115" t="n">
        <v>11710</v>
      </c>
      <c r="G2813" s="1115" t="n">
        <v>74310</v>
      </c>
      <c r="H2813" s="1115" t="s">
        <v>822</v>
      </c>
      <c r="I2813" s="1115" t="n">
        <v>73300</v>
      </c>
      <c r="J2813" s="1115" t="s">
        <v>1265</v>
      </c>
    </row>
    <row r="2814" customFormat="false" ht="14.1" hidden="false" customHeight="true" outlineLevel="0" collapsed="false">
      <c r="A2814" s="1115" t="n">
        <v>73270</v>
      </c>
      <c r="B2814" s="1115" t="s">
        <v>166</v>
      </c>
      <c r="C2814" s="1115" t="n">
        <v>73270</v>
      </c>
      <c r="D2814" s="1115" t="s">
        <v>2269</v>
      </c>
      <c r="E2814" s="1115" t="s">
        <v>2312</v>
      </c>
      <c r="F2814" s="1115" t="n">
        <v>30920</v>
      </c>
      <c r="G2814" s="1115" t="n">
        <v>74340</v>
      </c>
      <c r="H2814" s="1115" t="s">
        <v>3721</v>
      </c>
      <c r="I2814" s="1115" t="n">
        <v>73310</v>
      </c>
      <c r="J2814" s="1115" t="s">
        <v>1265</v>
      </c>
    </row>
    <row r="2815" customFormat="false" ht="14.1" hidden="false" customHeight="true" outlineLevel="0" collapsed="false">
      <c r="A2815" s="1115" t="n">
        <v>73300</v>
      </c>
      <c r="B2815" s="1115" t="s">
        <v>166</v>
      </c>
      <c r="C2815" s="1115" t="n">
        <v>73300</v>
      </c>
      <c r="D2815" s="1115" t="s">
        <v>1265</v>
      </c>
      <c r="E2815" s="1115" t="s">
        <v>2842</v>
      </c>
      <c r="F2815" s="1115" t="n">
        <v>42820</v>
      </c>
      <c r="G2815" s="1115" t="n">
        <v>74345</v>
      </c>
      <c r="H2815" s="1115" t="s">
        <v>2193</v>
      </c>
      <c r="I2815" s="1115" t="n">
        <v>73350</v>
      </c>
      <c r="J2815" s="1115" t="s">
        <v>1265</v>
      </c>
    </row>
    <row r="2816" customFormat="false" ht="14.1" hidden="false" customHeight="true" outlineLevel="0" collapsed="false">
      <c r="A2816" s="1115" t="n">
        <v>73310</v>
      </c>
      <c r="B2816" s="1115" t="s">
        <v>166</v>
      </c>
      <c r="C2816" s="1115" t="n">
        <v>73310</v>
      </c>
      <c r="D2816" s="1115" t="s">
        <v>3698</v>
      </c>
      <c r="E2816" s="1115" t="s">
        <v>3722</v>
      </c>
      <c r="F2816" s="1115" t="n">
        <v>99720</v>
      </c>
      <c r="G2816" s="1115" t="n">
        <v>74360</v>
      </c>
      <c r="H2816" s="1115" t="s">
        <v>3723</v>
      </c>
      <c r="I2816" s="1115" t="n">
        <v>73360</v>
      </c>
      <c r="J2816" s="1115" t="s">
        <v>1265</v>
      </c>
    </row>
    <row r="2817" customFormat="false" ht="14.1" hidden="false" customHeight="true" outlineLevel="0" collapsed="false">
      <c r="A2817" s="1115" t="n">
        <v>73350</v>
      </c>
      <c r="B2817" s="1115" t="s">
        <v>166</v>
      </c>
      <c r="C2817" s="1115" t="n">
        <v>73350</v>
      </c>
      <c r="D2817" s="1115" t="s">
        <v>1348</v>
      </c>
      <c r="E2817" s="1115" t="s">
        <v>3724</v>
      </c>
      <c r="F2817" s="1115" t="n">
        <v>77310</v>
      </c>
      <c r="G2817" s="1115" t="n">
        <v>74380</v>
      </c>
      <c r="H2817" s="1115" t="s">
        <v>2086</v>
      </c>
      <c r="I2817" s="1115" t="n">
        <v>73410</v>
      </c>
      <c r="J2817" s="1115" t="s">
        <v>1265</v>
      </c>
    </row>
    <row r="2818" customFormat="false" ht="14.1" hidden="false" customHeight="true" outlineLevel="0" collapsed="false">
      <c r="A2818" s="1115" t="n">
        <v>73360</v>
      </c>
      <c r="B2818" s="1115" t="s">
        <v>166</v>
      </c>
      <c r="C2818" s="1115" t="n">
        <v>73360</v>
      </c>
      <c r="D2818" s="1115" t="s">
        <v>3463</v>
      </c>
      <c r="E2818" s="1115" t="s">
        <v>2620</v>
      </c>
      <c r="F2818" s="1115" t="n">
        <v>37980</v>
      </c>
      <c r="G2818" s="1115" t="n">
        <v>74390</v>
      </c>
      <c r="H2818" s="1115" t="s">
        <v>2840</v>
      </c>
      <c r="I2818" s="1115" t="n">
        <v>73420</v>
      </c>
      <c r="J2818" s="1115" t="s">
        <v>1265</v>
      </c>
    </row>
    <row r="2819" customFormat="false" ht="14.1" hidden="false" customHeight="true" outlineLevel="0" collapsed="false">
      <c r="A2819" s="1115" t="n">
        <v>73410</v>
      </c>
      <c r="B2819" s="1115" t="s">
        <v>166</v>
      </c>
      <c r="C2819" s="1115" t="n">
        <v>73410</v>
      </c>
      <c r="D2819" s="1115" t="s">
        <v>3564</v>
      </c>
      <c r="E2819" s="1115" t="s">
        <v>2298</v>
      </c>
      <c r="F2819" s="1115" t="n">
        <v>29920</v>
      </c>
      <c r="G2819" s="1115" t="n">
        <v>74420</v>
      </c>
      <c r="H2819" s="1115" t="s">
        <v>1673</v>
      </c>
      <c r="I2819" s="1115" t="n">
        <v>73440</v>
      </c>
      <c r="J2819" s="1115" t="s">
        <v>1265</v>
      </c>
    </row>
    <row r="2820" customFormat="false" ht="14.1" hidden="false" customHeight="true" outlineLevel="0" collapsed="false">
      <c r="A2820" s="1115" t="n">
        <v>73420</v>
      </c>
      <c r="B2820" s="1115" t="s">
        <v>166</v>
      </c>
      <c r="C2820" s="1115" t="n">
        <v>73420</v>
      </c>
      <c r="D2820" s="1115" t="s">
        <v>3699</v>
      </c>
      <c r="E2820" s="1115" t="s">
        <v>2512</v>
      </c>
      <c r="F2820" s="1115" t="n">
        <v>35240</v>
      </c>
      <c r="G2820" s="1115" t="n">
        <v>74450</v>
      </c>
      <c r="H2820" s="1115" t="s">
        <v>1103</v>
      </c>
      <c r="I2820" s="1115" t="n">
        <v>73460</v>
      </c>
      <c r="J2820" s="1115" t="s">
        <v>919</v>
      </c>
    </row>
    <row r="2821" customFormat="false" ht="14.1" hidden="false" customHeight="true" outlineLevel="0" collapsed="false">
      <c r="A2821" s="1115" t="n">
        <v>73440</v>
      </c>
      <c r="B2821" s="1115" t="s">
        <v>166</v>
      </c>
      <c r="C2821" s="1115" t="n">
        <v>73440</v>
      </c>
      <c r="D2821" s="1115" t="s">
        <v>3560</v>
      </c>
      <c r="E2821" s="1115" t="s">
        <v>3643</v>
      </c>
      <c r="F2821" s="1115" t="n">
        <v>71160</v>
      </c>
      <c r="G2821" s="1115" t="n">
        <v>74460</v>
      </c>
      <c r="H2821" s="1115" t="s">
        <v>3552</v>
      </c>
      <c r="I2821" s="1115" t="n">
        <v>73470</v>
      </c>
      <c r="J2821" s="1115" t="s">
        <v>919</v>
      </c>
    </row>
    <row r="2822" customFormat="false" ht="14.1" hidden="false" customHeight="true" outlineLevel="0" collapsed="false">
      <c r="A2822" s="1115" t="n">
        <v>73460</v>
      </c>
      <c r="B2822" s="1115" t="s">
        <v>166</v>
      </c>
      <c r="C2822" s="1115" t="n">
        <v>73460</v>
      </c>
      <c r="D2822" s="1115" t="s">
        <v>3243</v>
      </c>
      <c r="E2822" s="1115" t="s">
        <v>3711</v>
      </c>
      <c r="F2822" s="1115" t="n">
        <v>73970</v>
      </c>
      <c r="G2822" s="1115" t="n">
        <v>74470</v>
      </c>
      <c r="H2822" s="1115" t="s">
        <v>3472</v>
      </c>
      <c r="I2822" s="1115" t="n">
        <v>73480</v>
      </c>
      <c r="J2822" s="1115" t="s">
        <v>919</v>
      </c>
    </row>
    <row r="2823" customFormat="false" ht="14.1" hidden="false" customHeight="true" outlineLevel="0" collapsed="false">
      <c r="A2823" s="1115" t="n">
        <v>73470</v>
      </c>
      <c r="B2823" s="1115" t="s">
        <v>166</v>
      </c>
      <c r="C2823" s="1115" t="n">
        <v>73470</v>
      </c>
      <c r="D2823" s="1115" t="s">
        <v>3700</v>
      </c>
      <c r="E2823" s="1115" t="s">
        <v>2704</v>
      </c>
      <c r="F2823" s="1115" t="n">
        <v>39580</v>
      </c>
      <c r="G2823" s="1115" t="n">
        <v>74480</v>
      </c>
      <c r="H2823" s="1115" t="s">
        <v>3557</v>
      </c>
      <c r="I2823" s="1115" t="n">
        <v>73500</v>
      </c>
      <c r="J2823" s="1115" t="s">
        <v>919</v>
      </c>
    </row>
    <row r="2824" customFormat="false" ht="14.1" hidden="false" customHeight="true" outlineLevel="0" collapsed="false">
      <c r="A2824" s="1115" t="n">
        <v>73480</v>
      </c>
      <c r="B2824" s="1115" t="s">
        <v>166</v>
      </c>
      <c r="C2824" s="1115" t="n">
        <v>73480</v>
      </c>
      <c r="D2824" s="1115" t="s">
        <v>3701</v>
      </c>
      <c r="E2824" s="1115" t="s">
        <v>3173</v>
      </c>
      <c r="F2824" s="1115" t="n">
        <v>54290</v>
      </c>
      <c r="G2824" s="1115" t="n">
        <v>74490</v>
      </c>
      <c r="H2824" s="1115" t="s">
        <v>2473</v>
      </c>
      <c r="I2824" s="1115" t="n">
        <v>73530</v>
      </c>
      <c r="J2824" s="1115" t="s">
        <v>919</v>
      </c>
    </row>
    <row r="2825" customFormat="false" ht="14.1" hidden="false" customHeight="true" outlineLevel="0" collapsed="false">
      <c r="A2825" s="1115" t="n">
        <v>73500</v>
      </c>
      <c r="B2825" s="1115" t="s">
        <v>166</v>
      </c>
      <c r="C2825" s="1115" t="n">
        <v>73500</v>
      </c>
      <c r="D2825" s="1115" t="s">
        <v>919</v>
      </c>
      <c r="E2825" s="1115" t="s">
        <v>3531</v>
      </c>
      <c r="F2825" s="1115" t="n">
        <v>65470</v>
      </c>
      <c r="G2825" s="1115" t="n">
        <v>74510</v>
      </c>
      <c r="H2825" s="1115" t="s">
        <v>3521</v>
      </c>
      <c r="I2825" s="1115" t="n">
        <v>73570</v>
      </c>
      <c r="J2825" s="1115" t="s">
        <v>919</v>
      </c>
    </row>
    <row r="2826" customFormat="false" ht="14.1" hidden="false" customHeight="true" outlineLevel="0" collapsed="false">
      <c r="A2826" s="1115" t="n">
        <v>73530</v>
      </c>
      <c r="B2826" s="1115" t="s">
        <v>166</v>
      </c>
      <c r="C2826" s="1115" t="n">
        <v>73530</v>
      </c>
      <c r="D2826" s="1115" t="s">
        <v>3519</v>
      </c>
      <c r="E2826" s="1115" t="s">
        <v>1657</v>
      </c>
      <c r="F2826" s="1115" t="n">
        <v>14450</v>
      </c>
      <c r="G2826" s="1115" t="n">
        <v>74520</v>
      </c>
      <c r="H2826" s="1115" t="s">
        <v>3383</v>
      </c>
      <c r="I2826" s="1115" t="n">
        <v>73600</v>
      </c>
      <c r="J2826" s="1115" t="s">
        <v>951</v>
      </c>
    </row>
    <row r="2827" customFormat="false" ht="14.1" hidden="false" customHeight="true" outlineLevel="0" collapsed="false">
      <c r="A2827" s="1115" t="n">
        <v>73570</v>
      </c>
      <c r="B2827" s="1115" t="s">
        <v>166</v>
      </c>
      <c r="C2827" s="1115" t="n">
        <v>73570</v>
      </c>
      <c r="D2827" s="1115" t="s">
        <v>1736</v>
      </c>
      <c r="E2827" s="1115" t="s">
        <v>3407</v>
      </c>
      <c r="F2827" s="1115" t="n">
        <v>62150</v>
      </c>
      <c r="G2827" s="1115" t="n">
        <v>74530</v>
      </c>
      <c r="H2827" s="1115" t="s">
        <v>3309</v>
      </c>
      <c r="I2827" s="1115" t="n">
        <v>73610</v>
      </c>
      <c r="J2827" s="1115" t="s">
        <v>951</v>
      </c>
    </row>
    <row r="2828" customFormat="false" ht="14.1" hidden="false" customHeight="true" outlineLevel="0" collapsed="false">
      <c r="A2828" s="1115" t="n">
        <v>73600</v>
      </c>
      <c r="B2828" s="1115" t="s">
        <v>166</v>
      </c>
      <c r="C2828" s="1115" t="n">
        <v>73600</v>
      </c>
      <c r="D2828" s="1115" t="s">
        <v>951</v>
      </c>
      <c r="E2828" s="1115" t="s">
        <v>3420</v>
      </c>
      <c r="F2828" s="1115" t="n">
        <v>62410</v>
      </c>
      <c r="G2828" s="1115" t="n">
        <v>74540</v>
      </c>
      <c r="H2828" s="1115" t="s">
        <v>2613</v>
      </c>
      <c r="I2828" s="1115" t="n">
        <v>73620</v>
      </c>
      <c r="J2828" s="1115" t="s">
        <v>951</v>
      </c>
    </row>
    <row r="2829" customFormat="false" ht="14.1" hidden="false" customHeight="true" outlineLevel="0" collapsed="false">
      <c r="A2829" s="1115" t="n">
        <v>73610</v>
      </c>
      <c r="B2829" s="1115" t="s">
        <v>166</v>
      </c>
      <c r="C2829" s="1115" t="n">
        <v>73610</v>
      </c>
      <c r="D2829" s="1115" t="s">
        <v>3693</v>
      </c>
      <c r="E2829" s="1115" t="s">
        <v>3725</v>
      </c>
      <c r="F2829" s="1115" t="n">
        <v>83250</v>
      </c>
      <c r="G2829" s="1115" t="n">
        <v>74550</v>
      </c>
      <c r="H2829" s="1115" t="s">
        <v>3670</v>
      </c>
      <c r="I2829" s="1115" t="n">
        <v>73625</v>
      </c>
      <c r="J2829" s="1115" t="s">
        <v>951</v>
      </c>
    </row>
    <row r="2830" customFormat="false" ht="14.1" hidden="false" customHeight="true" outlineLevel="0" collapsed="false">
      <c r="A2830" s="1115" t="n">
        <v>73620</v>
      </c>
      <c r="B2830" s="1115" t="s">
        <v>166</v>
      </c>
      <c r="C2830" s="1115" t="n">
        <v>73620</v>
      </c>
      <c r="D2830" s="1115" t="s">
        <v>2580</v>
      </c>
      <c r="E2830" s="1115" t="s">
        <v>3726</v>
      </c>
      <c r="F2830" s="1115" t="n">
        <v>86715</v>
      </c>
      <c r="G2830" s="1115" t="n">
        <v>74560</v>
      </c>
      <c r="H2830" s="1115" t="s">
        <v>3727</v>
      </c>
      <c r="I2830" s="1115" t="n">
        <v>73630</v>
      </c>
      <c r="J2830" s="1115" t="s">
        <v>951</v>
      </c>
    </row>
    <row r="2831" customFormat="false" ht="14.1" hidden="false" customHeight="true" outlineLevel="0" collapsed="false">
      <c r="A2831" s="1115" t="n">
        <v>73625</v>
      </c>
      <c r="B2831" s="1115" t="s">
        <v>166</v>
      </c>
      <c r="C2831" s="1115" t="n">
        <v>73625</v>
      </c>
      <c r="D2831" s="1115" t="s">
        <v>3264</v>
      </c>
      <c r="E2831" s="1115" t="s">
        <v>3131</v>
      </c>
      <c r="F2831" s="1115" t="n">
        <v>52560</v>
      </c>
      <c r="G2831" s="1115" t="n">
        <v>74580</v>
      </c>
      <c r="H2831" s="1115" t="s">
        <v>3447</v>
      </c>
      <c r="I2831" s="1115" t="n">
        <v>73640</v>
      </c>
      <c r="J2831" s="1115" t="s">
        <v>951</v>
      </c>
    </row>
    <row r="2832" customFormat="false" ht="14.1" hidden="false" customHeight="true" outlineLevel="0" collapsed="false">
      <c r="A2832" s="1115" t="n">
        <v>73630</v>
      </c>
      <c r="B2832" s="1115" t="s">
        <v>166</v>
      </c>
      <c r="C2832" s="1115" t="n">
        <v>73630</v>
      </c>
      <c r="D2832" s="1115" t="s">
        <v>2581</v>
      </c>
      <c r="E2832" s="1115" t="s">
        <v>2418</v>
      </c>
      <c r="F2832" s="1115" t="n">
        <v>32830</v>
      </c>
      <c r="G2832" s="1115" t="n">
        <v>74590</v>
      </c>
      <c r="H2832" s="1115" t="s">
        <v>2730</v>
      </c>
      <c r="I2832" s="1115" t="n">
        <v>73645</v>
      </c>
      <c r="J2832" s="1115" t="s">
        <v>951</v>
      </c>
    </row>
    <row r="2833" customFormat="false" ht="14.1" hidden="false" customHeight="true" outlineLevel="0" collapsed="false">
      <c r="A2833" s="1115" t="n">
        <v>73640</v>
      </c>
      <c r="B2833" s="1115" t="s">
        <v>166</v>
      </c>
      <c r="C2833" s="1115" t="n">
        <v>73640</v>
      </c>
      <c r="D2833" s="1115" t="s">
        <v>3703</v>
      </c>
      <c r="E2833" s="1115" t="s">
        <v>1512</v>
      </c>
      <c r="F2833" s="1115" t="n">
        <v>9140</v>
      </c>
      <c r="G2833" s="1115" t="n">
        <v>74595</v>
      </c>
      <c r="H2833" s="1115" t="s">
        <v>3728</v>
      </c>
      <c r="I2833" s="1115" t="n">
        <v>73655</v>
      </c>
      <c r="J2833" s="1115" t="s">
        <v>951</v>
      </c>
    </row>
    <row r="2834" customFormat="false" ht="14.1" hidden="false" customHeight="true" outlineLevel="0" collapsed="false">
      <c r="A2834" s="1115" t="n">
        <v>73645</v>
      </c>
      <c r="B2834" s="1115" t="s">
        <v>166</v>
      </c>
      <c r="C2834" s="1115" t="n">
        <v>73645</v>
      </c>
      <c r="D2834" s="1115" t="s">
        <v>3325</v>
      </c>
      <c r="E2834" s="1115" t="s">
        <v>3729</v>
      </c>
      <c r="F2834" s="1115" t="n">
        <v>83320</v>
      </c>
      <c r="G2834" s="1115" t="n">
        <v>74610</v>
      </c>
      <c r="H2834" s="1115" t="s">
        <v>1762</v>
      </c>
      <c r="I2834" s="1115" t="n">
        <v>73670</v>
      </c>
      <c r="J2834" s="1115" t="s">
        <v>951</v>
      </c>
    </row>
    <row r="2835" customFormat="false" ht="14.1" hidden="false" customHeight="true" outlineLevel="0" collapsed="false">
      <c r="A2835" s="1115" t="n">
        <v>73655</v>
      </c>
      <c r="B2835" s="1115" t="s">
        <v>166</v>
      </c>
      <c r="C2835" s="1115" t="n">
        <v>73655</v>
      </c>
      <c r="D2835" s="1115" t="s">
        <v>3403</v>
      </c>
      <c r="E2835" s="1115" t="s">
        <v>1439</v>
      </c>
      <c r="F2835" s="1115" t="n">
        <v>52300</v>
      </c>
      <c r="G2835" s="1115" t="n">
        <v>74620</v>
      </c>
      <c r="H2835" s="1115" t="s">
        <v>3730</v>
      </c>
      <c r="I2835" s="1115" t="n">
        <v>73710</v>
      </c>
      <c r="J2835" s="1115" t="s">
        <v>951</v>
      </c>
    </row>
    <row r="2836" customFormat="false" ht="14.1" hidden="false" customHeight="true" outlineLevel="0" collapsed="false">
      <c r="A2836" s="1115" t="n">
        <v>73670</v>
      </c>
      <c r="B2836" s="1115" t="s">
        <v>166</v>
      </c>
      <c r="C2836" s="1115" t="n">
        <v>73670</v>
      </c>
      <c r="D2836" s="1115" t="s">
        <v>3047</v>
      </c>
      <c r="E2836" s="1115" t="s">
        <v>1442</v>
      </c>
      <c r="F2836" s="1115" t="n">
        <v>88400</v>
      </c>
      <c r="G2836" s="1115" t="n">
        <v>74630</v>
      </c>
      <c r="H2836" s="1115" t="s">
        <v>1538</v>
      </c>
      <c r="I2836" s="1115" t="n">
        <v>73730</v>
      </c>
      <c r="J2836" s="1115" t="s">
        <v>951</v>
      </c>
    </row>
    <row r="2837" customFormat="false" ht="14.1" hidden="false" customHeight="true" outlineLevel="0" collapsed="false">
      <c r="A2837" s="1115" t="n">
        <v>73710</v>
      </c>
      <c r="B2837" s="1115" t="s">
        <v>166</v>
      </c>
      <c r="C2837" s="1115" t="n">
        <v>73710</v>
      </c>
      <c r="D2837" s="1115" t="s">
        <v>3705</v>
      </c>
      <c r="E2837" s="1115" t="s">
        <v>3731</v>
      </c>
      <c r="F2837" s="1115" t="n">
        <v>97850</v>
      </c>
      <c r="G2837" s="1115" t="n">
        <v>74640</v>
      </c>
      <c r="H2837" s="1115" t="s">
        <v>3732</v>
      </c>
      <c r="I2837" s="1115" t="n">
        <v>73750</v>
      </c>
      <c r="J2837" s="1115" t="s">
        <v>951</v>
      </c>
    </row>
    <row r="2838" customFormat="false" ht="14.1" hidden="false" customHeight="true" outlineLevel="0" collapsed="false">
      <c r="A2838" s="1115" t="n">
        <v>73730</v>
      </c>
      <c r="B2838" s="1115" t="s">
        <v>166</v>
      </c>
      <c r="C2838" s="1115" t="n">
        <v>73730</v>
      </c>
      <c r="D2838" s="1115" t="s">
        <v>3032</v>
      </c>
      <c r="E2838" s="1115" t="s">
        <v>2788</v>
      </c>
      <c r="F2838" s="1115" t="n">
        <v>41540</v>
      </c>
      <c r="G2838" s="1115" t="n">
        <v>74670</v>
      </c>
      <c r="H2838" s="1115" t="s">
        <v>3691</v>
      </c>
      <c r="I2838" s="1115" t="n">
        <v>73770</v>
      </c>
      <c r="J2838" s="1115" t="s">
        <v>951</v>
      </c>
    </row>
    <row r="2839" customFormat="false" ht="14.1" hidden="false" customHeight="true" outlineLevel="0" collapsed="false">
      <c r="A2839" s="1115" t="n">
        <v>73750</v>
      </c>
      <c r="B2839" s="1115" t="s">
        <v>166</v>
      </c>
      <c r="C2839" s="1115" t="n">
        <v>73750</v>
      </c>
      <c r="D2839" s="1115" t="s">
        <v>3591</v>
      </c>
      <c r="E2839" s="1115" t="s">
        <v>3733</v>
      </c>
      <c r="F2839" s="1115" t="n">
        <v>83350</v>
      </c>
      <c r="G2839" s="1115" t="n">
        <v>74680</v>
      </c>
      <c r="H2839" s="1115" t="s">
        <v>3249</v>
      </c>
      <c r="I2839" s="1115" t="n">
        <v>73810</v>
      </c>
      <c r="J2839" s="1115" t="s">
        <v>951</v>
      </c>
    </row>
    <row r="2840" customFormat="false" ht="14.1" hidden="false" customHeight="true" outlineLevel="0" collapsed="false">
      <c r="A2840" s="1115" t="n">
        <v>73770</v>
      </c>
      <c r="B2840" s="1115" t="s">
        <v>166</v>
      </c>
      <c r="C2840" s="1115" t="n">
        <v>73770</v>
      </c>
      <c r="D2840" s="1115" t="s">
        <v>3707</v>
      </c>
      <c r="E2840" s="1115" t="s">
        <v>3101</v>
      </c>
      <c r="F2840" s="1115" t="n">
        <v>51890</v>
      </c>
      <c r="G2840" s="1115" t="n">
        <v>74700</v>
      </c>
      <c r="H2840" s="1115" t="s">
        <v>1087</v>
      </c>
      <c r="I2840" s="1115" t="n">
        <v>73820</v>
      </c>
      <c r="J2840" s="1115" t="s">
        <v>951</v>
      </c>
    </row>
    <row r="2841" customFormat="false" ht="14.1" hidden="false" customHeight="true" outlineLevel="0" collapsed="false">
      <c r="A2841" s="1115" t="n">
        <v>73810</v>
      </c>
      <c r="B2841" s="1115" t="s">
        <v>166</v>
      </c>
      <c r="C2841" s="1115" t="n">
        <v>73810</v>
      </c>
      <c r="D2841" s="1115" t="s">
        <v>3478</v>
      </c>
      <c r="E2841" s="1115" t="s">
        <v>3467</v>
      </c>
      <c r="F2841" s="1115" t="n">
        <v>63640</v>
      </c>
      <c r="G2841" s="1115" t="n">
        <v>74720</v>
      </c>
      <c r="H2841" s="1115" t="s">
        <v>3318</v>
      </c>
      <c r="I2841" s="1115" t="n">
        <v>73830</v>
      </c>
      <c r="J2841" s="1115" t="s">
        <v>951</v>
      </c>
    </row>
    <row r="2842" customFormat="false" ht="14.1" hidden="false" customHeight="true" outlineLevel="0" collapsed="false">
      <c r="A2842" s="1115" t="n">
        <v>73820</v>
      </c>
      <c r="B2842" s="1115" t="s">
        <v>166</v>
      </c>
      <c r="C2842" s="1115" t="n">
        <v>73820</v>
      </c>
      <c r="D2842" s="1115" t="s">
        <v>3677</v>
      </c>
      <c r="E2842" s="1115" t="s">
        <v>3292</v>
      </c>
      <c r="F2842" s="1115" t="n">
        <v>58490</v>
      </c>
      <c r="G2842" s="1115" t="n">
        <v>74740</v>
      </c>
      <c r="H2842" s="1115" t="s">
        <v>820</v>
      </c>
      <c r="I2842" s="1115" t="n">
        <v>73850</v>
      </c>
      <c r="J2842" s="1115" t="s">
        <v>1426</v>
      </c>
    </row>
    <row r="2843" customFormat="false" ht="14.1" hidden="false" customHeight="true" outlineLevel="0" collapsed="false">
      <c r="A2843" s="1115" t="n">
        <v>73830</v>
      </c>
      <c r="B2843" s="1115" t="s">
        <v>166</v>
      </c>
      <c r="C2843" s="1115" t="n">
        <v>73830</v>
      </c>
      <c r="D2843" s="1115" t="s">
        <v>3709</v>
      </c>
      <c r="E2843" s="1115" t="s">
        <v>2612</v>
      </c>
      <c r="F2843" s="1115" t="n">
        <v>37720</v>
      </c>
      <c r="G2843" s="1115" t="n">
        <v>74770</v>
      </c>
      <c r="H2843" s="1115" t="s">
        <v>2192</v>
      </c>
      <c r="I2843" s="1115" t="n">
        <v>73860</v>
      </c>
      <c r="J2843" s="1115" t="s">
        <v>1426</v>
      </c>
    </row>
    <row r="2844" customFormat="false" ht="14.1" hidden="false" customHeight="true" outlineLevel="0" collapsed="false">
      <c r="A2844" s="1115" t="n">
        <v>73850</v>
      </c>
      <c r="B2844" s="1115" t="s">
        <v>166</v>
      </c>
      <c r="C2844" s="1115" t="n">
        <v>73850</v>
      </c>
      <c r="D2844" s="1115" t="s">
        <v>842</v>
      </c>
      <c r="E2844" s="1115" t="s">
        <v>2644</v>
      </c>
      <c r="F2844" s="1115" t="n">
        <v>38610</v>
      </c>
      <c r="G2844" s="1115" t="n">
        <v>74840</v>
      </c>
      <c r="H2844" s="1115" t="s">
        <v>2552</v>
      </c>
      <c r="I2844" s="1115" t="n">
        <v>73880</v>
      </c>
      <c r="J2844" s="1115" t="s">
        <v>1426</v>
      </c>
    </row>
    <row r="2845" customFormat="false" ht="14.1" hidden="false" customHeight="true" outlineLevel="0" collapsed="false">
      <c r="A2845" s="1115" t="n">
        <v>73860</v>
      </c>
      <c r="B2845" s="1115" t="s">
        <v>166</v>
      </c>
      <c r="C2845" s="1115" t="n">
        <v>73860</v>
      </c>
      <c r="D2845" s="1115" t="s">
        <v>3660</v>
      </c>
      <c r="E2845" s="1115" t="s">
        <v>3656</v>
      </c>
      <c r="F2845" s="1115" t="n">
        <v>71630</v>
      </c>
      <c r="G2845" s="1115" t="n">
        <v>74940</v>
      </c>
      <c r="H2845" s="1115" t="s">
        <v>3710</v>
      </c>
      <c r="I2845" s="1115" t="n">
        <v>73890</v>
      </c>
      <c r="J2845" s="1115" t="s">
        <v>1426</v>
      </c>
    </row>
    <row r="2846" customFormat="false" ht="14.1" hidden="false" customHeight="true" outlineLevel="0" collapsed="false">
      <c r="A2846" s="1115" t="n">
        <v>73880</v>
      </c>
      <c r="B2846" s="1115" t="s">
        <v>166</v>
      </c>
      <c r="C2846" s="1115" t="n">
        <v>73880</v>
      </c>
      <c r="D2846" s="1115" t="s">
        <v>847</v>
      </c>
      <c r="E2846" s="1115" t="s">
        <v>2476</v>
      </c>
      <c r="F2846" s="1115" t="n">
        <v>34370</v>
      </c>
      <c r="G2846" s="1115" t="n">
        <v>74980</v>
      </c>
      <c r="H2846" s="1115" t="s">
        <v>3734</v>
      </c>
      <c r="I2846" s="1115" t="n">
        <v>73900</v>
      </c>
      <c r="J2846" s="1115" t="s">
        <v>1426</v>
      </c>
    </row>
    <row r="2847" customFormat="false" ht="14.1" hidden="false" customHeight="true" outlineLevel="0" collapsed="false">
      <c r="A2847" s="1115" t="n">
        <v>73890</v>
      </c>
      <c r="B2847" s="1115" t="s">
        <v>166</v>
      </c>
      <c r="C2847" s="1115" t="n">
        <v>73890</v>
      </c>
      <c r="D2847" s="1115" t="s">
        <v>751</v>
      </c>
      <c r="E2847" s="1115" t="s">
        <v>2626</v>
      </c>
      <c r="F2847" s="1115" t="n">
        <v>38250</v>
      </c>
      <c r="G2847" s="1115" t="n">
        <v>75500</v>
      </c>
      <c r="H2847" s="1115" t="s">
        <v>1282</v>
      </c>
      <c r="I2847" s="1115" t="n">
        <v>73970</v>
      </c>
      <c r="J2847" s="1115" t="s">
        <v>1426</v>
      </c>
    </row>
    <row r="2848" customFormat="false" ht="14.1" hidden="false" customHeight="true" outlineLevel="0" collapsed="false">
      <c r="A2848" s="1115" t="n">
        <v>73900</v>
      </c>
      <c r="B2848" s="1115" t="s">
        <v>166</v>
      </c>
      <c r="C2848" s="1115" t="n">
        <v>73900</v>
      </c>
      <c r="D2848" s="1115" t="s">
        <v>1426</v>
      </c>
      <c r="E2848" s="1115" t="s">
        <v>3735</v>
      </c>
      <c r="F2848" s="1115" t="n">
        <v>82570</v>
      </c>
      <c r="G2848" s="1115" t="n">
        <v>75520</v>
      </c>
      <c r="H2848" s="1115" t="s">
        <v>1282</v>
      </c>
      <c r="I2848" s="1115" t="n">
        <v>73990</v>
      </c>
      <c r="J2848" s="1115" t="s">
        <v>1426</v>
      </c>
    </row>
    <row r="2849" customFormat="false" ht="14.1" hidden="false" customHeight="true" outlineLevel="0" collapsed="false">
      <c r="A2849" s="1115" t="n">
        <v>73970</v>
      </c>
      <c r="B2849" s="1115" t="s">
        <v>166</v>
      </c>
      <c r="C2849" s="1115" t="n">
        <v>73970</v>
      </c>
      <c r="D2849" s="1115" t="s">
        <v>3711</v>
      </c>
      <c r="E2849" s="1115" t="s">
        <v>3736</v>
      </c>
      <c r="F2849" s="1115" t="n">
        <v>97270</v>
      </c>
      <c r="G2849" s="1115" t="n">
        <v>75530</v>
      </c>
      <c r="H2849" s="1115" t="s">
        <v>3614</v>
      </c>
      <c r="I2849" s="1115" t="n">
        <v>74100</v>
      </c>
      <c r="J2849" s="1115" t="s">
        <v>874</v>
      </c>
    </row>
    <row r="2850" customFormat="false" ht="14.1" hidden="false" customHeight="true" outlineLevel="0" collapsed="false">
      <c r="A2850" s="1115" t="n">
        <v>73990</v>
      </c>
      <c r="B2850" s="1115" t="s">
        <v>166</v>
      </c>
      <c r="C2850" s="1115" t="n">
        <v>73990</v>
      </c>
      <c r="D2850" s="1115" t="s">
        <v>2216</v>
      </c>
      <c r="E2850" s="1115" t="s">
        <v>3737</v>
      </c>
      <c r="F2850" s="1115" t="n">
        <v>81160</v>
      </c>
      <c r="G2850" s="1115" t="n">
        <v>75550</v>
      </c>
      <c r="H2850" s="1115" t="s">
        <v>1001</v>
      </c>
      <c r="I2850" s="1115" t="n">
        <v>74120</v>
      </c>
      <c r="J2850" s="1115" t="s">
        <v>874</v>
      </c>
    </row>
    <row r="2851" customFormat="false" ht="14.1" hidden="false" customHeight="true" outlineLevel="0" collapsed="false">
      <c r="A2851" s="1115" t="n">
        <v>74100</v>
      </c>
      <c r="B2851" s="1115" t="s">
        <v>166</v>
      </c>
      <c r="C2851" s="1115" t="n">
        <v>74100</v>
      </c>
      <c r="D2851" s="1115" t="s">
        <v>874</v>
      </c>
      <c r="E2851" s="1115" t="s">
        <v>2090</v>
      </c>
      <c r="F2851" s="1115" t="n">
        <v>24540</v>
      </c>
      <c r="G2851" s="1115" t="n">
        <v>75570</v>
      </c>
      <c r="H2851" s="1115" t="s">
        <v>3469</v>
      </c>
      <c r="I2851" s="1115" t="n">
        <v>74130</v>
      </c>
      <c r="J2851" s="1115" t="s">
        <v>874</v>
      </c>
    </row>
    <row r="2852" customFormat="false" ht="14.1" hidden="false" customHeight="true" outlineLevel="0" collapsed="false">
      <c r="A2852" s="1115" t="n">
        <v>74120</v>
      </c>
      <c r="B2852" s="1115" t="s">
        <v>166</v>
      </c>
      <c r="C2852" s="1115" t="n">
        <v>74120</v>
      </c>
      <c r="D2852" s="1115" t="s">
        <v>874</v>
      </c>
      <c r="E2852" s="1115" t="s">
        <v>3738</v>
      </c>
      <c r="F2852" s="1115" t="n">
        <v>75920</v>
      </c>
      <c r="G2852" s="1115" t="n">
        <v>75650</v>
      </c>
      <c r="H2852" s="1115" t="s">
        <v>3739</v>
      </c>
      <c r="I2852" s="1115" t="n">
        <v>74160</v>
      </c>
      <c r="J2852" s="1115" t="s">
        <v>874</v>
      </c>
    </row>
    <row r="2853" customFormat="false" ht="14.1" hidden="false" customHeight="true" outlineLevel="0" collapsed="false">
      <c r="A2853" s="1115" t="n">
        <v>74130</v>
      </c>
      <c r="B2853" s="1115" t="s">
        <v>166</v>
      </c>
      <c r="C2853" s="1115" t="n">
        <v>74130</v>
      </c>
      <c r="D2853" s="1115" t="s">
        <v>874</v>
      </c>
      <c r="E2853" s="1115" t="s">
        <v>1785</v>
      </c>
      <c r="F2853" s="1115" t="n">
        <v>16980</v>
      </c>
      <c r="G2853" s="1115" t="n">
        <v>75680</v>
      </c>
      <c r="H2853" s="1115" t="s">
        <v>3740</v>
      </c>
      <c r="I2853" s="1115" t="n">
        <v>74170</v>
      </c>
      <c r="J2853" s="1115" t="s">
        <v>874</v>
      </c>
    </row>
    <row r="2854" customFormat="false" ht="14.1" hidden="false" customHeight="true" outlineLevel="0" collapsed="false">
      <c r="A2854" s="1115" t="n">
        <v>74160</v>
      </c>
      <c r="B2854" s="1115" t="s">
        <v>166</v>
      </c>
      <c r="C2854" s="1115" t="n">
        <v>74160</v>
      </c>
      <c r="D2854" s="1115" t="s">
        <v>2516</v>
      </c>
      <c r="E2854" s="1115" t="s">
        <v>2153</v>
      </c>
      <c r="F2854" s="1115" t="n">
        <v>25950</v>
      </c>
      <c r="G2854" s="1115" t="n">
        <v>75680</v>
      </c>
      <c r="H2854" s="1115" t="s">
        <v>3740</v>
      </c>
      <c r="I2854" s="1115" t="n">
        <v>74200</v>
      </c>
      <c r="J2854" s="1115" t="s">
        <v>1615</v>
      </c>
    </row>
    <row r="2855" customFormat="false" ht="14.1" hidden="false" customHeight="true" outlineLevel="0" collapsed="false">
      <c r="A2855" s="1115" t="n">
        <v>74170</v>
      </c>
      <c r="B2855" s="1115" t="s">
        <v>166</v>
      </c>
      <c r="C2855" s="1115" t="n">
        <v>74170</v>
      </c>
      <c r="D2855" s="1115" t="s">
        <v>3716</v>
      </c>
      <c r="E2855" s="1115" t="s">
        <v>3741</v>
      </c>
      <c r="F2855" s="1115" t="n">
        <v>83150</v>
      </c>
      <c r="G2855" s="1115" t="n">
        <v>75690</v>
      </c>
      <c r="H2855" s="1115" t="s">
        <v>3064</v>
      </c>
      <c r="I2855" s="1115" t="n">
        <v>74210</v>
      </c>
      <c r="J2855" s="1115" t="s">
        <v>1615</v>
      </c>
    </row>
    <row r="2856" customFormat="false" ht="14.1" hidden="false" customHeight="true" outlineLevel="0" collapsed="false">
      <c r="A2856" s="1115" t="n">
        <v>74200</v>
      </c>
      <c r="B2856" s="1115" t="s">
        <v>166</v>
      </c>
      <c r="C2856" s="1115" t="n">
        <v>74200</v>
      </c>
      <c r="D2856" s="1115" t="s">
        <v>1615</v>
      </c>
      <c r="E2856" s="1115" t="s">
        <v>3742</v>
      </c>
      <c r="F2856" s="1115" t="n">
        <v>97745</v>
      </c>
      <c r="G2856" s="1115" t="n">
        <v>75700</v>
      </c>
      <c r="H2856" s="1115" t="s">
        <v>1594</v>
      </c>
      <c r="I2856" s="1115" t="n">
        <v>74230</v>
      </c>
      <c r="J2856" s="1115" t="s">
        <v>1615</v>
      </c>
    </row>
    <row r="2857" customFormat="false" ht="14.1" hidden="false" customHeight="true" outlineLevel="0" collapsed="false">
      <c r="A2857" s="1115" t="n">
        <v>74210</v>
      </c>
      <c r="B2857" s="1115" t="s">
        <v>166</v>
      </c>
      <c r="C2857" s="1115" t="n">
        <v>74210</v>
      </c>
      <c r="D2857" s="1115" t="s">
        <v>3718</v>
      </c>
      <c r="E2857" s="1115" t="s">
        <v>3743</v>
      </c>
      <c r="F2857" s="1115" t="n">
        <v>91510</v>
      </c>
      <c r="G2857" s="1115" t="n">
        <v>75710</v>
      </c>
      <c r="H2857" s="1115" t="s">
        <v>2247</v>
      </c>
      <c r="I2857" s="1115" t="n">
        <v>74240</v>
      </c>
      <c r="J2857" s="1115" t="s">
        <v>1615</v>
      </c>
    </row>
    <row r="2858" customFormat="false" ht="14.1" hidden="false" customHeight="true" outlineLevel="0" collapsed="false">
      <c r="A2858" s="1115" t="n">
        <v>74230</v>
      </c>
      <c r="B2858" s="1115" t="s">
        <v>166</v>
      </c>
      <c r="C2858" s="1115" t="n">
        <v>74230</v>
      </c>
      <c r="D2858" s="1115" t="s">
        <v>3720</v>
      </c>
      <c r="E2858" s="1115" t="s">
        <v>928</v>
      </c>
      <c r="F2858" s="1115" t="n">
        <v>96100</v>
      </c>
      <c r="G2858" s="1115" t="n">
        <v>75740</v>
      </c>
      <c r="H2858" s="1115" t="s">
        <v>3462</v>
      </c>
      <c r="I2858" s="1115" t="n">
        <v>74250</v>
      </c>
      <c r="J2858" s="1115" t="s">
        <v>1615</v>
      </c>
    </row>
    <row r="2859" customFormat="false" ht="14.1" hidden="false" customHeight="true" outlineLevel="0" collapsed="false">
      <c r="A2859" s="1115" t="n">
        <v>74240</v>
      </c>
      <c r="B2859" s="1115" t="s">
        <v>166</v>
      </c>
      <c r="C2859" s="1115" t="n">
        <v>74240</v>
      </c>
      <c r="D2859" s="1115" t="s">
        <v>3154</v>
      </c>
      <c r="E2859" s="1115" t="s">
        <v>928</v>
      </c>
      <c r="F2859" s="1115" t="n">
        <v>96100</v>
      </c>
      <c r="G2859" s="1115" t="n">
        <v>75770</v>
      </c>
      <c r="H2859" s="1115" t="s">
        <v>3648</v>
      </c>
      <c r="I2859" s="1115" t="n">
        <v>74270</v>
      </c>
      <c r="J2859" s="1115" t="s">
        <v>1615</v>
      </c>
    </row>
    <row r="2860" customFormat="false" ht="14.1" hidden="false" customHeight="true" outlineLevel="0" collapsed="false">
      <c r="A2860" s="1115" t="n">
        <v>74250</v>
      </c>
      <c r="B2860" s="1115" t="s">
        <v>166</v>
      </c>
      <c r="C2860" s="1115" t="n">
        <v>74250</v>
      </c>
      <c r="D2860" s="1115" t="s">
        <v>3336</v>
      </c>
      <c r="E2860" s="1115" t="s">
        <v>928</v>
      </c>
      <c r="F2860" s="1115" t="n">
        <v>96200</v>
      </c>
      <c r="G2860" s="1115" t="n">
        <v>75790</v>
      </c>
      <c r="H2860" s="1115" t="s">
        <v>3744</v>
      </c>
      <c r="I2860" s="1115" t="n">
        <v>74285</v>
      </c>
      <c r="J2860" s="1115" t="s">
        <v>1509</v>
      </c>
    </row>
    <row r="2861" customFormat="false" ht="14.1" hidden="false" customHeight="true" outlineLevel="0" collapsed="false">
      <c r="A2861" s="1115" t="n">
        <v>74270</v>
      </c>
      <c r="B2861" s="1115" t="s">
        <v>166</v>
      </c>
      <c r="C2861" s="1115" t="n">
        <v>74270</v>
      </c>
      <c r="D2861" s="1115" t="s">
        <v>2327</v>
      </c>
      <c r="E2861" s="1115" t="s">
        <v>928</v>
      </c>
      <c r="F2861" s="1115" t="n">
        <v>96300</v>
      </c>
      <c r="G2861" s="1115" t="n">
        <v>75810</v>
      </c>
      <c r="H2861" s="1115" t="s">
        <v>1729</v>
      </c>
      <c r="I2861" s="1115" t="n">
        <v>74300</v>
      </c>
      <c r="J2861" s="1115" t="s">
        <v>1509</v>
      </c>
    </row>
    <row r="2862" customFormat="false" ht="14.1" hidden="false" customHeight="true" outlineLevel="0" collapsed="false">
      <c r="A2862" s="1115" t="n">
        <v>74285</v>
      </c>
      <c r="B2862" s="1115" t="s">
        <v>166</v>
      </c>
      <c r="C2862" s="1115" t="n">
        <v>74285</v>
      </c>
      <c r="D2862" s="1115" t="s">
        <v>2143</v>
      </c>
      <c r="E2862" s="1115" t="s">
        <v>928</v>
      </c>
      <c r="F2862" s="1115" t="n">
        <v>96320</v>
      </c>
      <c r="G2862" s="1115" t="n">
        <v>75830</v>
      </c>
      <c r="H2862" s="1115" t="s">
        <v>3745</v>
      </c>
      <c r="I2862" s="1115" t="n">
        <v>74310</v>
      </c>
      <c r="J2862" s="1115" t="s">
        <v>1509</v>
      </c>
    </row>
    <row r="2863" customFormat="false" ht="14.1" hidden="false" customHeight="true" outlineLevel="0" collapsed="false">
      <c r="A2863" s="1115" t="n">
        <v>74300</v>
      </c>
      <c r="B2863" s="1115" t="s">
        <v>166</v>
      </c>
      <c r="C2863" s="1115" t="n">
        <v>74300</v>
      </c>
      <c r="D2863" s="1115" t="s">
        <v>1509</v>
      </c>
      <c r="E2863" s="1115" t="s">
        <v>928</v>
      </c>
      <c r="F2863" s="1115" t="n">
        <v>96400</v>
      </c>
      <c r="G2863" s="1115" t="n">
        <v>75840</v>
      </c>
      <c r="H2863" s="1115" t="s">
        <v>3746</v>
      </c>
      <c r="I2863" s="1115" t="n">
        <v>74340</v>
      </c>
      <c r="J2863" s="1115" t="s">
        <v>1509</v>
      </c>
    </row>
    <row r="2864" customFormat="false" ht="14.1" hidden="false" customHeight="true" outlineLevel="0" collapsed="false">
      <c r="A2864" s="1115" t="n">
        <v>74310</v>
      </c>
      <c r="B2864" s="1115" t="s">
        <v>166</v>
      </c>
      <c r="C2864" s="1115" t="n">
        <v>74310</v>
      </c>
      <c r="D2864" s="1115" t="s">
        <v>822</v>
      </c>
      <c r="E2864" s="1115" t="s">
        <v>928</v>
      </c>
      <c r="F2864" s="1115" t="n">
        <v>96420</v>
      </c>
      <c r="G2864" s="1115" t="n">
        <v>75850</v>
      </c>
      <c r="H2864" s="1115" t="s">
        <v>3171</v>
      </c>
      <c r="I2864" s="1115" t="n">
        <v>74345</v>
      </c>
      <c r="J2864" s="1115" t="s">
        <v>1509</v>
      </c>
    </row>
    <row r="2865" customFormat="false" ht="14.1" hidden="false" customHeight="true" outlineLevel="0" collapsed="false">
      <c r="A2865" s="1115" t="n">
        <v>74340</v>
      </c>
      <c r="B2865" s="1115" t="s">
        <v>166</v>
      </c>
      <c r="C2865" s="1115" t="n">
        <v>74340</v>
      </c>
      <c r="D2865" s="1115" t="s">
        <v>3721</v>
      </c>
      <c r="E2865" s="1115" t="s">
        <v>928</v>
      </c>
      <c r="F2865" s="1115" t="n">
        <v>96440</v>
      </c>
      <c r="G2865" s="1115" t="n">
        <v>75860</v>
      </c>
      <c r="H2865" s="1115" t="s">
        <v>3747</v>
      </c>
      <c r="I2865" s="1115" t="n">
        <v>74360</v>
      </c>
      <c r="J2865" s="1115" t="s">
        <v>1509</v>
      </c>
    </row>
    <row r="2866" customFormat="false" ht="14.1" hidden="false" customHeight="true" outlineLevel="0" collapsed="false">
      <c r="A2866" s="1115" t="n">
        <v>74345</v>
      </c>
      <c r="B2866" s="1115" t="s">
        <v>166</v>
      </c>
      <c r="C2866" s="1115" t="n">
        <v>74345</v>
      </c>
      <c r="D2866" s="1115" t="s">
        <v>2193</v>
      </c>
      <c r="E2866" s="1115" t="s">
        <v>928</v>
      </c>
      <c r="F2866" s="1115" t="n">
        <v>96500</v>
      </c>
      <c r="G2866" s="1115" t="n">
        <v>75890</v>
      </c>
      <c r="H2866" s="1115" t="s">
        <v>3748</v>
      </c>
      <c r="I2866" s="1115" t="n">
        <v>74380</v>
      </c>
      <c r="J2866" s="1115" t="s">
        <v>1509</v>
      </c>
    </row>
    <row r="2867" customFormat="false" ht="14.1" hidden="false" customHeight="true" outlineLevel="0" collapsed="false">
      <c r="A2867" s="1115" t="n">
        <v>74360</v>
      </c>
      <c r="B2867" s="1115" t="s">
        <v>166</v>
      </c>
      <c r="C2867" s="1115" t="n">
        <v>74360</v>
      </c>
      <c r="D2867" s="1115" t="s">
        <v>3723</v>
      </c>
      <c r="E2867" s="1115" t="s">
        <v>928</v>
      </c>
      <c r="F2867" s="1115" t="n">
        <v>96600</v>
      </c>
      <c r="G2867" s="1115" t="n">
        <v>75910</v>
      </c>
      <c r="H2867" s="1115" t="s">
        <v>1931</v>
      </c>
      <c r="I2867" s="1115" t="n">
        <v>74390</v>
      </c>
      <c r="J2867" s="1115" t="s">
        <v>1509</v>
      </c>
    </row>
    <row r="2868" customFormat="false" ht="14.1" hidden="false" customHeight="true" outlineLevel="0" collapsed="false">
      <c r="A2868" s="1115" t="n">
        <v>74380</v>
      </c>
      <c r="B2868" s="1115" t="s">
        <v>166</v>
      </c>
      <c r="C2868" s="1115" t="n">
        <v>74380</v>
      </c>
      <c r="D2868" s="1115" t="s">
        <v>2086</v>
      </c>
      <c r="E2868" s="1115" t="s">
        <v>928</v>
      </c>
      <c r="F2868" s="1115" t="n">
        <v>96700</v>
      </c>
      <c r="G2868" s="1115" t="n">
        <v>75920</v>
      </c>
      <c r="H2868" s="1115" t="s">
        <v>3738</v>
      </c>
      <c r="I2868" s="1115" t="n">
        <v>74420</v>
      </c>
      <c r="J2868" s="1115" t="s">
        <v>1509</v>
      </c>
    </row>
    <row r="2869" customFormat="false" ht="14.1" hidden="false" customHeight="true" outlineLevel="0" collapsed="false">
      <c r="A2869" s="1115" t="n">
        <v>74390</v>
      </c>
      <c r="B2869" s="1115" t="s">
        <v>166</v>
      </c>
      <c r="C2869" s="1115" t="n">
        <v>74390</v>
      </c>
      <c r="D2869" s="1115" t="s">
        <v>2840</v>
      </c>
      <c r="E2869" s="1115" t="s">
        <v>928</v>
      </c>
      <c r="F2869" s="1115" t="n">
        <v>96800</v>
      </c>
      <c r="G2869" s="1115" t="n">
        <v>75930</v>
      </c>
      <c r="H2869" s="1115" t="s">
        <v>3549</v>
      </c>
      <c r="I2869" s="1115" t="n">
        <v>74450</v>
      </c>
      <c r="J2869" s="1115" t="s">
        <v>1509</v>
      </c>
    </row>
    <row r="2870" customFormat="false" ht="14.1" hidden="false" customHeight="true" outlineLevel="0" collapsed="false">
      <c r="A2870" s="1115" t="n">
        <v>74420</v>
      </c>
      <c r="B2870" s="1115" t="s">
        <v>166</v>
      </c>
      <c r="C2870" s="1115" t="n">
        <v>74420</v>
      </c>
      <c r="D2870" s="1115" t="s">
        <v>1673</v>
      </c>
      <c r="E2870" s="1115" t="s">
        <v>928</v>
      </c>
      <c r="F2870" s="1115" t="n">
        <v>96910</v>
      </c>
      <c r="G2870" s="1115" t="n">
        <v>75940</v>
      </c>
      <c r="H2870" s="1115" t="s">
        <v>3222</v>
      </c>
      <c r="I2870" s="1115" t="n">
        <v>74460</v>
      </c>
      <c r="J2870" s="1115" t="s">
        <v>1509</v>
      </c>
    </row>
    <row r="2871" customFormat="false" ht="14.1" hidden="false" customHeight="true" outlineLevel="0" collapsed="false">
      <c r="A2871" s="1115" t="n">
        <v>74450</v>
      </c>
      <c r="B2871" s="1115" t="s">
        <v>166</v>
      </c>
      <c r="C2871" s="1115" t="n">
        <v>74450</v>
      </c>
      <c r="D2871" s="1115" t="s">
        <v>1103</v>
      </c>
      <c r="E2871" s="1115" t="s">
        <v>928</v>
      </c>
      <c r="F2871" s="1115" t="n">
        <v>96960</v>
      </c>
      <c r="G2871" s="1115" t="n">
        <v>75960</v>
      </c>
      <c r="H2871" s="1115" t="s">
        <v>2705</v>
      </c>
      <c r="I2871" s="1115" t="n">
        <v>74470</v>
      </c>
      <c r="J2871" s="1115" t="s">
        <v>1509</v>
      </c>
    </row>
    <row r="2872" customFormat="false" ht="14.1" hidden="false" customHeight="true" outlineLevel="0" collapsed="false">
      <c r="A2872" s="1115" t="n">
        <v>74460</v>
      </c>
      <c r="B2872" s="1115" t="s">
        <v>166</v>
      </c>
      <c r="C2872" s="1115" t="n">
        <v>74460</v>
      </c>
      <c r="D2872" s="1115" t="s">
        <v>3552</v>
      </c>
      <c r="E2872" s="1115" t="s">
        <v>3749</v>
      </c>
      <c r="F2872" s="1115" t="n">
        <v>95295</v>
      </c>
      <c r="G2872" s="1115" t="n">
        <v>75970</v>
      </c>
      <c r="H2872" s="1115" t="s">
        <v>2467</v>
      </c>
      <c r="I2872" s="1115" t="n">
        <v>74480</v>
      </c>
      <c r="J2872" s="1115" t="s">
        <v>1509</v>
      </c>
    </row>
    <row r="2873" customFormat="false" ht="14.1" hidden="false" customHeight="true" outlineLevel="0" collapsed="false">
      <c r="A2873" s="1115" t="n">
        <v>74470</v>
      </c>
      <c r="B2873" s="1115" t="s">
        <v>166</v>
      </c>
      <c r="C2873" s="1115" t="n">
        <v>74470</v>
      </c>
      <c r="D2873" s="1115" t="s">
        <v>3472</v>
      </c>
      <c r="E2873" s="1115" t="s">
        <v>2272</v>
      </c>
      <c r="F2873" s="1115" t="n">
        <v>29670</v>
      </c>
      <c r="G2873" s="1115" t="n">
        <v>75990</v>
      </c>
      <c r="H2873" s="1115" t="s">
        <v>1905</v>
      </c>
      <c r="I2873" s="1115" t="n">
        <v>74490</v>
      </c>
      <c r="J2873" s="1115" t="s">
        <v>1509</v>
      </c>
    </row>
    <row r="2874" customFormat="false" ht="14.1" hidden="false" customHeight="true" outlineLevel="0" collapsed="false">
      <c r="A2874" s="1115" t="n">
        <v>74480</v>
      </c>
      <c r="B2874" s="1115" t="s">
        <v>166</v>
      </c>
      <c r="C2874" s="1115" t="n">
        <v>74480</v>
      </c>
      <c r="D2874" s="1115" t="s">
        <v>3557</v>
      </c>
      <c r="E2874" s="1115" t="s">
        <v>3412</v>
      </c>
      <c r="F2874" s="1115" t="n">
        <v>62190</v>
      </c>
      <c r="G2874" s="1115" t="n">
        <v>76100</v>
      </c>
      <c r="H2874" s="1115" t="s">
        <v>3562</v>
      </c>
      <c r="I2874" s="1115" t="n">
        <v>74510</v>
      </c>
      <c r="J2874" s="1115" t="s">
        <v>1509</v>
      </c>
    </row>
    <row r="2875" customFormat="false" ht="14.1" hidden="false" customHeight="true" outlineLevel="0" collapsed="false">
      <c r="A2875" s="1115" t="n">
        <v>74490</v>
      </c>
      <c r="B2875" s="1115" t="s">
        <v>166</v>
      </c>
      <c r="C2875" s="1115" t="n">
        <v>74490</v>
      </c>
      <c r="D2875" s="1115" t="s">
        <v>2473</v>
      </c>
      <c r="E2875" s="1115" t="s">
        <v>2487</v>
      </c>
      <c r="F2875" s="1115" t="n">
        <v>34610</v>
      </c>
      <c r="G2875" s="1115" t="n">
        <v>76120</v>
      </c>
      <c r="H2875" s="1115" t="s">
        <v>3562</v>
      </c>
      <c r="I2875" s="1115" t="n">
        <v>74520</v>
      </c>
      <c r="J2875" s="1115" t="s">
        <v>1509</v>
      </c>
    </row>
    <row r="2876" customFormat="false" ht="14.1" hidden="false" customHeight="true" outlineLevel="0" collapsed="false">
      <c r="A2876" s="1115" t="n">
        <v>74510</v>
      </c>
      <c r="B2876" s="1115" t="s">
        <v>166</v>
      </c>
      <c r="C2876" s="1115" t="n">
        <v>74510</v>
      </c>
      <c r="D2876" s="1115" t="s">
        <v>3521</v>
      </c>
      <c r="E2876" s="1115" t="s">
        <v>3750</v>
      </c>
      <c r="F2876" s="1115" t="n">
        <v>82890</v>
      </c>
      <c r="G2876" s="1115" t="n">
        <v>76130</v>
      </c>
      <c r="H2876" s="1115" t="s">
        <v>3562</v>
      </c>
      <c r="I2876" s="1115" t="n">
        <v>74530</v>
      </c>
      <c r="J2876" s="1115" t="s">
        <v>1509</v>
      </c>
    </row>
    <row r="2877" customFormat="false" ht="14.1" hidden="false" customHeight="true" outlineLevel="0" collapsed="false">
      <c r="A2877" s="1115" t="n">
        <v>74520</v>
      </c>
      <c r="B2877" s="1115" t="s">
        <v>166</v>
      </c>
      <c r="C2877" s="1115" t="n">
        <v>74520</v>
      </c>
      <c r="D2877" s="1115" t="s">
        <v>3383</v>
      </c>
      <c r="E2877" s="1115" t="s">
        <v>3751</v>
      </c>
      <c r="F2877" s="1115" t="n">
        <v>89920</v>
      </c>
      <c r="G2877" s="1115" t="n">
        <v>76140</v>
      </c>
      <c r="H2877" s="1115" t="s">
        <v>3562</v>
      </c>
      <c r="I2877" s="1115" t="n">
        <v>74540</v>
      </c>
      <c r="J2877" s="1115" t="s">
        <v>1509</v>
      </c>
    </row>
    <row r="2878" customFormat="false" ht="14.1" hidden="false" customHeight="true" outlineLevel="0" collapsed="false">
      <c r="A2878" s="1115" t="n">
        <v>74530</v>
      </c>
      <c r="B2878" s="1115" t="s">
        <v>166</v>
      </c>
      <c r="C2878" s="1115" t="n">
        <v>74530</v>
      </c>
      <c r="D2878" s="1115" t="s">
        <v>3309</v>
      </c>
      <c r="E2878" s="1115" t="s">
        <v>3301</v>
      </c>
      <c r="F2878" s="1115" t="n">
        <v>58570</v>
      </c>
      <c r="G2878" s="1115" t="n">
        <v>76150</v>
      </c>
      <c r="H2878" s="1115" t="s">
        <v>3562</v>
      </c>
      <c r="I2878" s="1115" t="n">
        <v>74550</v>
      </c>
      <c r="J2878" s="1115" t="s">
        <v>1509</v>
      </c>
    </row>
    <row r="2879" customFormat="false" ht="14.1" hidden="false" customHeight="true" outlineLevel="0" collapsed="false">
      <c r="A2879" s="1115" t="n">
        <v>74540</v>
      </c>
      <c r="B2879" s="1115" t="s">
        <v>166</v>
      </c>
      <c r="C2879" s="1115" t="n">
        <v>74540</v>
      </c>
      <c r="D2879" s="1115" t="s">
        <v>2613</v>
      </c>
      <c r="E2879" s="1115" t="s">
        <v>3752</v>
      </c>
      <c r="F2879" s="1115" t="n">
        <v>93825</v>
      </c>
      <c r="G2879" s="1115" t="n">
        <v>76280</v>
      </c>
      <c r="H2879" s="1115" t="s">
        <v>3493</v>
      </c>
      <c r="I2879" s="1115" t="n">
        <v>74560</v>
      </c>
      <c r="J2879" s="1115" t="s">
        <v>1509</v>
      </c>
    </row>
    <row r="2880" customFormat="false" ht="14.1" hidden="false" customHeight="true" outlineLevel="0" collapsed="false">
      <c r="A2880" s="1115" t="n">
        <v>74550</v>
      </c>
      <c r="B2880" s="1115" t="s">
        <v>166</v>
      </c>
      <c r="C2880" s="1115" t="n">
        <v>74550</v>
      </c>
      <c r="D2880" s="1115" t="s">
        <v>3670</v>
      </c>
      <c r="E2880" s="1115" t="s">
        <v>3753</v>
      </c>
      <c r="F2880" s="1115" t="n">
        <v>79770</v>
      </c>
      <c r="G2880" s="1115" t="n">
        <v>76620</v>
      </c>
      <c r="H2880" s="1115" t="s">
        <v>3651</v>
      </c>
      <c r="I2880" s="1115" t="n">
        <v>74580</v>
      </c>
      <c r="J2880" s="1115" t="s">
        <v>1509</v>
      </c>
    </row>
    <row r="2881" customFormat="false" ht="14.1" hidden="false" customHeight="true" outlineLevel="0" collapsed="false">
      <c r="A2881" s="1115" t="n">
        <v>74560</v>
      </c>
      <c r="B2881" s="1115" t="s">
        <v>166</v>
      </c>
      <c r="C2881" s="1115" t="n">
        <v>74560</v>
      </c>
      <c r="D2881" s="1115" t="s">
        <v>3727</v>
      </c>
      <c r="E2881" s="1115" t="s">
        <v>3754</v>
      </c>
      <c r="F2881" s="1115" t="n">
        <v>77420</v>
      </c>
      <c r="G2881" s="1115" t="n">
        <v>76720</v>
      </c>
      <c r="H2881" s="1115" t="s">
        <v>3159</v>
      </c>
      <c r="I2881" s="1115" t="n">
        <v>74590</v>
      </c>
      <c r="J2881" s="1115" t="s">
        <v>1509</v>
      </c>
    </row>
    <row r="2882" customFormat="false" ht="14.1" hidden="false" customHeight="true" outlineLevel="0" collapsed="false">
      <c r="A2882" s="1115" t="n">
        <v>74580</v>
      </c>
      <c r="B2882" s="1115" t="s">
        <v>166</v>
      </c>
      <c r="C2882" s="1115" t="n">
        <v>74580</v>
      </c>
      <c r="D2882" s="1115" t="s">
        <v>3447</v>
      </c>
      <c r="E2882" s="1115" t="s">
        <v>3744</v>
      </c>
      <c r="F2882" s="1115" t="n">
        <v>75790</v>
      </c>
      <c r="G2882" s="1115" t="n">
        <v>76780</v>
      </c>
      <c r="H2882" s="1115" t="s">
        <v>2885</v>
      </c>
      <c r="I2882" s="1115" t="n">
        <v>74595</v>
      </c>
      <c r="J2882" s="1115" t="s">
        <v>1509</v>
      </c>
    </row>
    <row r="2883" customFormat="false" ht="14.1" hidden="false" customHeight="true" outlineLevel="0" collapsed="false">
      <c r="A2883" s="1115" t="n">
        <v>74590</v>
      </c>
      <c r="B2883" s="1115" t="s">
        <v>166</v>
      </c>
      <c r="C2883" s="1115" t="n">
        <v>74590</v>
      </c>
      <c r="D2883" s="1115" t="s">
        <v>2730</v>
      </c>
      <c r="E2883" s="1115" t="s">
        <v>3176</v>
      </c>
      <c r="F2883" s="1115" t="n">
        <v>54350</v>
      </c>
      <c r="G2883" s="1115" t="n">
        <v>76820</v>
      </c>
      <c r="H2883" s="1115" t="s">
        <v>1829</v>
      </c>
      <c r="I2883" s="1115" t="n">
        <v>74610</v>
      </c>
      <c r="J2883" s="1115" t="s">
        <v>1087</v>
      </c>
    </row>
    <row r="2884" customFormat="false" ht="14.1" hidden="false" customHeight="true" outlineLevel="0" collapsed="false">
      <c r="A2884" s="1115" t="n">
        <v>74595</v>
      </c>
      <c r="B2884" s="1115" t="s">
        <v>166</v>
      </c>
      <c r="C2884" s="1115" t="n">
        <v>74595</v>
      </c>
      <c r="D2884" s="1115" t="s">
        <v>3728</v>
      </c>
      <c r="E2884" s="1115" t="s">
        <v>3728</v>
      </c>
      <c r="F2884" s="1115" t="n">
        <v>74595</v>
      </c>
      <c r="G2884" s="1115" t="n">
        <v>76850</v>
      </c>
      <c r="H2884" s="1115" t="s">
        <v>3281</v>
      </c>
      <c r="I2884" s="1115" t="n">
        <v>74620</v>
      </c>
      <c r="J2884" s="1115" t="s">
        <v>1087</v>
      </c>
    </row>
    <row r="2885" customFormat="false" ht="14.1" hidden="false" customHeight="true" outlineLevel="0" collapsed="false">
      <c r="A2885" s="1115" t="n">
        <v>74610</v>
      </c>
      <c r="B2885" s="1115" t="s">
        <v>166</v>
      </c>
      <c r="C2885" s="1115" t="n">
        <v>74610</v>
      </c>
      <c r="D2885" s="1115" t="s">
        <v>1762</v>
      </c>
      <c r="E2885" s="1115" t="s">
        <v>3755</v>
      </c>
      <c r="F2885" s="1115" t="n">
        <v>95180</v>
      </c>
      <c r="G2885" s="1115" t="n">
        <v>76940</v>
      </c>
      <c r="H2885" s="1115" t="s">
        <v>3306</v>
      </c>
      <c r="I2885" s="1115" t="n">
        <v>74630</v>
      </c>
      <c r="J2885" s="1115" t="s">
        <v>1087</v>
      </c>
    </row>
    <row r="2886" customFormat="false" ht="14.1" hidden="false" customHeight="true" outlineLevel="0" collapsed="false">
      <c r="A2886" s="1115" t="n">
        <v>74620</v>
      </c>
      <c r="B2886" s="1115" t="s">
        <v>166</v>
      </c>
      <c r="C2886" s="1115" t="n">
        <v>74620</v>
      </c>
      <c r="D2886" s="1115" t="s">
        <v>3730</v>
      </c>
      <c r="E2886" s="1115" t="s">
        <v>3756</v>
      </c>
      <c r="F2886" s="1115" t="n">
        <v>95850</v>
      </c>
      <c r="G2886" s="1115" t="n">
        <v>77110</v>
      </c>
      <c r="H2886" s="1115" t="s">
        <v>3481</v>
      </c>
      <c r="I2886" s="1115" t="n">
        <v>74640</v>
      </c>
      <c r="J2886" s="1115" t="s">
        <v>1087</v>
      </c>
    </row>
    <row r="2887" customFormat="false" ht="14.1" hidden="false" customHeight="true" outlineLevel="0" collapsed="false">
      <c r="A2887" s="1115" t="n">
        <v>74630</v>
      </c>
      <c r="B2887" s="1115" t="s">
        <v>166</v>
      </c>
      <c r="C2887" s="1115" t="n">
        <v>74630</v>
      </c>
      <c r="D2887" s="1115" t="s">
        <v>1538</v>
      </c>
      <c r="E2887" s="1115" t="s">
        <v>1449</v>
      </c>
      <c r="F2887" s="1115" t="n">
        <v>56100</v>
      </c>
      <c r="G2887" s="1115" t="n">
        <v>77120</v>
      </c>
      <c r="H2887" s="1115" t="s">
        <v>3757</v>
      </c>
      <c r="I2887" s="1115" t="n">
        <v>74670</v>
      </c>
      <c r="J2887" s="1115" t="s">
        <v>1087</v>
      </c>
    </row>
    <row r="2888" customFormat="false" ht="14.1" hidden="false" customHeight="true" outlineLevel="0" collapsed="false">
      <c r="A2888" s="1115" t="n">
        <v>74640</v>
      </c>
      <c r="B2888" s="1115" t="s">
        <v>166</v>
      </c>
      <c r="C2888" s="1115" t="n">
        <v>74640</v>
      </c>
      <c r="D2888" s="1115" t="s">
        <v>3732</v>
      </c>
      <c r="E2888" s="1115" t="s">
        <v>3115</v>
      </c>
      <c r="F2888" s="1115" t="n">
        <v>52240</v>
      </c>
      <c r="G2888" s="1115" t="n">
        <v>77140</v>
      </c>
      <c r="H2888" s="1115" t="s">
        <v>1832</v>
      </c>
      <c r="I2888" s="1115" t="n">
        <v>74680</v>
      </c>
      <c r="J2888" s="1115" t="s">
        <v>1087</v>
      </c>
    </row>
    <row r="2889" customFormat="false" ht="14.1" hidden="false" customHeight="true" outlineLevel="0" collapsed="false">
      <c r="A2889" s="1115" t="n">
        <v>74670</v>
      </c>
      <c r="B2889" s="1115" t="s">
        <v>166</v>
      </c>
      <c r="C2889" s="1115" t="n">
        <v>74670</v>
      </c>
      <c r="D2889" s="1115" t="s">
        <v>3691</v>
      </c>
      <c r="E2889" s="1115" t="s">
        <v>1833</v>
      </c>
      <c r="F2889" s="1115" t="n">
        <v>17870</v>
      </c>
      <c r="G2889" s="1115" t="n">
        <v>77160</v>
      </c>
      <c r="H2889" s="1115" t="s">
        <v>1920</v>
      </c>
      <c r="I2889" s="1115" t="n">
        <v>74700</v>
      </c>
      <c r="J2889" s="1115" t="s">
        <v>1087</v>
      </c>
    </row>
    <row r="2890" customFormat="false" ht="14.1" hidden="false" customHeight="true" outlineLevel="0" collapsed="false">
      <c r="A2890" s="1115" t="n">
        <v>74680</v>
      </c>
      <c r="B2890" s="1115" t="s">
        <v>166</v>
      </c>
      <c r="C2890" s="1115" t="n">
        <v>74680</v>
      </c>
      <c r="D2890" s="1115" t="s">
        <v>3249</v>
      </c>
      <c r="E2890" s="1115" t="s">
        <v>3446</v>
      </c>
      <c r="F2890" s="1115" t="n">
        <v>63150</v>
      </c>
      <c r="G2890" s="1115" t="n">
        <v>77210</v>
      </c>
      <c r="H2890" s="1115" t="s">
        <v>3334</v>
      </c>
      <c r="I2890" s="1115" t="n">
        <v>74720</v>
      </c>
      <c r="J2890" s="1115" t="s">
        <v>1087</v>
      </c>
    </row>
    <row r="2891" customFormat="false" ht="14.1" hidden="false" customHeight="true" outlineLevel="0" collapsed="false">
      <c r="A2891" s="1115" t="n">
        <v>74700</v>
      </c>
      <c r="B2891" s="1115" t="s">
        <v>166</v>
      </c>
      <c r="C2891" s="1115" t="n">
        <v>74700</v>
      </c>
      <c r="D2891" s="1115" t="s">
        <v>1087</v>
      </c>
      <c r="E2891" s="1115" t="s">
        <v>3446</v>
      </c>
      <c r="F2891" s="1115" t="n">
        <v>63150</v>
      </c>
      <c r="G2891" s="1115" t="n">
        <v>77220</v>
      </c>
      <c r="H2891" s="1115" t="s">
        <v>3310</v>
      </c>
      <c r="I2891" s="1115" t="n">
        <v>74740</v>
      </c>
      <c r="J2891" s="1115" t="s">
        <v>1087</v>
      </c>
    </row>
    <row r="2892" customFormat="false" ht="14.1" hidden="false" customHeight="true" outlineLevel="0" collapsed="false">
      <c r="A2892" s="1115" t="n">
        <v>74720</v>
      </c>
      <c r="B2892" s="1115" t="s">
        <v>166</v>
      </c>
      <c r="C2892" s="1115" t="n">
        <v>74720</v>
      </c>
      <c r="D2892" s="1115" t="s">
        <v>3318</v>
      </c>
      <c r="E2892" s="1115" t="s">
        <v>1864</v>
      </c>
      <c r="F2892" s="1115" t="n">
        <v>19460</v>
      </c>
      <c r="G2892" s="1115" t="n">
        <v>77240</v>
      </c>
      <c r="H2892" s="1115" t="s">
        <v>1333</v>
      </c>
      <c r="I2892" s="1115" t="n">
        <v>74770</v>
      </c>
      <c r="J2892" s="1115" t="s">
        <v>1087</v>
      </c>
    </row>
    <row r="2893" customFormat="false" ht="14.1" hidden="false" customHeight="true" outlineLevel="0" collapsed="false">
      <c r="A2893" s="1115" t="n">
        <v>74740</v>
      </c>
      <c r="B2893" s="1115" t="s">
        <v>166</v>
      </c>
      <c r="C2893" s="1115" t="n">
        <v>74740</v>
      </c>
      <c r="D2893" s="1115" t="s">
        <v>820</v>
      </c>
      <c r="E2893" s="1115" t="s">
        <v>2968</v>
      </c>
      <c r="F2893" s="1115" t="n">
        <v>46730</v>
      </c>
      <c r="G2893" s="1115" t="n">
        <v>77310</v>
      </c>
      <c r="H2893" s="1115" t="s">
        <v>3724</v>
      </c>
      <c r="I2893" s="1115" t="n">
        <v>74840</v>
      </c>
      <c r="J2893" s="1115" t="s">
        <v>1087</v>
      </c>
    </row>
    <row r="2894" customFormat="false" ht="14.1" hidden="false" customHeight="true" outlineLevel="0" collapsed="false">
      <c r="A2894" s="1115" t="n">
        <v>74770</v>
      </c>
      <c r="B2894" s="1115" t="s">
        <v>166</v>
      </c>
      <c r="C2894" s="1115" t="n">
        <v>74770</v>
      </c>
      <c r="D2894" s="1115" t="s">
        <v>2192</v>
      </c>
      <c r="E2894" s="1115" t="s">
        <v>3596</v>
      </c>
      <c r="F2894" s="1115" t="n">
        <v>68320</v>
      </c>
      <c r="G2894" s="1115" t="n">
        <v>77320</v>
      </c>
      <c r="H2894" s="1115" t="s">
        <v>1819</v>
      </c>
      <c r="I2894" s="1115" t="n">
        <v>74940</v>
      </c>
      <c r="J2894" s="1115" t="s">
        <v>1087</v>
      </c>
    </row>
    <row r="2895" customFormat="false" ht="14.1" hidden="false" customHeight="true" outlineLevel="0" collapsed="false">
      <c r="A2895" s="1115" t="n">
        <v>74840</v>
      </c>
      <c r="B2895" s="1115" t="s">
        <v>166</v>
      </c>
      <c r="C2895" s="1115" t="n">
        <v>74840</v>
      </c>
      <c r="D2895" s="1115" t="s">
        <v>2552</v>
      </c>
      <c r="E2895" s="1115" t="s">
        <v>1491</v>
      </c>
      <c r="F2895" s="1115" t="n">
        <v>7990</v>
      </c>
      <c r="G2895" s="1115" t="n">
        <v>77330</v>
      </c>
      <c r="H2895" s="1115" t="s">
        <v>3758</v>
      </c>
      <c r="I2895" s="1115" t="n">
        <v>74980</v>
      </c>
      <c r="J2895" s="1115" t="s">
        <v>1087</v>
      </c>
    </row>
    <row r="2896" customFormat="false" ht="14.1" hidden="false" customHeight="true" outlineLevel="0" collapsed="false">
      <c r="A2896" s="1115" t="n">
        <v>74940</v>
      </c>
      <c r="B2896" s="1115" t="s">
        <v>166</v>
      </c>
      <c r="C2896" s="1115" t="n">
        <v>74940</v>
      </c>
      <c r="D2896" s="1115" t="s">
        <v>3710</v>
      </c>
      <c r="E2896" s="1115" t="s">
        <v>1451</v>
      </c>
      <c r="F2896" s="1115" t="n">
        <v>7970</v>
      </c>
      <c r="G2896" s="1115" t="n">
        <v>77340</v>
      </c>
      <c r="H2896" s="1115" t="s">
        <v>1873</v>
      </c>
      <c r="I2896" s="1115" t="n">
        <v>75500</v>
      </c>
      <c r="J2896" s="1115" t="s">
        <v>1282</v>
      </c>
    </row>
    <row r="2897" customFormat="false" ht="14.1" hidden="false" customHeight="true" outlineLevel="0" collapsed="false">
      <c r="A2897" s="1115" t="n">
        <v>74980</v>
      </c>
      <c r="B2897" s="1115" t="s">
        <v>166</v>
      </c>
      <c r="C2897" s="1115" t="n">
        <v>74980</v>
      </c>
      <c r="D2897" s="1115" t="s">
        <v>3734</v>
      </c>
      <c r="E2897" s="1115" t="s">
        <v>1454</v>
      </c>
      <c r="F2897" s="1115" t="n">
        <v>34600</v>
      </c>
      <c r="G2897" s="1115" t="n">
        <v>77350</v>
      </c>
      <c r="H2897" s="1115" t="s">
        <v>3211</v>
      </c>
      <c r="I2897" s="1115" t="n">
        <v>75520</v>
      </c>
      <c r="J2897" s="1115" t="s">
        <v>1282</v>
      </c>
    </row>
    <row r="2898" customFormat="false" ht="14.1" hidden="false" customHeight="true" outlineLevel="0" collapsed="false">
      <c r="A2898" s="1115" t="n">
        <v>75500</v>
      </c>
      <c r="B2898" s="1115" t="s">
        <v>168</v>
      </c>
      <c r="C2898" s="1115" t="n">
        <v>75500</v>
      </c>
      <c r="D2898" s="1115" t="s">
        <v>1282</v>
      </c>
      <c r="E2898" s="1115" t="s">
        <v>3646</v>
      </c>
      <c r="F2898" s="1115" t="n">
        <v>71270</v>
      </c>
      <c r="G2898" s="1115" t="n">
        <v>77360</v>
      </c>
      <c r="H2898" s="1115" t="s">
        <v>3759</v>
      </c>
      <c r="I2898" s="1115" t="n">
        <v>75530</v>
      </c>
      <c r="J2898" s="1115" t="s">
        <v>1282</v>
      </c>
    </row>
    <row r="2899" customFormat="false" ht="14.1" hidden="false" customHeight="true" outlineLevel="0" collapsed="false">
      <c r="A2899" s="1115" t="n">
        <v>75520</v>
      </c>
      <c r="B2899" s="1115" t="s">
        <v>168</v>
      </c>
      <c r="C2899" s="1115" t="n">
        <v>75520</v>
      </c>
      <c r="D2899" s="1115" t="s">
        <v>1282</v>
      </c>
      <c r="E2899" s="1115" t="s">
        <v>1456</v>
      </c>
      <c r="F2899" s="1115" t="n">
        <v>21290</v>
      </c>
      <c r="G2899" s="1115" t="n">
        <v>77370</v>
      </c>
      <c r="H2899" s="1115" t="s">
        <v>3041</v>
      </c>
      <c r="I2899" s="1115" t="n">
        <v>75550</v>
      </c>
      <c r="J2899" s="1115" t="s">
        <v>1282</v>
      </c>
    </row>
    <row r="2900" customFormat="false" ht="14.1" hidden="false" customHeight="true" outlineLevel="0" collapsed="false">
      <c r="A2900" s="1115" t="n">
        <v>75530</v>
      </c>
      <c r="B2900" s="1115" t="s">
        <v>168</v>
      </c>
      <c r="C2900" s="1115" t="n">
        <v>75530</v>
      </c>
      <c r="D2900" s="1115" t="s">
        <v>3614</v>
      </c>
      <c r="E2900" s="1115" t="s">
        <v>1240</v>
      </c>
      <c r="F2900" s="1115" t="n">
        <v>4370</v>
      </c>
      <c r="G2900" s="1115" t="n">
        <v>77380</v>
      </c>
      <c r="H2900" s="1115" t="s">
        <v>2232</v>
      </c>
      <c r="I2900" s="1115" t="n">
        <v>75570</v>
      </c>
      <c r="J2900" s="1115" t="s">
        <v>1282</v>
      </c>
    </row>
    <row r="2901" customFormat="false" ht="14.1" hidden="false" customHeight="true" outlineLevel="0" collapsed="false">
      <c r="A2901" s="1115" t="n">
        <v>75550</v>
      </c>
      <c r="B2901" s="1115" t="s">
        <v>168</v>
      </c>
      <c r="C2901" s="1115" t="n">
        <v>75550</v>
      </c>
      <c r="D2901" s="1115" t="s">
        <v>1001</v>
      </c>
      <c r="E2901" s="1115" t="s">
        <v>3070</v>
      </c>
      <c r="F2901" s="1115" t="n">
        <v>51390</v>
      </c>
      <c r="G2901" s="1115" t="n">
        <v>77390</v>
      </c>
      <c r="H2901" s="1115" t="s">
        <v>3669</v>
      </c>
      <c r="I2901" s="1115" t="n">
        <v>75650</v>
      </c>
      <c r="J2901" s="1115" t="s">
        <v>1282</v>
      </c>
    </row>
    <row r="2902" customFormat="false" ht="14.1" hidden="false" customHeight="true" outlineLevel="0" collapsed="false">
      <c r="A2902" s="1115" t="n">
        <v>75570</v>
      </c>
      <c r="B2902" s="1115" t="s">
        <v>168</v>
      </c>
      <c r="C2902" s="1115" t="n">
        <v>75570</v>
      </c>
      <c r="D2902" s="1115" t="s">
        <v>3469</v>
      </c>
      <c r="E2902" s="1115" t="s">
        <v>2797</v>
      </c>
      <c r="F2902" s="1115" t="n">
        <v>41710</v>
      </c>
      <c r="G2902" s="1115" t="n">
        <v>77420</v>
      </c>
      <c r="H2902" s="1115" t="s">
        <v>3754</v>
      </c>
      <c r="I2902" s="1115" t="n">
        <v>75680</v>
      </c>
      <c r="J2902" s="1115" t="s">
        <v>1282</v>
      </c>
    </row>
    <row r="2903" customFormat="false" ht="14.1" hidden="false" customHeight="true" outlineLevel="0" collapsed="false">
      <c r="A2903" s="1115" t="n">
        <v>75650</v>
      </c>
      <c r="B2903" s="1115" t="s">
        <v>168</v>
      </c>
      <c r="C2903" s="1115" t="n">
        <v>75650</v>
      </c>
      <c r="D2903" s="1115" t="s">
        <v>3739</v>
      </c>
      <c r="E2903" s="1115" t="s">
        <v>2408</v>
      </c>
      <c r="F2903" s="1115" t="n">
        <v>32620</v>
      </c>
      <c r="G2903" s="1115" t="n">
        <v>77430</v>
      </c>
      <c r="H2903" s="1115" t="s">
        <v>3760</v>
      </c>
      <c r="I2903" s="1115" t="n">
        <v>75680</v>
      </c>
      <c r="J2903" s="1115" t="s">
        <v>1282</v>
      </c>
    </row>
    <row r="2904" customFormat="false" ht="14.1" hidden="false" customHeight="true" outlineLevel="0" collapsed="false">
      <c r="A2904" s="1115" t="n">
        <v>75680</v>
      </c>
      <c r="B2904" s="1115" t="s">
        <v>168</v>
      </c>
      <c r="C2904" s="1115" t="n">
        <v>75680</v>
      </c>
      <c r="D2904" s="1115" t="s">
        <v>3740</v>
      </c>
      <c r="E2904" s="1115" t="s">
        <v>3565</v>
      </c>
      <c r="F2904" s="1115" t="n">
        <v>66420</v>
      </c>
      <c r="G2904" s="1115" t="n">
        <v>77450</v>
      </c>
      <c r="H2904" s="1115" t="s">
        <v>3514</v>
      </c>
      <c r="I2904" s="1115" t="n">
        <v>75690</v>
      </c>
      <c r="J2904" s="1115" t="s">
        <v>1282</v>
      </c>
    </row>
    <row r="2905" customFormat="false" ht="14.1" hidden="false" customHeight="true" outlineLevel="0" collapsed="false">
      <c r="A2905" s="1115" t="n">
        <v>75680</v>
      </c>
      <c r="B2905" s="1115" t="s">
        <v>168</v>
      </c>
      <c r="C2905" s="1115" t="n">
        <v>75680</v>
      </c>
      <c r="D2905" s="1115" t="s">
        <v>3740</v>
      </c>
      <c r="E2905" s="1115" t="s">
        <v>1700</v>
      </c>
      <c r="F2905" s="1115" t="n">
        <v>15580</v>
      </c>
      <c r="G2905" s="1115" t="n">
        <v>77460</v>
      </c>
      <c r="H2905" s="1115" t="s">
        <v>3108</v>
      </c>
      <c r="I2905" s="1115" t="n">
        <v>75700</v>
      </c>
      <c r="J2905" s="1115" t="s">
        <v>1594</v>
      </c>
    </row>
    <row r="2906" customFormat="false" ht="14.1" hidden="false" customHeight="true" outlineLevel="0" collapsed="false">
      <c r="A2906" s="1115" t="n">
        <v>75690</v>
      </c>
      <c r="B2906" s="1115" t="s">
        <v>168</v>
      </c>
      <c r="C2906" s="1115" t="n">
        <v>75690</v>
      </c>
      <c r="D2906" s="1115" t="s">
        <v>3064</v>
      </c>
      <c r="E2906" s="1115" t="s">
        <v>2773</v>
      </c>
      <c r="F2906" s="1115" t="n">
        <v>41440</v>
      </c>
      <c r="G2906" s="1115" t="n">
        <v>77480</v>
      </c>
      <c r="H2906" s="1115" t="s">
        <v>3761</v>
      </c>
      <c r="I2906" s="1115" t="n">
        <v>75710</v>
      </c>
      <c r="J2906" s="1115" t="s">
        <v>1594</v>
      </c>
    </row>
    <row r="2907" customFormat="false" ht="14.1" hidden="false" customHeight="true" outlineLevel="0" collapsed="false">
      <c r="A2907" s="1115" t="n">
        <v>75700</v>
      </c>
      <c r="B2907" s="1115" t="s">
        <v>168</v>
      </c>
      <c r="C2907" s="1115" t="n">
        <v>75700</v>
      </c>
      <c r="D2907" s="1115" t="s">
        <v>1594</v>
      </c>
      <c r="E2907" s="1115" t="s">
        <v>3762</v>
      </c>
      <c r="F2907" s="1115" t="n">
        <v>97335</v>
      </c>
      <c r="G2907" s="1115" t="n">
        <v>77520</v>
      </c>
      <c r="H2907" s="1115" t="s">
        <v>1267</v>
      </c>
      <c r="I2907" s="1115" t="n">
        <v>75740</v>
      </c>
      <c r="J2907" s="1115" t="s">
        <v>1594</v>
      </c>
    </row>
    <row r="2908" customFormat="false" ht="14.1" hidden="false" customHeight="true" outlineLevel="0" collapsed="false">
      <c r="A2908" s="1115" t="n">
        <v>75710</v>
      </c>
      <c r="B2908" s="1115" t="s">
        <v>168</v>
      </c>
      <c r="C2908" s="1115" t="n">
        <v>75710</v>
      </c>
      <c r="D2908" s="1115" t="s">
        <v>2247</v>
      </c>
      <c r="E2908" s="1115" t="s">
        <v>1459</v>
      </c>
      <c r="F2908" s="1115" t="n">
        <v>92400</v>
      </c>
      <c r="G2908" s="1115" t="n">
        <v>77540</v>
      </c>
      <c r="H2908" s="1115" t="s">
        <v>2609</v>
      </c>
      <c r="I2908" s="1115" t="n">
        <v>75770</v>
      </c>
      <c r="J2908" s="1115" t="s">
        <v>1594</v>
      </c>
    </row>
    <row r="2909" customFormat="false" ht="14.1" hidden="false" customHeight="true" outlineLevel="0" collapsed="false">
      <c r="A2909" s="1115" t="n">
        <v>75740</v>
      </c>
      <c r="B2909" s="1115" t="s">
        <v>168</v>
      </c>
      <c r="C2909" s="1115" t="n">
        <v>75740</v>
      </c>
      <c r="D2909" s="1115" t="s">
        <v>3462</v>
      </c>
      <c r="E2909" s="1115" t="s">
        <v>3763</v>
      </c>
      <c r="F2909" s="1115" t="n">
        <v>81630</v>
      </c>
      <c r="G2909" s="1115" t="n">
        <v>77550</v>
      </c>
      <c r="H2909" s="1115" t="s">
        <v>1682</v>
      </c>
      <c r="I2909" s="1115" t="n">
        <v>75790</v>
      </c>
      <c r="J2909" s="1115" t="s">
        <v>1594</v>
      </c>
    </row>
    <row r="2910" customFormat="false" ht="14.1" hidden="false" customHeight="true" outlineLevel="0" collapsed="false">
      <c r="A2910" s="1115" t="n">
        <v>75770</v>
      </c>
      <c r="B2910" s="1115" t="s">
        <v>168</v>
      </c>
      <c r="C2910" s="1115" t="n">
        <v>75770</v>
      </c>
      <c r="D2910" s="1115" t="s">
        <v>3648</v>
      </c>
      <c r="E2910" s="1115" t="s">
        <v>3764</v>
      </c>
      <c r="F2910" s="1115" t="n">
        <v>88810</v>
      </c>
      <c r="G2910" s="1115" t="n">
        <v>77570</v>
      </c>
      <c r="H2910" s="1115" t="s">
        <v>2109</v>
      </c>
      <c r="I2910" s="1115" t="n">
        <v>75810</v>
      </c>
      <c r="J2910" s="1115" t="s">
        <v>1594</v>
      </c>
    </row>
    <row r="2911" customFormat="false" ht="14.1" hidden="false" customHeight="true" outlineLevel="0" collapsed="false">
      <c r="A2911" s="1115" t="n">
        <v>75790</v>
      </c>
      <c r="B2911" s="1115" t="s">
        <v>168</v>
      </c>
      <c r="C2911" s="1115" t="n">
        <v>75790</v>
      </c>
      <c r="D2911" s="1115" t="s">
        <v>3744</v>
      </c>
      <c r="E2911" s="1115" t="s">
        <v>3765</v>
      </c>
      <c r="F2911" s="1115" t="n">
        <v>82530</v>
      </c>
      <c r="G2911" s="1115" t="n">
        <v>77580</v>
      </c>
      <c r="H2911" s="1115" t="s">
        <v>3766</v>
      </c>
      <c r="I2911" s="1115" t="n">
        <v>75830</v>
      </c>
      <c r="J2911" s="1115" t="s">
        <v>1594</v>
      </c>
    </row>
    <row r="2912" customFormat="false" ht="14.1" hidden="false" customHeight="true" outlineLevel="0" collapsed="false">
      <c r="A2912" s="1115" t="n">
        <v>75810</v>
      </c>
      <c r="B2912" s="1115" t="s">
        <v>168</v>
      </c>
      <c r="C2912" s="1115" t="n">
        <v>75810</v>
      </c>
      <c r="D2912" s="1115" t="s">
        <v>1729</v>
      </c>
      <c r="E2912" s="1115" t="s">
        <v>2913</v>
      </c>
      <c r="F2912" s="1115" t="n">
        <v>44550</v>
      </c>
      <c r="G2912" s="1115" t="n">
        <v>77600</v>
      </c>
      <c r="H2912" s="1115" t="s">
        <v>1534</v>
      </c>
      <c r="I2912" s="1115" t="n">
        <v>75840</v>
      </c>
      <c r="J2912" s="1115" t="s">
        <v>1594</v>
      </c>
    </row>
    <row r="2913" customFormat="false" ht="14.1" hidden="false" customHeight="true" outlineLevel="0" collapsed="false">
      <c r="A2913" s="1115" t="n">
        <v>75830</v>
      </c>
      <c r="B2913" s="1115" t="s">
        <v>168</v>
      </c>
      <c r="C2913" s="1115" t="n">
        <v>75830</v>
      </c>
      <c r="D2913" s="1115" t="s">
        <v>3745</v>
      </c>
      <c r="E2913" s="1115" t="s">
        <v>3767</v>
      </c>
      <c r="F2913" s="1115" t="n">
        <v>85660</v>
      </c>
      <c r="G2913" s="1115" t="n">
        <v>77630</v>
      </c>
      <c r="H2913" s="1115" t="s">
        <v>2950</v>
      </c>
      <c r="I2913" s="1115" t="n">
        <v>75850</v>
      </c>
      <c r="J2913" s="1115" t="s">
        <v>1594</v>
      </c>
    </row>
    <row r="2914" customFormat="false" ht="14.1" hidden="false" customHeight="true" outlineLevel="0" collapsed="false">
      <c r="A2914" s="1115" t="n">
        <v>75840</v>
      </c>
      <c r="B2914" s="1115" t="s">
        <v>168</v>
      </c>
      <c r="C2914" s="1115" t="n">
        <v>75840</v>
      </c>
      <c r="D2914" s="1115" t="s">
        <v>3746</v>
      </c>
      <c r="E2914" s="1115" t="s">
        <v>3381</v>
      </c>
      <c r="F2914" s="1115" t="n">
        <v>61510</v>
      </c>
      <c r="G2914" s="1115" t="n">
        <v>77690</v>
      </c>
      <c r="H2914" s="1115" t="s">
        <v>3768</v>
      </c>
      <c r="I2914" s="1115" t="n">
        <v>75860</v>
      </c>
      <c r="J2914" s="1115" t="s">
        <v>1594</v>
      </c>
    </row>
    <row r="2915" customFormat="false" ht="14.1" hidden="false" customHeight="true" outlineLevel="0" collapsed="false">
      <c r="A2915" s="1115" t="n">
        <v>75850</v>
      </c>
      <c r="B2915" s="1115" t="s">
        <v>168</v>
      </c>
      <c r="C2915" s="1115" t="n">
        <v>75850</v>
      </c>
      <c r="D2915" s="1115" t="s">
        <v>3171</v>
      </c>
      <c r="E2915" s="1115" t="s">
        <v>2546</v>
      </c>
      <c r="F2915" s="1115" t="n">
        <v>36110</v>
      </c>
      <c r="G2915" s="1115" t="n">
        <v>77700</v>
      </c>
      <c r="H2915" s="1115" t="s">
        <v>1424</v>
      </c>
      <c r="I2915" s="1115" t="n">
        <v>75890</v>
      </c>
      <c r="J2915" s="1115" t="s">
        <v>1594</v>
      </c>
    </row>
    <row r="2916" customFormat="false" ht="14.1" hidden="false" customHeight="true" outlineLevel="0" collapsed="false">
      <c r="A2916" s="1115" t="n">
        <v>75860</v>
      </c>
      <c r="B2916" s="1115" t="s">
        <v>168</v>
      </c>
      <c r="C2916" s="1115" t="n">
        <v>75860</v>
      </c>
      <c r="D2916" s="1115" t="s">
        <v>3747</v>
      </c>
      <c r="E2916" s="1115" t="s">
        <v>3769</v>
      </c>
      <c r="F2916" s="1115" t="n">
        <v>98840</v>
      </c>
      <c r="G2916" s="1115" t="n">
        <v>77760</v>
      </c>
      <c r="H2916" s="1115" t="s">
        <v>3770</v>
      </c>
      <c r="I2916" s="1115" t="n">
        <v>75910</v>
      </c>
      <c r="J2916" s="1115" t="s">
        <v>1594</v>
      </c>
    </row>
    <row r="2917" customFormat="false" ht="14.1" hidden="false" customHeight="true" outlineLevel="0" collapsed="false">
      <c r="A2917" s="1115" t="n">
        <v>75890</v>
      </c>
      <c r="B2917" s="1115" t="s">
        <v>168</v>
      </c>
      <c r="C2917" s="1115" t="n">
        <v>75890</v>
      </c>
      <c r="D2917" s="1115" t="s">
        <v>3748</v>
      </c>
      <c r="E2917" s="1115" t="s">
        <v>3771</v>
      </c>
      <c r="F2917" s="1115" t="n">
        <v>93860</v>
      </c>
      <c r="G2917" s="1115" t="n">
        <v>77770</v>
      </c>
      <c r="H2917" s="1115" t="s">
        <v>3245</v>
      </c>
      <c r="I2917" s="1115" t="n">
        <v>75920</v>
      </c>
      <c r="J2917" s="1115" t="s">
        <v>1594</v>
      </c>
    </row>
    <row r="2918" customFormat="false" ht="14.1" hidden="false" customHeight="true" outlineLevel="0" collapsed="false">
      <c r="A2918" s="1115" t="n">
        <v>75910</v>
      </c>
      <c r="B2918" s="1115" t="s">
        <v>168</v>
      </c>
      <c r="C2918" s="1115" t="n">
        <v>75910</v>
      </c>
      <c r="D2918" s="1115" t="s">
        <v>1931</v>
      </c>
      <c r="E2918" s="1115" t="s">
        <v>3772</v>
      </c>
      <c r="F2918" s="1115" t="n">
        <v>83835</v>
      </c>
      <c r="G2918" s="1115" t="n">
        <v>77800</v>
      </c>
      <c r="H2918" s="1115" t="s">
        <v>1913</v>
      </c>
      <c r="I2918" s="1115" t="n">
        <v>75930</v>
      </c>
      <c r="J2918" s="1115" t="s">
        <v>1594</v>
      </c>
    </row>
    <row r="2919" customFormat="false" ht="14.1" hidden="false" customHeight="true" outlineLevel="0" collapsed="false">
      <c r="A2919" s="1115" t="n">
        <v>75920</v>
      </c>
      <c r="B2919" s="1115" t="s">
        <v>168</v>
      </c>
      <c r="C2919" s="1115" t="n">
        <v>75920</v>
      </c>
      <c r="D2919" s="1115" t="s">
        <v>3738</v>
      </c>
      <c r="E2919" s="1115" t="s">
        <v>3119</v>
      </c>
      <c r="F2919" s="1115" t="n">
        <v>52270</v>
      </c>
      <c r="G2919" s="1115" t="n">
        <v>77910</v>
      </c>
      <c r="H2919" s="1115" t="s">
        <v>3773</v>
      </c>
      <c r="I2919" s="1115" t="n">
        <v>75940</v>
      </c>
      <c r="J2919" s="1115" t="s">
        <v>1594</v>
      </c>
    </row>
    <row r="2920" customFormat="false" ht="14.1" hidden="false" customHeight="true" outlineLevel="0" collapsed="false">
      <c r="A2920" s="1115" t="n">
        <v>75930</v>
      </c>
      <c r="B2920" s="1115" t="s">
        <v>168</v>
      </c>
      <c r="C2920" s="1115" t="n">
        <v>75930</v>
      </c>
      <c r="D2920" s="1115" t="s">
        <v>3549</v>
      </c>
      <c r="E2920" s="1115" t="s">
        <v>1462</v>
      </c>
      <c r="F2920" s="1115" t="n">
        <v>21140</v>
      </c>
      <c r="G2920" s="1115" t="n">
        <v>77930</v>
      </c>
      <c r="H2920" s="1115" t="s">
        <v>2383</v>
      </c>
      <c r="I2920" s="1115" t="n">
        <v>75960</v>
      </c>
      <c r="J2920" s="1115" t="s">
        <v>1594</v>
      </c>
    </row>
    <row r="2921" customFormat="false" ht="14.1" hidden="false" customHeight="true" outlineLevel="0" collapsed="false">
      <c r="A2921" s="1115" t="n">
        <v>75940</v>
      </c>
      <c r="B2921" s="1115" t="s">
        <v>168</v>
      </c>
      <c r="C2921" s="1115" t="n">
        <v>75940</v>
      </c>
      <c r="D2921" s="1115" t="s">
        <v>3222</v>
      </c>
      <c r="E2921" s="1115" t="s">
        <v>3774</v>
      </c>
      <c r="F2921" s="1115" t="n">
        <v>98420</v>
      </c>
      <c r="G2921" s="1115" t="n">
        <v>77960</v>
      </c>
      <c r="H2921" s="1115" t="s">
        <v>3466</v>
      </c>
      <c r="I2921" s="1115" t="n">
        <v>75970</v>
      </c>
      <c r="J2921" s="1115" t="s">
        <v>1594</v>
      </c>
    </row>
    <row r="2922" customFormat="false" ht="14.1" hidden="false" customHeight="true" outlineLevel="0" collapsed="false">
      <c r="A2922" s="1115" t="n">
        <v>75960</v>
      </c>
      <c r="B2922" s="1115" t="s">
        <v>168</v>
      </c>
      <c r="C2922" s="1115" t="n">
        <v>75960</v>
      </c>
      <c r="D2922" s="1115" t="s">
        <v>2705</v>
      </c>
      <c r="E2922" s="1115" t="s">
        <v>3775</v>
      </c>
      <c r="F2922" s="1115" t="n">
        <v>93240</v>
      </c>
      <c r="G2922" s="1115" t="n">
        <v>78100</v>
      </c>
      <c r="H2922" s="1115" t="s">
        <v>1602</v>
      </c>
      <c r="I2922" s="1115" t="n">
        <v>75990</v>
      </c>
      <c r="J2922" s="1115" t="s">
        <v>1594</v>
      </c>
    </row>
    <row r="2923" customFormat="false" ht="14.1" hidden="false" customHeight="true" outlineLevel="0" collapsed="false">
      <c r="A2923" s="1115" t="n">
        <v>75970</v>
      </c>
      <c r="B2923" s="1115" t="s">
        <v>168</v>
      </c>
      <c r="C2923" s="1115" t="n">
        <v>75970</v>
      </c>
      <c r="D2923" s="1115" t="s">
        <v>2467</v>
      </c>
      <c r="E2923" s="1115" t="s">
        <v>1597</v>
      </c>
      <c r="F2923" s="1115" t="n">
        <v>12310</v>
      </c>
      <c r="G2923" s="1115" t="n">
        <v>78200</v>
      </c>
      <c r="H2923" s="1115" t="s">
        <v>1602</v>
      </c>
      <c r="I2923" s="1115" t="n">
        <v>76100</v>
      </c>
      <c r="J2923" s="1115" t="s">
        <v>3562</v>
      </c>
    </row>
    <row r="2924" customFormat="false" ht="14.1" hidden="false" customHeight="true" outlineLevel="0" collapsed="false">
      <c r="A2924" s="1115" t="n">
        <v>75990</v>
      </c>
      <c r="B2924" s="1115" t="s">
        <v>168</v>
      </c>
      <c r="C2924" s="1115" t="n">
        <v>75990</v>
      </c>
      <c r="D2924" s="1115" t="s">
        <v>1905</v>
      </c>
      <c r="E2924" s="1115" t="s">
        <v>3730</v>
      </c>
      <c r="F2924" s="1115" t="n">
        <v>74620</v>
      </c>
      <c r="G2924" s="1115" t="n">
        <v>78210</v>
      </c>
      <c r="H2924" s="1115" t="s">
        <v>1602</v>
      </c>
      <c r="I2924" s="1115" t="n">
        <v>76120</v>
      </c>
      <c r="J2924" s="1115" t="s">
        <v>3562</v>
      </c>
    </row>
    <row r="2925" customFormat="false" ht="14.1" hidden="false" customHeight="true" outlineLevel="0" collapsed="false">
      <c r="A2925" s="1115" t="n">
        <v>76100</v>
      </c>
      <c r="B2925" s="1115" t="s">
        <v>166</v>
      </c>
      <c r="C2925" s="1115" t="n">
        <v>76100</v>
      </c>
      <c r="D2925" s="1115" t="s">
        <v>3562</v>
      </c>
      <c r="E2925" s="1115" t="s">
        <v>3501</v>
      </c>
      <c r="F2925" s="1115" t="n">
        <v>64630</v>
      </c>
      <c r="G2925" s="1115" t="n">
        <v>78300</v>
      </c>
      <c r="H2925" s="1115" t="s">
        <v>1602</v>
      </c>
      <c r="I2925" s="1115" t="n">
        <v>76130</v>
      </c>
      <c r="J2925" s="1115" t="s">
        <v>3562</v>
      </c>
    </row>
    <row r="2926" customFormat="false" ht="14.1" hidden="false" customHeight="true" outlineLevel="0" collapsed="false">
      <c r="A2926" s="1115" t="n">
        <v>76120</v>
      </c>
      <c r="B2926" s="1115" t="s">
        <v>166</v>
      </c>
      <c r="C2926" s="1115" t="n">
        <v>76120</v>
      </c>
      <c r="D2926" s="1115" t="s">
        <v>3562</v>
      </c>
      <c r="E2926" s="1115" t="s">
        <v>2910</v>
      </c>
      <c r="F2926" s="1115" t="n">
        <v>44440</v>
      </c>
      <c r="G2926" s="1115" t="n">
        <v>78310</v>
      </c>
      <c r="H2926" s="1115" t="s">
        <v>1602</v>
      </c>
      <c r="I2926" s="1115" t="n">
        <v>76140</v>
      </c>
      <c r="J2926" s="1115" t="s">
        <v>3562</v>
      </c>
    </row>
    <row r="2927" customFormat="false" ht="14.1" hidden="false" customHeight="true" outlineLevel="0" collapsed="false">
      <c r="A2927" s="1115" t="n">
        <v>76130</v>
      </c>
      <c r="B2927" s="1115" t="s">
        <v>166</v>
      </c>
      <c r="C2927" s="1115" t="n">
        <v>76130</v>
      </c>
      <c r="D2927" s="1115" t="s">
        <v>3562</v>
      </c>
      <c r="E2927" s="1115" t="s">
        <v>3776</v>
      </c>
      <c r="F2927" s="1115" t="n">
        <v>91270</v>
      </c>
      <c r="G2927" s="1115" t="n">
        <v>78400</v>
      </c>
      <c r="H2927" s="1115" t="s">
        <v>1602</v>
      </c>
      <c r="I2927" s="1115" t="n">
        <v>76150</v>
      </c>
      <c r="J2927" s="1115" t="s">
        <v>3562</v>
      </c>
    </row>
    <row r="2928" customFormat="false" ht="14.1" hidden="false" customHeight="true" outlineLevel="0" collapsed="false">
      <c r="A2928" s="1115" t="n">
        <v>76140</v>
      </c>
      <c r="B2928" s="1115" t="s">
        <v>166</v>
      </c>
      <c r="C2928" s="1115" t="n">
        <v>76140</v>
      </c>
      <c r="D2928" s="1115" t="s">
        <v>3562</v>
      </c>
      <c r="E2928" s="1115" t="s">
        <v>3777</v>
      </c>
      <c r="F2928" s="1115" t="n">
        <v>85940</v>
      </c>
      <c r="G2928" s="1115" t="n">
        <v>78480</v>
      </c>
      <c r="H2928" s="1115" t="s">
        <v>3778</v>
      </c>
      <c r="I2928" s="1115" t="n">
        <v>76280</v>
      </c>
      <c r="J2928" s="1115" t="s">
        <v>3562</v>
      </c>
    </row>
    <row r="2929" customFormat="false" ht="14.1" hidden="false" customHeight="true" outlineLevel="0" collapsed="false">
      <c r="A2929" s="1115" t="n">
        <v>76150</v>
      </c>
      <c r="B2929" s="1115" t="s">
        <v>166</v>
      </c>
      <c r="C2929" s="1115" t="n">
        <v>76150</v>
      </c>
      <c r="D2929" s="1115" t="s">
        <v>3562</v>
      </c>
      <c r="E2929" s="1115" t="s">
        <v>2663</v>
      </c>
      <c r="F2929" s="1115" t="n">
        <v>38810</v>
      </c>
      <c r="G2929" s="1115" t="n">
        <v>78500</v>
      </c>
      <c r="H2929" s="1115" t="s">
        <v>1602</v>
      </c>
      <c r="I2929" s="1115" t="n">
        <v>76620</v>
      </c>
      <c r="J2929" s="1115" t="s">
        <v>3562</v>
      </c>
    </row>
    <row r="2930" customFormat="false" ht="14.1" hidden="false" customHeight="true" outlineLevel="0" collapsed="false">
      <c r="A2930" s="1115" t="n">
        <v>76280</v>
      </c>
      <c r="B2930" s="1115" t="s">
        <v>166</v>
      </c>
      <c r="C2930" s="1115" t="n">
        <v>76280</v>
      </c>
      <c r="D2930" s="1115" t="s">
        <v>3493</v>
      </c>
      <c r="E2930" s="1115" t="s">
        <v>2592</v>
      </c>
      <c r="F2930" s="1115" t="n">
        <v>37350</v>
      </c>
      <c r="G2930" s="1115" t="n">
        <v>78610</v>
      </c>
      <c r="H2930" s="1115" t="s">
        <v>1602</v>
      </c>
      <c r="I2930" s="1115" t="n">
        <v>76720</v>
      </c>
      <c r="J2930" s="1115" t="s">
        <v>3562</v>
      </c>
    </row>
    <row r="2931" customFormat="false" ht="14.1" hidden="false" customHeight="true" outlineLevel="0" collapsed="false">
      <c r="A2931" s="1115" t="n">
        <v>76620</v>
      </c>
      <c r="B2931" s="1115" t="s">
        <v>166</v>
      </c>
      <c r="C2931" s="1115" t="n">
        <v>76620</v>
      </c>
      <c r="D2931" s="1115" t="s">
        <v>3651</v>
      </c>
      <c r="E2931" s="1115" t="s">
        <v>3650</v>
      </c>
      <c r="F2931" s="1115" t="n">
        <v>71330</v>
      </c>
      <c r="G2931" s="1115" t="n">
        <v>78710</v>
      </c>
      <c r="H2931" s="1115" t="s">
        <v>1602</v>
      </c>
      <c r="I2931" s="1115" t="n">
        <v>76780</v>
      </c>
      <c r="J2931" s="1115" t="s">
        <v>3562</v>
      </c>
    </row>
    <row r="2932" customFormat="false" ht="14.1" hidden="false" customHeight="true" outlineLevel="0" collapsed="false">
      <c r="A2932" s="1115" t="n">
        <v>76720</v>
      </c>
      <c r="B2932" s="1115" t="s">
        <v>166</v>
      </c>
      <c r="C2932" s="1115" t="n">
        <v>76720</v>
      </c>
      <c r="D2932" s="1115" t="s">
        <v>3159</v>
      </c>
      <c r="E2932" s="1115" t="s">
        <v>3627</v>
      </c>
      <c r="F2932" s="1115" t="n">
        <v>69820</v>
      </c>
      <c r="G2932" s="1115" t="n">
        <v>78800</v>
      </c>
      <c r="H2932" s="1115" t="s">
        <v>1602</v>
      </c>
      <c r="I2932" s="1115" t="n">
        <v>76820</v>
      </c>
      <c r="J2932" s="1115" t="s">
        <v>3562</v>
      </c>
    </row>
    <row r="2933" customFormat="false" ht="14.1" hidden="false" customHeight="true" outlineLevel="0" collapsed="false">
      <c r="A2933" s="1115" t="n">
        <v>76780</v>
      </c>
      <c r="B2933" s="1115" t="s">
        <v>166</v>
      </c>
      <c r="C2933" s="1115" t="n">
        <v>76780</v>
      </c>
      <c r="D2933" s="1115" t="s">
        <v>2885</v>
      </c>
      <c r="E2933" s="1115" t="s">
        <v>1618</v>
      </c>
      <c r="F2933" s="1115" t="n">
        <v>12820</v>
      </c>
      <c r="G2933" s="1115" t="n">
        <v>78850</v>
      </c>
      <c r="H2933" s="1115" t="s">
        <v>1602</v>
      </c>
      <c r="I2933" s="1115" t="n">
        <v>76850</v>
      </c>
      <c r="J2933" s="1115" t="s">
        <v>3562</v>
      </c>
    </row>
    <row r="2934" customFormat="false" ht="14.1" hidden="false" customHeight="true" outlineLevel="0" collapsed="false">
      <c r="A2934" s="1115" t="n">
        <v>76820</v>
      </c>
      <c r="B2934" s="1115" t="s">
        <v>166</v>
      </c>
      <c r="C2934" s="1115" t="n">
        <v>76820</v>
      </c>
      <c r="D2934" s="1115" t="s">
        <v>1829</v>
      </c>
      <c r="E2934" s="1115" t="s">
        <v>1464</v>
      </c>
      <c r="F2934" s="1115" t="n">
        <v>82300</v>
      </c>
      <c r="G2934" s="1115" t="n">
        <v>78880</v>
      </c>
      <c r="H2934" s="1115" t="s">
        <v>2766</v>
      </c>
      <c r="I2934" s="1115" t="n">
        <v>76940</v>
      </c>
      <c r="J2934" s="1115" t="s">
        <v>3562</v>
      </c>
    </row>
    <row r="2935" customFormat="false" ht="14.1" hidden="false" customHeight="true" outlineLevel="0" collapsed="false">
      <c r="A2935" s="1115" t="n">
        <v>76850</v>
      </c>
      <c r="B2935" s="1115" t="s">
        <v>166</v>
      </c>
      <c r="C2935" s="1115" t="n">
        <v>76850</v>
      </c>
      <c r="D2935" s="1115" t="s">
        <v>3281</v>
      </c>
      <c r="E2935" s="1115" t="s">
        <v>3575</v>
      </c>
      <c r="F2935" s="1115" t="n">
        <v>66610</v>
      </c>
      <c r="G2935" s="1115" t="n">
        <v>78900</v>
      </c>
      <c r="H2935" s="1115" t="s">
        <v>1602</v>
      </c>
      <c r="I2935" s="1115" t="n">
        <v>77110</v>
      </c>
      <c r="J2935" s="1115" t="s">
        <v>3562</v>
      </c>
    </row>
    <row r="2936" customFormat="false" ht="14.1" hidden="false" customHeight="true" outlineLevel="0" collapsed="false">
      <c r="A2936" s="1115" t="n">
        <v>76940</v>
      </c>
      <c r="B2936" s="1115" t="s">
        <v>166</v>
      </c>
      <c r="C2936" s="1115" t="n">
        <v>76940</v>
      </c>
      <c r="D2936" s="1115" t="s">
        <v>3306</v>
      </c>
      <c r="E2936" s="1115" t="s">
        <v>3779</v>
      </c>
      <c r="F2936" s="1115" t="n">
        <v>82130</v>
      </c>
      <c r="G2936" s="1115" t="n">
        <v>79100</v>
      </c>
      <c r="H2936" s="1115" t="s">
        <v>1165</v>
      </c>
      <c r="I2936" s="1115" t="n">
        <v>77120</v>
      </c>
      <c r="J2936" s="1115" t="s">
        <v>3562</v>
      </c>
    </row>
    <row r="2937" customFormat="false" ht="14.1" hidden="false" customHeight="true" outlineLevel="0" collapsed="false">
      <c r="A2937" s="1115" t="n">
        <v>77110</v>
      </c>
      <c r="B2937" s="1115" t="s">
        <v>166</v>
      </c>
      <c r="C2937" s="1115" t="n">
        <v>77110</v>
      </c>
      <c r="D2937" s="1115" t="s">
        <v>3481</v>
      </c>
      <c r="E2937" s="1115" t="s">
        <v>3282</v>
      </c>
      <c r="F2937" s="1115" t="n">
        <v>58390</v>
      </c>
      <c r="G2937" s="1115" t="n">
        <v>79130</v>
      </c>
      <c r="H2937" s="1115" t="s">
        <v>3780</v>
      </c>
      <c r="I2937" s="1115" t="n">
        <v>77140</v>
      </c>
      <c r="J2937" s="1115" t="s">
        <v>3562</v>
      </c>
    </row>
    <row r="2938" customFormat="false" ht="14.1" hidden="false" customHeight="true" outlineLevel="0" collapsed="false">
      <c r="A2938" s="1115" t="n">
        <v>77120</v>
      </c>
      <c r="B2938" s="1115" t="s">
        <v>166</v>
      </c>
      <c r="C2938" s="1115" t="n">
        <v>77120</v>
      </c>
      <c r="D2938" s="1115" t="s">
        <v>3757</v>
      </c>
      <c r="E2938" s="1115" t="s">
        <v>3781</v>
      </c>
      <c r="F2938" s="1115" t="n">
        <v>93690</v>
      </c>
      <c r="G2938" s="1115" t="n">
        <v>79140</v>
      </c>
      <c r="H2938" s="1115" t="s">
        <v>2607</v>
      </c>
      <c r="I2938" s="1115" t="n">
        <v>77160</v>
      </c>
      <c r="J2938" s="1115" t="s">
        <v>3562</v>
      </c>
    </row>
    <row r="2939" customFormat="false" ht="14.1" hidden="false" customHeight="true" outlineLevel="0" collapsed="false">
      <c r="A2939" s="1115" t="n">
        <v>77140</v>
      </c>
      <c r="B2939" s="1115" t="s">
        <v>166</v>
      </c>
      <c r="C2939" s="1115" t="n">
        <v>77140</v>
      </c>
      <c r="D2939" s="1115" t="s">
        <v>1832</v>
      </c>
      <c r="E2939" s="1115" t="s">
        <v>2693</v>
      </c>
      <c r="F2939" s="1115" t="n">
        <v>39430</v>
      </c>
      <c r="G2939" s="1115" t="n">
        <v>79150</v>
      </c>
      <c r="H2939" s="1115" t="s">
        <v>2540</v>
      </c>
      <c r="I2939" s="1115" t="n">
        <v>77210</v>
      </c>
      <c r="J2939" s="1115" t="s">
        <v>3562</v>
      </c>
    </row>
    <row r="2940" customFormat="false" ht="14.1" hidden="false" customHeight="true" outlineLevel="0" collapsed="false">
      <c r="A2940" s="1115" t="n">
        <v>77160</v>
      </c>
      <c r="B2940" s="1115" t="s">
        <v>166</v>
      </c>
      <c r="C2940" s="1115" t="n">
        <v>77160</v>
      </c>
      <c r="D2940" s="1115" t="s">
        <v>1920</v>
      </c>
      <c r="E2940" s="1115" t="s">
        <v>1285</v>
      </c>
      <c r="F2940" s="1115" t="n">
        <v>5100</v>
      </c>
      <c r="G2940" s="1115" t="n">
        <v>79160</v>
      </c>
      <c r="H2940" s="1115" t="s">
        <v>3782</v>
      </c>
      <c r="I2940" s="1115" t="n">
        <v>77220</v>
      </c>
      <c r="J2940" s="1115" t="s">
        <v>3562</v>
      </c>
    </row>
    <row r="2941" customFormat="false" ht="14.1" hidden="false" customHeight="true" outlineLevel="0" collapsed="false">
      <c r="A2941" s="1115" t="n">
        <v>77210</v>
      </c>
      <c r="B2941" s="1115" t="s">
        <v>166</v>
      </c>
      <c r="C2941" s="1115" t="n">
        <v>77210</v>
      </c>
      <c r="D2941" s="1115" t="s">
        <v>3334</v>
      </c>
      <c r="E2941" s="1115" t="s">
        <v>1290</v>
      </c>
      <c r="F2941" s="1115" t="n">
        <v>5130</v>
      </c>
      <c r="G2941" s="1115" t="n">
        <v>79170</v>
      </c>
      <c r="H2941" s="1115" t="s">
        <v>3544</v>
      </c>
      <c r="I2941" s="1115" t="n">
        <v>77240</v>
      </c>
      <c r="J2941" s="1115" t="s">
        <v>3562</v>
      </c>
    </row>
    <row r="2942" customFormat="false" ht="14.1" hidden="false" customHeight="true" outlineLevel="0" collapsed="false">
      <c r="A2942" s="1115" t="n">
        <v>77220</v>
      </c>
      <c r="B2942" s="1115" t="s">
        <v>166</v>
      </c>
      <c r="C2942" s="1115" t="n">
        <v>77220</v>
      </c>
      <c r="D2942" s="1115" t="s">
        <v>3310</v>
      </c>
      <c r="E2942" s="1115" t="s">
        <v>1933</v>
      </c>
      <c r="F2942" s="1115" t="n">
        <v>21150</v>
      </c>
      <c r="G2942" s="1115" t="n">
        <v>79180</v>
      </c>
      <c r="H2942" s="1115" t="s">
        <v>3783</v>
      </c>
      <c r="I2942" s="1115" t="n">
        <v>77310</v>
      </c>
      <c r="J2942" s="1115" t="s">
        <v>3562</v>
      </c>
    </row>
    <row r="2943" customFormat="false" ht="14.1" hidden="false" customHeight="true" outlineLevel="0" collapsed="false">
      <c r="A2943" s="1115" t="n">
        <v>77240</v>
      </c>
      <c r="B2943" s="1115" t="s">
        <v>166</v>
      </c>
      <c r="C2943" s="1115" t="n">
        <v>77240</v>
      </c>
      <c r="D2943" s="1115" t="s">
        <v>1333</v>
      </c>
      <c r="E2943" s="1115" t="s">
        <v>2802</v>
      </c>
      <c r="F2943" s="1115" t="n">
        <v>41820</v>
      </c>
      <c r="G2943" s="1115" t="n">
        <v>79190</v>
      </c>
      <c r="H2943" s="1115" t="s">
        <v>3784</v>
      </c>
      <c r="I2943" s="1115" t="n">
        <v>77320</v>
      </c>
      <c r="J2943" s="1115" t="s">
        <v>3562</v>
      </c>
    </row>
    <row r="2944" customFormat="false" ht="14.1" hidden="false" customHeight="true" outlineLevel="0" collapsed="false">
      <c r="A2944" s="1115" t="n">
        <v>77310</v>
      </c>
      <c r="B2944" s="1115" t="s">
        <v>166</v>
      </c>
      <c r="C2944" s="1115" t="n">
        <v>77310</v>
      </c>
      <c r="D2944" s="1115" t="s">
        <v>3724</v>
      </c>
      <c r="E2944" s="1115" t="s">
        <v>3782</v>
      </c>
      <c r="F2944" s="1115" t="n">
        <v>79160</v>
      </c>
      <c r="G2944" s="1115" t="n">
        <v>79220</v>
      </c>
      <c r="H2944" s="1115" t="s">
        <v>3233</v>
      </c>
      <c r="I2944" s="1115" t="n">
        <v>77330</v>
      </c>
      <c r="J2944" s="1115" t="s">
        <v>3562</v>
      </c>
    </row>
    <row r="2945" customFormat="false" ht="14.1" hidden="false" customHeight="true" outlineLevel="0" collapsed="false">
      <c r="A2945" s="1115" t="n">
        <v>77320</v>
      </c>
      <c r="B2945" s="1115" t="s">
        <v>166</v>
      </c>
      <c r="C2945" s="1115" t="n">
        <v>77320</v>
      </c>
      <c r="D2945" s="1115" t="s">
        <v>1819</v>
      </c>
      <c r="E2945" s="1115" t="s">
        <v>2963</v>
      </c>
      <c r="F2945" s="1115" t="n">
        <v>46570</v>
      </c>
      <c r="G2945" s="1115" t="n">
        <v>79230</v>
      </c>
      <c r="H2945" s="1115" t="s">
        <v>3209</v>
      </c>
      <c r="I2945" s="1115" t="n">
        <v>77340</v>
      </c>
      <c r="J2945" s="1115" t="s">
        <v>3562</v>
      </c>
    </row>
    <row r="2946" customFormat="false" ht="14.1" hidden="false" customHeight="true" outlineLevel="0" collapsed="false">
      <c r="A2946" s="1115" t="n">
        <v>77330</v>
      </c>
      <c r="B2946" s="1115" t="s">
        <v>166</v>
      </c>
      <c r="C2946" s="1115" t="n">
        <v>77330</v>
      </c>
      <c r="D2946" s="1115" t="s">
        <v>3758</v>
      </c>
      <c r="E2946" s="1115" t="s">
        <v>3688</v>
      </c>
      <c r="F2946" s="1115" t="n">
        <v>72840</v>
      </c>
      <c r="G2946" s="1115" t="n">
        <v>79240</v>
      </c>
      <c r="H2946" s="1115" t="s">
        <v>3079</v>
      </c>
      <c r="I2946" s="1115" t="n">
        <v>77350</v>
      </c>
      <c r="J2946" s="1115" t="s">
        <v>3562</v>
      </c>
    </row>
    <row r="2947" customFormat="false" ht="14.1" hidden="false" customHeight="true" outlineLevel="0" collapsed="false">
      <c r="A2947" s="1115" t="n">
        <v>77340</v>
      </c>
      <c r="B2947" s="1115" t="s">
        <v>166</v>
      </c>
      <c r="C2947" s="1115" t="n">
        <v>77340</v>
      </c>
      <c r="D2947" s="1115" t="s">
        <v>1873</v>
      </c>
      <c r="E2947" s="1115" t="s">
        <v>3785</v>
      </c>
      <c r="F2947" s="1115" t="n">
        <v>96900</v>
      </c>
      <c r="G2947" s="1115" t="n">
        <v>79255</v>
      </c>
      <c r="H2947" s="1115" t="s">
        <v>2731</v>
      </c>
      <c r="I2947" s="1115" t="n">
        <v>77360</v>
      </c>
      <c r="J2947" s="1115" t="s">
        <v>3562</v>
      </c>
    </row>
    <row r="2948" customFormat="false" ht="14.1" hidden="false" customHeight="true" outlineLevel="0" collapsed="false">
      <c r="A2948" s="1115" t="n">
        <v>77350</v>
      </c>
      <c r="B2948" s="1115" t="s">
        <v>166</v>
      </c>
      <c r="C2948" s="1115" t="n">
        <v>77350</v>
      </c>
      <c r="D2948" s="1115" t="s">
        <v>3211</v>
      </c>
      <c r="E2948" s="1115" t="s">
        <v>2194</v>
      </c>
      <c r="F2948" s="1115" t="n">
        <v>27440</v>
      </c>
      <c r="G2948" s="1115" t="n">
        <v>79265</v>
      </c>
      <c r="H2948" s="1115" t="s">
        <v>3638</v>
      </c>
      <c r="I2948" s="1115" t="n">
        <v>77370</v>
      </c>
      <c r="J2948" s="1115" t="s">
        <v>3562</v>
      </c>
    </row>
    <row r="2949" customFormat="false" ht="14.1" hidden="false" customHeight="true" outlineLevel="0" collapsed="false">
      <c r="A2949" s="1115" t="n">
        <v>77360</v>
      </c>
      <c r="B2949" s="1115" t="s">
        <v>166</v>
      </c>
      <c r="C2949" s="1115" t="n">
        <v>77360</v>
      </c>
      <c r="D2949" s="1115" t="s">
        <v>3759</v>
      </c>
      <c r="E2949" s="1115" t="s">
        <v>2886</v>
      </c>
      <c r="F2949" s="1115" t="n">
        <v>43960</v>
      </c>
      <c r="G2949" s="1115" t="n">
        <v>79270</v>
      </c>
      <c r="H2949" s="1115" t="s">
        <v>2465</v>
      </c>
      <c r="I2949" s="1115" t="n">
        <v>77380</v>
      </c>
      <c r="J2949" s="1115" t="s">
        <v>3562</v>
      </c>
    </row>
    <row r="2950" customFormat="false" ht="14.1" hidden="false" customHeight="true" outlineLevel="0" collapsed="false">
      <c r="A2950" s="1115" t="n">
        <v>77370</v>
      </c>
      <c r="B2950" s="1115" t="s">
        <v>166</v>
      </c>
      <c r="C2950" s="1115" t="n">
        <v>77370</v>
      </c>
      <c r="D2950" s="1115" t="s">
        <v>3041</v>
      </c>
      <c r="E2950" s="1115" t="s">
        <v>1280</v>
      </c>
      <c r="F2950" s="1115" t="n">
        <v>4920</v>
      </c>
      <c r="G2950" s="1115" t="n">
        <v>79290</v>
      </c>
      <c r="H2950" s="1115" t="s">
        <v>2973</v>
      </c>
      <c r="I2950" s="1115" t="n">
        <v>77390</v>
      </c>
      <c r="J2950" s="1115" t="s">
        <v>3562</v>
      </c>
    </row>
    <row r="2951" customFormat="false" ht="14.1" hidden="false" customHeight="true" outlineLevel="0" collapsed="false">
      <c r="A2951" s="1115" t="n">
        <v>77380</v>
      </c>
      <c r="B2951" s="1115" t="s">
        <v>166</v>
      </c>
      <c r="C2951" s="1115" t="n">
        <v>77380</v>
      </c>
      <c r="D2951" s="1115" t="s">
        <v>2232</v>
      </c>
      <c r="E2951" s="1115" t="s">
        <v>3786</v>
      </c>
      <c r="F2951" s="1115" t="n">
        <v>88260</v>
      </c>
      <c r="G2951" s="1115" t="n">
        <v>79330</v>
      </c>
      <c r="H2951" s="1115" t="s">
        <v>3380</v>
      </c>
      <c r="I2951" s="1115" t="n">
        <v>77420</v>
      </c>
      <c r="J2951" s="1115" t="s">
        <v>3562</v>
      </c>
    </row>
    <row r="2952" customFormat="false" ht="14.1" hidden="false" customHeight="true" outlineLevel="0" collapsed="false">
      <c r="A2952" s="1115" t="n">
        <v>77390</v>
      </c>
      <c r="B2952" s="1115" t="s">
        <v>166</v>
      </c>
      <c r="C2952" s="1115" t="n">
        <v>77390</v>
      </c>
      <c r="D2952" s="1115" t="s">
        <v>3669</v>
      </c>
      <c r="E2952" s="1115" t="s">
        <v>3339</v>
      </c>
      <c r="F2952" s="1115" t="n">
        <v>59520</v>
      </c>
      <c r="G2952" s="1115" t="n">
        <v>79340</v>
      </c>
      <c r="H2952" s="1115" t="s">
        <v>1814</v>
      </c>
      <c r="I2952" s="1115" t="n">
        <v>77430</v>
      </c>
      <c r="J2952" s="1115" t="s">
        <v>3562</v>
      </c>
    </row>
    <row r="2953" customFormat="false" ht="14.1" hidden="false" customHeight="true" outlineLevel="0" collapsed="false">
      <c r="A2953" s="1115" t="n">
        <v>77420</v>
      </c>
      <c r="B2953" s="1115" t="s">
        <v>166</v>
      </c>
      <c r="C2953" s="1115" t="n">
        <v>77420</v>
      </c>
      <c r="D2953" s="1115" t="s">
        <v>3754</v>
      </c>
      <c r="E2953" s="1115" t="s">
        <v>3787</v>
      </c>
      <c r="F2953" s="1115" t="n">
        <v>97680</v>
      </c>
      <c r="G2953" s="1115" t="n">
        <v>79350</v>
      </c>
      <c r="H2953" s="1115" t="s">
        <v>1971</v>
      </c>
      <c r="I2953" s="1115" t="n">
        <v>77450</v>
      </c>
      <c r="J2953" s="1115" t="s">
        <v>3562</v>
      </c>
    </row>
    <row r="2954" customFormat="false" ht="14.1" hidden="false" customHeight="true" outlineLevel="0" collapsed="false">
      <c r="A2954" s="1115" t="n">
        <v>77430</v>
      </c>
      <c r="B2954" s="1115" t="s">
        <v>166</v>
      </c>
      <c r="C2954" s="1115" t="n">
        <v>77430</v>
      </c>
      <c r="D2954" s="1115" t="s">
        <v>3760</v>
      </c>
      <c r="E2954" s="1115" t="s">
        <v>3788</v>
      </c>
      <c r="F2954" s="1115" t="n">
        <v>97760</v>
      </c>
      <c r="G2954" s="1115" t="n">
        <v>79410</v>
      </c>
      <c r="H2954" s="1115" t="s">
        <v>3324</v>
      </c>
      <c r="I2954" s="1115" t="n">
        <v>77460</v>
      </c>
      <c r="J2954" s="1115" t="s">
        <v>911</v>
      </c>
    </row>
    <row r="2955" customFormat="false" ht="14.1" hidden="false" customHeight="true" outlineLevel="0" collapsed="false">
      <c r="A2955" s="1115" t="n">
        <v>77450</v>
      </c>
      <c r="B2955" s="1115" t="s">
        <v>166</v>
      </c>
      <c r="C2955" s="1115" t="n">
        <v>77450</v>
      </c>
      <c r="D2955" s="1115" t="s">
        <v>3514</v>
      </c>
      <c r="E2955" s="1115" t="s">
        <v>1467</v>
      </c>
      <c r="F2955" s="1115" t="n">
        <v>43100</v>
      </c>
      <c r="G2955" s="1115" t="n">
        <v>79480</v>
      </c>
      <c r="H2955" s="1115" t="s">
        <v>2218</v>
      </c>
      <c r="I2955" s="1115" t="n">
        <v>77480</v>
      </c>
      <c r="J2955" s="1115" t="s">
        <v>911</v>
      </c>
    </row>
    <row r="2956" customFormat="false" ht="14.1" hidden="false" customHeight="true" outlineLevel="0" collapsed="false">
      <c r="A2956" s="1115" t="n">
        <v>77460</v>
      </c>
      <c r="B2956" s="1115" t="s">
        <v>166</v>
      </c>
      <c r="C2956" s="1115" t="n">
        <v>77460</v>
      </c>
      <c r="D2956" s="1115" t="s">
        <v>3108</v>
      </c>
      <c r="E2956" s="1115" t="s">
        <v>3789</v>
      </c>
      <c r="F2956" s="1115" t="n">
        <v>95920</v>
      </c>
      <c r="G2956" s="1115" t="n">
        <v>79510</v>
      </c>
      <c r="H2956" s="1115" t="s">
        <v>2729</v>
      </c>
      <c r="I2956" s="1115" t="n">
        <v>77520</v>
      </c>
      <c r="J2956" s="1115" t="s">
        <v>911</v>
      </c>
    </row>
    <row r="2957" customFormat="false" ht="14.1" hidden="false" customHeight="true" outlineLevel="0" collapsed="false">
      <c r="A2957" s="1115" t="n">
        <v>77480</v>
      </c>
      <c r="B2957" s="1115" t="s">
        <v>166</v>
      </c>
      <c r="C2957" s="1115" t="n">
        <v>77480</v>
      </c>
      <c r="D2957" s="1115" t="s">
        <v>3761</v>
      </c>
      <c r="E2957" s="1115" t="s">
        <v>2901</v>
      </c>
      <c r="F2957" s="1115" t="n">
        <v>44270</v>
      </c>
      <c r="G2957" s="1115" t="n">
        <v>79520</v>
      </c>
      <c r="H2957" s="1115" t="s">
        <v>3790</v>
      </c>
      <c r="I2957" s="1115" t="n">
        <v>77540</v>
      </c>
      <c r="J2957" s="1115" t="s">
        <v>911</v>
      </c>
    </row>
    <row r="2958" customFormat="false" ht="14.1" hidden="false" customHeight="true" outlineLevel="0" collapsed="false">
      <c r="A2958" s="1115" t="n">
        <v>77520</v>
      </c>
      <c r="B2958" s="1115" t="s">
        <v>166</v>
      </c>
      <c r="C2958" s="1115" t="n">
        <v>77520</v>
      </c>
      <c r="D2958" s="1115" t="s">
        <v>1267</v>
      </c>
      <c r="E2958" s="1115" t="s">
        <v>3791</v>
      </c>
      <c r="F2958" s="1115" t="n">
        <v>92440</v>
      </c>
      <c r="G2958" s="1115" t="n">
        <v>79530</v>
      </c>
      <c r="H2958" s="1115" t="s">
        <v>1679</v>
      </c>
      <c r="I2958" s="1115" t="n">
        <v>77550</v>
      </c>
      <c r="J2958" s="1115" t="s">
        <v>911</v>
      </c>
    </row>
    <row r="2959" customFormat="false" ht="14.1" hidden="false" customHeight="true" outlineLevel="0" collapsed="false">
      <c r="A2959" s="1115" t="n">
        <v>77540</v>
      </c>
      <c r="B2959" s="1115" t="s">
        <v>166</v>
      </c>
      <c r="C2959" s="1115" t="n">
        <v>77540</v>
      </c>
      <c r="D2959" s="1115" t="s">
        <v>2609</v>
      </c>
      <c r="E2959" s="1115" t="s">
        <v>2778</v>
      </c>
      <c r="F2959" s="1115" t="n">
        <v>41470</v>
      </c>
      <c r="G2959" s="1115" t="n">
        <v>79600</v>
      </c>
      <c r="H2959" s="1115" t="s">
        <v>911</v>
      </c>
      <c r="I2959" s="1115" t="n">
        <v>77570</v>
      </c>
      <c r="J2959" s="1115" t="s">
        <v>911</v>
      </c>
    </row>
    <row r="2960" customFormat="false" ht="14.1" hidden="false" customHeight="true" outlineLevel="0" collapsed="false">
      <c r="A2960" s="1115" t="n">
        <v>77550</v>
      </c>
      <c r="B2960" s="1115" t="s">
        <v>166</v>
      </c>
      <c r="C2960" s="1115" t="n">
        <v>77550</v>
      </c>
      <c r="D2960" s="1115" t="s">
        <v>1682</v>
      </c>
      <c r="E2960" s="1115" t="s">
        <v>3792</v>
      </c>
      <c r="F2960" s="1115" t="n">
        <v>82780</v>
      </c>
      <c r="G2960" s="1115" t="n">
        <v>79620</v>
      </c>
      <c r="H2960" s="1115" t="s">
        <v>1836</v>
      </c>
      <c r="I2960" s="1115" t="n">
        <v>77580</v>
      </c>
      <c r="J2960" s="1115" t="s">
        <v>911</v>
      </c>
    </row>
    <row r="2961" customFormat="false" ht="14.1" hidden="false" customHeight="true" outlineLevel="0" collapsed="false">
      <c r="A2961" s="1115" t="n">
        <v>77570</v>
      </c>
      <c r="B2961" s="1115" t="s">
        <v>166</v>
      </c>
      <c r="C2961" s="1115" t="n">
        <v>77570</v>
      </c>
      <c r="D2961" s="1115" t="s">
        <v>2109</v>
      </c>
      <c r="E2961" s="1115" t="s">
        <v>3682</v>
      </c>
      <c r="F2961" s="1115" t="n">
        <v>72490</v>
      </c>
      <c r="G2961" s="1115" t="n">
        <v>79630</v>
      </c>
      <c r="H2961" s="1115" t="s">
        <v>2526</v>
      </c>
      <c r="I2961" s="1115" t="n">
        <v>77600</v>
      </c>
      <c r="J2961" s="1115" t="s">
        <v>1534</v>
      </c>
    </row>
    <row r="2962" customFormat="false" ht="14.1" hidden="false" customHeight="true" outlineLevel="0" collapsed="false">
      <c r="A2962" s="1115" t="n">
        <v>77580</v>
      </c>
      <c r="B2962" s="1115" t="s">
        <v>166</v>
      </c>
      <c r="C2962" s="1115" t="n">
        <v>77580</v>
      </c>
      <c r="D2962" s="1115" t="s">
        <v>3766</v>
      </c>
      <c r="E2962" s="1115" t="s">
        <v>2295</v>
      </c>
      <c r="F2962" s="1115" t="n">
        <v>29890</v>
      </c>
      <c r="G2962" s="1115" t="n">
        <v>79650</v>
      </c>
      <c r="H2962" s="1115" t="s">
        <v>2381</v>
      </c>
      <c r="I2962" s="1115" t="n">
        <v>77630</v>
      </c>
      <c r="J2962" s="1115" t="s">
        <v>1534</v>
      </c>
    </row>
    <row r="2963" customFormat="false" ht="14.1" hidden="false" customHeight="true" outlineLevel="0" collapsed="false">
      <c r="A2963" s="1115" t="n">
        <v>77600</v>
      </c>
      <c r="B2963" s="1115" t="s">
        <v>166</v>
      </c>
      <c r="C2963" s="1115" t="n">
        <v>77600</v>
      </c>
      <c r="D2963" s="1115" t="s">
        <v>1534</v>
      </c>
      <c r="E2963" s="1115" t="s">
        <v>3793</v>
      </c>
      <c r="F2963" s="1115" t="n">
        <v>82620</v>
      </c>
      <c r="G2963" s="1115" t="n">
        <v>79660</v>
      </c>
      <c r="H2963" s="1115" t="s">
        <v>2379</v>
      </c>
      <c r="I2963" s="1115" t="n">
        <v>77690</v>
      </c>
      <c r="J2963" s="1115" t="s">
        <v>1534</v>
      </c>
    </row>
    <row r="2964" customFormat="false" ht="14.1" hidden="false" customHeight="true" outlineLevel="0" collapsed="false">
      <c r="A2964" s="1115" t="n">
        <v>77630</v>
      </c>
      <c r="B2964" s="1115" t="s">
        <v>166</v>
      </c>
      <c r="C2964" s="1115" t="n">
        <v>77630</v>
      </c>
      <c r="D2964" s="1115" t="s">
        <v>2950</v>
      </c>
      <c r="E2964" s="1115" t="s">
        <v>3794</v>
      </c>
      <c r="F2964" s="1115" t="n">
        <v>99830</v>
      </c>
      <c r="G2964" s="1115" t="n">
        <v>79680</v>
      </c>
      <c r="H2964" s="1115" t="s">
        <v>2849</v>
      </c>
      <c r="I2964" s="1115" t="n">
        <v>77700</v>
      </c>
      <c r="J2964" s="1115" t="s">
        <v>1424</v>
      </c>
    </row>
    <row r="2965" customFormat="false" ht="14.1" hidden="false" customHeight="true" outlineLevel="0" collapsed="false">
      <c r="A2965" s="1115" t="n">
        <v>77690</v>
      </c>
      <c r="B2965" s="1115" t="s">
        <v>166</v>
      </c>
      <c r="C2965" s="1115" t="n">
        <v>77690</v>
      </c>
      <c r="D2965" s="1115" t="s">
        <v>3768</v>
      </c>
      <c r="E2965" s="1115" t="s">
        <v>3795</v>
      </c>
      <c r="F2965" s="1115" t="n">
        <v>83840</v>
      </c>
      <c r="G2965" s="1115" t="n">
        <v>79690</v>
      </c>
      <c r="H2965" s="1115" t="s">
        <v>2155</v>
      </c>
      <c r="I2965" s="1115" t="n">
        <v>77760</v>
      </c>
      <c r="J2965" s="1115" t="s">
        <v>1424</v>
      </c>
    </row>
    <row r="2966" customFormat="false" ht="14.1" hidden="false" customHeight="true" outlineLevel="0" collapsed="false">
      <c r="A2966" s="1115" t="n">
        <v>77700</v>
      </c>
      <c r="B2966" s="1115" t="s">
        <v>166</v>
      </c>
      <c r="C2966" s="1115" t="n">
        <v>77700</v>
      </c>
      <c r="D2966" s="1115" t="s">
        <v>1424</v>
      </c>
      <c r="E2966" s="1115" t="s">
        <v>2380</v>
      </c>
      <c r="F2966" s="1115" t="n">
        <v>31950</v>
      </c>
      <c r="G2966" s="1115" t="n">
        <v>79700</v>
      </c>
      <c r="H2966" s="1115" t="s">
        <v>845</v>
      </c>
      <c r="I2966" s="1115" t="n">
        <v>77770</v>
      </c>
      <c r="J2966" s="1115" t="s">
        <v>1424</v>
      </c>
    </row>
    <row r="2967" customFormat="false" ht="14.1" hidden="false" customHeight="true" outlineLevel="0" collapsed="false">
      <c r="A2967" s="1115" t="n">
        <v>77760</v>
      </c>
      <c r="B2967" s="1115" t="s">
        <v>166</v>
      </c>
      <c r="C2967" s="1115" t="n">
        <v>77760</v>
      </c>
      <c r="D2967" s="1115" t="s">
        <v>3770</v>
      </c>
      <c r="E2967" s="1115" t="s">
        <v>1272</v>
      </c>
      <c r="F2967" s="1115" t="n">
        <v>4770</v>
      </c>
      <c r="G2967" s="1115" t="n">
        <v>79710</v>
      </c>
      <c r="H2967" s="1115" t="s">
        <v>845</v>
      </c>
      <c r="I2967" s="1115" t="n">
        <v>77800</v>
      </c>
      <c r="J2967" s="1115" t="s">
        <v>1424</v>
      </c>
    </row>
    <row r="2968" customFormat="false" ht="14.1" hidden="false" customHeight="true" outlineLevel="0" collapsed="false">
      <c r="A2968" s="1115" t="n">
        <v>77770</v>
      </c>
      <c r="B2968" s="1115" t="s">
        <v>166</v>
      </c>
      <c r="C2968" s="1115" t="n">
        <v>77770</v>
      </c>
      <c r="D2968" s="1115" t="s">
        <v>3245</v>
      </c>
      <c r="E2968" s="1115" t="s">
        <v>2559</v>
      </c>
      <c r="F2968" s="1115" t="n">
        <v>36420</v>
      </c>
      <c r="G2968" s="1115" t="n">
        <v>79720</v>
      </c>
      <c r="H2968" s="1115" t="s">
        <v>3796</v>
      </c>
      <c r="I2968" s="1115" t="n">
        <v>77910</v>
      </c>
      <c r="J2968" s="1115" t="s">
        <v>1424</v>
      </c>
    </row>
    <row r="2969" customFormat="false" ht="14.1" hidden="false" customHeight="true" outlineLevel="0" collapsed="false">
      <c r="A2969" s="1115" t="n">
        <v>77800</v>
      </c>
      <c r="B2969" s="1115" t="s">
        <v>166</v>
      </c>
      <c r="C2969" s="1115" t="n">
        <v>77800</v>
      </c>
      <c r="D2969" s="1115" t="s">
        <v>1913</v>
      </c>
      <c r="E2969" s="1115" t="s">
        <v>3435</v>
      </c>
      <c r="F2969" s="1115" t="n">
        <v>62860</v>
      </c>
      <c r="G2969" s="1115" t="n">
        <v>79750</v>
      </c>
      <c r="H2969" s="1115" t="s">
        <v>2488</v>
      </c>
      <c r="I2969" s="1115" t="n">
        <v>77930</v>
      </c>
      <c r="J2969" s="1115" t="s">
        <v>1424</v>
      </c>
    </row>
    <row r="2970" customFormat="false" ht="14.1" hidden="false" customHeight="true" outlineLevel="0" collapsed="false">
      <c r="A2970" s="1115" t="n">
        <v>77910</v>
      </c>
      <c r="B2970" s="1115" t="s">
        <v>166</v>
      </c>
      <c r="C2970" s="1115" t="n">
        <v>77910</v>
      </c>
      <c r="D2970" s="1115" t="s">
        <v>3773</v>
      </c>
      <c r="E2970" s="1115" t="s">
        <v>3435</v>
      </c>
      <c r="F2970" s="1115" t="n">
        <v>62860</v>
      </c>
      <c r="G2970" s="1115" t="n">
        <v>79770</v>
      </c>
      <c r="H2970" s="1115" t="s">
        <v>3753</v>
      </c>
      <c r="I2970" s="1115" t="n">
        <v>77960</v>
      </c>
      <c r="J2970" s="1115" t="s">
        <v>1424</v>
      </c>
    </row>
    <row r="2971" customFormat="false" ht="14.1" hidden="false" customHeight="true" outlineLevel="0" collapsed="false">
      <c r="A2971" s="1115" t="n">
        <v>77930</v>
      </c>
      <c r="B2971" s="1115" t="s">
        <v>166</v>
      </c>
      <c r="C2971" s="1115" t="n">
        <v>77930</v>
      </c>
      <c r="D2971" s="1115" t="s">
        <v>2383</v>
      </c>
      <c r="E2971" s="1115" t="s">
        <v>2833</v>
      </c>
      <c r="F2971" s="1115" t="n">
        <v>42660</v>
      </c>
      <c r="G2971" s="1115" t="n">
        <v>79810</v>
      </c>
      <c r="H2971" s="1115" t="s">
        <v>2288</v>
      </c>
      <c r="I2971" s="1115" t="n">
        <v>78100</v>
      </c>
      <c r="J2971" s="1115" t="s">
        <v>1602</v>
      </c>
    </row>
    <row r="2972" customFormat="false" ht="14.1" hidden="false" customHeight="true" outlineLevel="0" collapsed="false">
      <c r="A2972" s="1115" t="n">
        <v>77960</v>
      </c>
      <c r="B2972" s="1115" t="s">
        <v>166</v>
      </c>
      <c r="C2972" s="1115" t="n">
        <v>77960</v>
      </c>
      <c r="D2972" s="1115" t="s">
        <v>3466</v>
      </c>
      <c r="E2972" s="1115" t="s">
        <v>3797</v>
      </c>
      <c r="F2972" s="1115" t="n">
        <v>98950</v>
      </c>
      <c r="G2972" s="1115" t="n">
        <v>79820</v>
      </c>
      <c r="H2972" s="1115" t="s">
        <v>3798</v>
      </c>
      <c r="I2972" s="1115" t="n">
        <v>78200</v>
      </c>
      <c r="J2972" s="1115" t="s">
        <v>1602</v>
      </c>
    </row>
    <row r="2973" customFormat="false" ht="14.1" hidden="false" customHeight="true" outlineLevel="0" collapsed="false">
      <c r="A2973" s="1115" t="n">
        <v>78100</v>
      </c>
      <c r="B2973" s="1115" t="s">
        <v>166</v>
      </c>
      <c r="C2973" s="1115" t="n">
        <v>78100</v>
      </c>
      <c r="D2973" s="1115" t="s">
        <v>1602</v>
      </c>
      <c r="E2973" s="1115" t="s">
        <v>3210</v>
      </c>
      <c r="F2973" s="1115" t="n">
        <v>54915</v>
      </c>
      <c r="G2973" s="1115" t="n">
        <v>79830</v>
      </c>
      <c r="H2973" s="1115" t="s">
        <v>3477</v>
      </c>
      <c r="I2973" s="1115" t="n">
        <v>78210</v>
      </c>
      <c r="J2973" s="1115" t="s">
        <v>1602</v>
      </c>
    </row>
    <row r="2974" customFormat="false" ht="14.1" hidden="false" customHeight="true" outlineLevel="0" collapsed="false">
      <c r="A2974" s="1115" t="n">
        <v>78200</v>
      </c>
      <c r="B2974" s="1115" t="s">
        <v>166</v>
      </c>
      <c r="C2974" s="1115" t="n">
        <v>78200</v>
      </c>
      <c r="D2974" s="1115" t="s">
        <v>1602</v>
      </c>
      <c r="E2974" s="1115" t="s">
        <v>3217</v>
      </c>
      <c r="F2974" s="1115" t="n">
        <v>54980</v>
      </c>
      <c r="G2974" s="1115" t="n">
        <v>79850</v>
      </c>
      <c r="H2974" s="1115" t="s">
        <v>3799</v>
      </c>
      <c r="I2974" s="1115" t="n">
        <v>78300</v>
      </c>
      <c r="J2974" s="1115" t="s">
        <v>1602</v>
      </c>
    </row>
    <row r="2975" customFormat="false" ht="14.1" hidden="false" customHeight="true" outlineLevel="0" collapsed="false">
      <c r="A2975" s="1115" t="n">
        <v>78210</v>
      </c>
      <c r="B2975" s="1115" t="s">
        <v>166</v>
      </c>
      <c r="C2975" s="1115" t="n">
        <v>78210</v>
      </c>
      <c r="D2975" s="1115" t="s">
        <v>1602</v>
      </c>
      <c r="E2975" s="1115" t="s">
        <v>2949</v>
      </c>
      <c r="F2975" s="1115" t="n">
        <v>45750</v>
      </c>
      <c r="G2975" s="1115" t="n">
        <v>79860</v>
      </c>
      <c r="H2975" s="1115" t="s">
        <v>3800</v>
      </c>
      <c r="I2975" s="1115" t="n">
        <v>78310</v>
      </c>
      <c r="J2975" s="1115" t="s">
        <v>1602</v>
      </c>
    </row>
    <row r="2976" customFormat="false" ht="14.1" hidden="false" customHeight="true" outlineLevel="0" collapsed="false">
      <c r="A2976" s="1115" t="n">
        <v>78300</v>
      </c>
      <c r="B2976" s="1115" t="s">
        <v>166</v>
      </c>
      <c r="C2976" s="1115" t="n">
        <v>78300</v>
      </c>
      <c r="D2976" s="1115" t="s">
        <v>1602</v>
      </c>
      <c r="E2976" s="1115" t="s">
        <v>1765</v>
      </c>
      <c r="F2976" s="1115" t="n">
        <v>16740</v>
      </c>
      <c r="G2976" s="1115" t="n">
        <v>79870</v>
      </c>
      <c r="H2976" s="1115" t="s">
        <v>2045</v>
      </c>
      <c r="I2976" s="1115" t="n">
        <v>78400</v>
      </c>
      <c r="J2976" s="1115" t="s">
        <v>1602</v>
      </c>
    </row>
    <row r="2977" customFormat="false" ht="14.1" hidden="false" customHeight="true" outlineLevel="0" collapsed="false">
      <c r="A2977" s="1115" t="n">
        <v>78310</v>
      </c>
      <c r="B2977" s="1115" t="s">
        <v>166</v>
      </c>
      <c r="C2977" s="1115" t="n">
        <v>78310</v>
      </c>
      <c r="D2977" s="1115" t="s">
        <v>1602</v>
      </c>
      <c r="E2977" s="1115" t="s">
        <v>1667</v>
      </c>
      <c r="F2977" s="1115" t="n">
        <v>14840</v>
      </c>
      <c r="G2977" s="1115" t="n">
        <v>79880</v>
      </c>
      <c r="H2977" s="1115" t="s">
        <v>2959</v>
      </c>
      <c r="I2977" s="1115" t="n">
        <v>78480</v>
      </c>
      <c r="J2977" s="1115" t="s">
        <v>1602</v>
      </c>
    </row>
    <row r="2978" customFormat="false" ht="14.1" hidden="false" customHeight="true" outlineLevel="0" collapsed="false">
      <c r="A2978" s="1115" t="n">
        <v>78400</v>
      </c>
      <c r="B2978" s="1115" t="s">
        <v>166</v>
      </c>
      <c r="C2978" s="1115" t="n">
        <v>78400</v>
      </c>
      <c r="D2978" s="1115" t="s">
        <v>1602</v>
      </c>
      <c r="E2978" s="1115" t="s">
        <v>1611</v>
      </c>
      <c r="F2978" s="1115" t="n">
        <v>12630</v>
      </c>
      <c r="G2978" s="1115" t="n">
        <v>79885</v>
      </c>
      <c r="H2978" s="1115" t="s">
        <v>1175</v>
      </c>
      <c r="I2978" s="1115" t="n">
        <v>78500</v>
      </c>
      <c r="J2978" s="1115" t="s">
        <v>1602</v>
      </c>
    </row>
    <row r="2979" customFormat="false" ht="14.1" hidden="false" customHeight="true" outlineLevel="0" collapsed="false">
      <c r="A2979" s="1115" t="n">
        <v>78480</v>
      </c>
      <c r="B2979" s="1115" t="s">
        <v>166</v>
      </c>
      <c r="C2979" s="1115" t="n">
        <v>78480</v>
      </c>
      <c r="D2979" s="1115" t="s">
        <v>3778</v>
      </c>
      <c r="E2979" s="1115" t="s">
        <v>3801</v>
      </c>
      <c r="F2979" s="1115" t="n">
        <v>89440</v>
      </c>
      <c r="G2979" s="1115" t="n">
        <v>79895</v>
      </c>
      <c r="H2979" s="1115" t="s">
        <v>3802</v>
      </c>
      <c r="I2979" s="1115" t="n">
        <v>78610</v>
      </c>
      <c r="J2979" s="1115" t="s">
        <v>1602</v>
      </c>
    </row>
    <row r="2980" customFormat="false" ht="14.1" hidden="false" customHeight="true" outlineLevel="0" collapsed="false">
      <c r="A2980" s="1115" t="n">
        <v>78500</v>
      </c>
      <c r="B2980" s="1115" t="s">
        <v>166</v>
      </c>
      <c r="C2980" s="1115" t="n">
        <v>78500</v>
      </c>
      <c r="D2980" s="1115" t="s">
        <v>1602</v>
      </c>
      <c r="E2980" s="1115" t="s">
        <v>3081</v>
      </c>
      <c r="F2980" s="1115" t="n">
        <v>51610</v>
      </c>
      <c r="G2980" s="1115" t="n">
        <v>79910</v>
      </c>
      <c r="H2980" s="1115" t="s">
        <v>2384</v>
      </c>
      <c r="I2980" s="1115" t="n">
        <v>78710</v>
      </c>
      <c r="J2980" s="1115" t="s">
        <v>1602</v>
      </c>
    </row>
    <row r="2981" customFormat="false" ht="14.1" hidden="false" customHeight="true" outlineLevel="0" collapsed="false">
      <c r="A2981" s="1115" t="n">
        <v>78610</v>
      </c>
      <c r="B2981" s="1115" t="s">
        <v>166</v>
      </c>
      <c r="C2981" s="1115" t="n">
        <v>78610</v>
      </c>
      <c r="D2981" s="1115" t="s">
        <v>1602</v>
      </c>
      <c r="E2981" s="1115" t="s">
        <v>3720</v>
      </c>
      <c r="F2981" s="1115" t="n">
        <v>74230</v>
      </c>
      <c r="G2981" s="1115" t="n">
        <v>79940</v>
      </c>
      <c r="H2981" s="1115" t="s">
        <v>3803</v>
      </c>
      <c r="I2981" s="1115" t="n">
        <v>78800</v>
      </c>
      <c r="J2981" s="1115" t="s">
        <v>1602</v>
      </c>
    </row>
    <row r="2982" customFormat="false" ht="14.1" hidden="false" customHeight="true" outlineLevel="0" collapsed="false">
      <c r="A2982" s="1115" t="n">
        <v>78710</v>
      </c>
      <c r="B2982" s="1115" t="s">
        <v>166</v>
      </c>
      <c r="C2982" s="1115" t="n">
        <v>78710</v>
      </c>
      <c r="D2982" s="1115" t="s">
        <v>1602</v>
      </c>
      <c r="E2982" s="1115" t="s">
        <v>1870</v>
      </c>
      <c r="F2982" s="1115" t="n">
        <v>19520</v>
      </c>
      <c r="G2982" s="1115" t="n">
        <v>79970</v>
      </c>
      <c r="H2982" s="1115" t="s">
        <v>3600</v>
      </c>
      <c r="I2982" s="1115" t="n">
        <v>78850</v>
      </c>
      <c r="J2982" s="1115" t="s">
        <v>1602</v>
      </c>
    </row>
    <row r="2983" customFormat="false" ht="14.1" hidden="false" customHeight="true" outlineLevel="0" collapsed="false">
      <c r="A2983" s="1115" t="n">
        <v>78800</v>
      </c>
      <c r="B2983" s="1115" t="s">
        <v>166</v>
      </c>
      <c r="C2983" s="1115" t="n">
        <v>78800</v>
      </c>
      <c r="D2983" s="1115" t="s">
        <v>1602</v>
      </c>
      <c r="E2983" s="1115" t="s">
        <v>3632</v>
      </c>
      <c r="F2983" s="1115" t="n">
        <v>69970</v>
      </c>
      <c r="G2983" s="1115" t="n">
        <v>80007</v>
      </c>
      <c r="H2983" s="1115" t="s">
        <v>167</v>
      </c>
      <c r="I2983" s="1115" t="n">
        <v>78880</v>
      </c>
      <c r="J2983" s="1115" t="s">
        <v>1602</v>
      </c>
    </row>
    <row r="2984" customFormat="false" ht="14.1" hidden="false" customHeight="true" outlineLevel="0" collapsed="false">
      <c r="A2984" s="1115" t="n">
        <v>78850</v>
      </c>
      <c r="B2984" s="1115" t="s">
        <v>166</v>
      </c>
      <c r="C2984" s="1115" t="n">
        <v>78850</v>
      </c>
      <c r="D2984" s="1115" t="s">
        <v>1602</v>
      </c>
      <c r="E2984" s="1115" t="s">
        <v>1469</v>
      </c>
      <c r="F2984" s="1115" t="n">
        <v>98900</v>
      </c>
      <c r="G2984" s="1115" t="n">
        <v>80100</v>
      </c>
      <c r="H2984" s="1115" t="s">
        <v>167</v>
      </c>
      <c r="I2984" s="1115" t="n">
        <v>78900</v>
      </c>
      <c r="J2984" s="1115" t="s">
        <v>1602</v>
      </c>
    </row>
    <row r="2985" customFormat="false" ht="14.1" hidden="false" customHeight="true" outlineLevel="0" collapsed="false">
      <c r="A2985" s="1115" t="n">
        <v>78880</v>
      </c>
      <c r="B2985" s="1115" t="s">
        <v>166</v>
      </c>
      <c r="C2985" s="1115" t="n">
        <v>78880</v>
      </c>
      <c r="D2985" s="1115" t="s">
        <v>2766</v>
      </c>
      <c r="E2985" s="1115" t="s">
        <v>3804</v>
      </c>
      <c r="F2985" s="1115" t="n">
        <v>93520</v>
      </c>
      <c r="G2985" s="1115" t="n">
        <v>80110</v>
      </c>
      <c r="H2985" s="1115" t="s">
        <v>167</v>
      </c>
      <c r="I2985" s="1115" t="n">
        <v>79100</v>
      </c>
      <c r="J2985" s="1115" t="s">
        <v>1602</v>
      </c>
    </row>
    <row r="2986" customFormat="false" ht="14.1" hidden="false" customHeight="true" outlineLevel="0" collapsed="false">
      <c r="A2986" s="1115" t="n">
        <v>78900</v>
      </c>
      <c r="B2986" s="1115" t="s">
        <v>166</v>
      </c>
      <c r="C2986" s="1115" t="n">
        <v>78900</v>
      </c>
      <c r="D2986" s="1115" t="s">
        <v>1602</v>
      </c>
      <c r="E2986" s="1115" t="s">
        <v>2562</v>
      </c>
      <c r="F2986" s="1115" t="n">
        <v>36450</v>
      </c>
      <c r="G2986" s="1115" t="n">
        <v>80120</v>
      </c>
      <c r="H2986" s="1115" t="s">
        <v>167</v>
      </c>
      <c r="I2986" s="1115" t="n">
        <v>79130</v>
      </c>
      <c r="J2986" s="1115" t="s">
        <v>1602</v>
      </c>
    </row>
    <row r="2987" customFormat="false" ht="14.1" hidden="false" customHeight="true" outlineLevel="0" collapsed="false">
      <c r="A2987" s="1115" t="n">
        <v>79100</v>
      </c>
      <c r="B2987" s="1115" t="s">
        <v>166</v>
      </c>
      <c r="C2987" s="1115" t="n">
        <v>79100</v>
      </c>
      <c r="D2987" s="1115" t="s">
        <v>1165</v>
      </c>
      <c r="E2987" s="1115" t="s">
        <v>3448</v>
      </c>
      <c r="F2987" s="1115" t="n">
        <v>63160</v>
      </c>
      <c r="G2987" s="1115" t="n">
        <v>80130</v>
      </c>
      <c r="H2987" s="1115" t="s">
        <v>167</v>
      </c>
      <c r="I2987" s="1115" t="n">
        <v>79140</v>
      </c>
      <c r="J2987" s="1115" t="s">
        <v>1602</v>
      </c>
    </row>
    <row r="2988" customFormat="false" ht="14.1" hidden="false" customHeight="true" outlineLevel="0" collapsed="false">
      <c r="A2988" s="1115" t="n">
        <v>79130</v>
      </c>
      <c r="B2988" s="1115" t="s">
        <v>166</v>
      </c>
      <c r="C2988" s="1115" t="n">
        <v>79130</v>
      </c>
      <c r="D2988" s="1115" t="s">
        <v>3780</v>
      </c>
      <c r="E2988" s="1115" t="s">
        <v>3448</v>
      </c>
      <c r="F2988" s="1115" t="n">
        <v>63160</v>
      </c>
      <c r="G2988" s="1115" t="n">
        <v>80150</v>
      </c>
      <c r="H2988" s="1115" t="s">
        <v>167</v>
      </c>
      <c r="I2988" s="1115" t="n">
        <v>79150</v>
      </c>
      <c r="J2988" s="1115" t="s">
        <v>1602</v>
      </c>
    </row>
    <row r="2989" customFormat="false" ht="14.1" hidden="false" customHeight="true" outlineLevel="0" collapsed="false">
      <c r="A2989" s="1115" t="n">
        <v>79140</v>
      </c>
      <c r="B2989" s="1115" t="s">
        <v>166</v>
      </c>
      <c r="C2989" s="1115" t="n">
        <v>79140</v>
      </c>
      <c r="D2989" s="1115" t="s">
        <v>2607</v>
      </c>
      <c r="E2989" s="1115" t="s">
        <v>3448</v>
      </c>
      <c r="F2989" s="1115" t="n">
        <v>63160</v>
      </c>
      <c r="G2989" s="1115" t="n">
        <v>80200</v>
      </c>
      <c r="H2989" s="1115" t="s">
        <v>167</v>
      </c>
      <c r="I2989" s="1115" t="n">
        <v>79160</v>
      </c>
      <c r="J2989" s="1115" t="s">
        <v>1602</v>
      </c>
    </row>
    <row r="2990" customFormat="false" ht="14.1" hidden="false" customHeight="true" outlineLevel="0" collapsed="false">
      <c r="A2990" s="1115" t="n">
        <v>79150</v>
      </c>
      <c r="B2990" s="1115" t="s">
        <v>166</v>
      </c>
      <c r="C2990" s="1115" t="n">
        <v>79150</v>
      </c>
      <c r="D2990" s="1115" t="s">
        <v>2540</v>
      </c>
      <c r="E2990" s="1115" t="s">
        <v>3805</v>
      </c>
      <c r="F2990" s="1115" t="n">
        <v>98660</v>
      </c>
      <c r="G2990" s="1115" t="n">
        <v>80210</v>
      </c>
      <c r="H2990" s="1115" t="s">
        <v>167</v>
      </c>
      <c r="I2990" s="1115" t="n">
        <v>79170</v>
      </c>
      <c r="J2990" s="1115" t="s">
        <v>1602</v>
      </c>
    </row>
    <row r="2991" customFormat="false" ht="14.1" hidden="false" customHeight="true" outlineLevel="0" collapsed="false">
      <c r="A2991" s="1115" t="n">
        <v>79160</v>
      </c>
      <c r="B2991" s="1115" t="s">
        <v>166</v>
      </c>
      <c r="C2991" s="1115" t="n">
        <v>79160</v>
      </c>
      <c r="D2991" s="1115" t="s">
        <v>3782</v>
      </c>
      <c r="E2991" s="1115" t="s">
        <v>1472</v>
      </c>
      <c r="F2991" s="1115" t="n">
        <v>24100</v>
      </c>
      <c r="G2991" s="1115" t="n">
        <v>80220</v>
      </c>
      <c r="H2991" s="1115" t="s">
        <v>167</v>
      </c>
      <c r="I2991" s="1115" t="n">
        <v>79180</v>
      </c>
      <c r="J2991" s="1115" t="s">
        <v>1602</v>
      </c>
    </row>
    <row r="2992" customFormat="false" ht="14.1" hidden="false" customHeight="true" outlineLevel="0" collapsed="false">
      <c r="A2992" s="1115" t="n">
        <v>79170</v>
      </c>
      <c r="B2992" s="1115" t="s">
        <v>166</v>
      </c>
      <c r="C2992" s="1115" t="n">
        <v>79170</v>
      </c>
      <c r="D2992" s="1115" t="s">
        <v>3544</v>
      </c>
      <c r="E2992" s="1115" t="s">
        <v>1472</v>
      </c>
      <c r="F2992" s="1115" t="n">
        <v>24130</v>
      </c>
      <c r="G2992" s="1115" t="n">
        <v>80230</v>
      </c>
      <c r="H2992" s="1115" t="s">
        <v>167</v>
      </c>
      <c r="I2992" s="1115" t="n">
        <v>79190</v>
      </c>
      <c r="J2992" s="1115" t="s">
        <v>1602</v>
      </c>
    </row>
    <row r="2993" customFormat="false" ht="14.1" hidden="false" customHeight="true" outlineLevel="0" collapsed="false">
      <c r="A2993" s="1115" t="n">
        <v>79180</v>
      </c>
      <c r="B2993" s="1115" t="s">
        <v>166</v>
      </c>
      <c r="C2993" s="1115" t="n">
        <v>79180</v>
      </c>
      <c r="D2993" s="1115" t="s">
        <v>3783</v>
      </c>
      <c r="E2993" s="1115" t="s">
        <v>1472</v>
      </c>
      <c r="F2993" s="1115" t="n">
        <v>24240</v>
      </c>
      <c r="G2993" s="1115" t="n">
        <v>80260</v>
      </c>
      <c r="H2993" s="1115" t="s">
        <v>167</v>
      </c>
      <c r="I2993" s="1115" t="n">
        <v>79220</v>
      </c>
      <c r="J2993" s="1115" t="s">
        <v>1602</v>
      </c>
    </row>
    <row r="2994" customFormat="false" ht="14.1" hidden="false" customHeight="true" outlineLevel="0" collapsed="false">
      <c r="A2994" s="1115" t="n">
        <v>79190</v>
      </c>
      <c r="B2994" s="1115" t="s">
        <v>166</v>
      </c>
      <c r="C2994" s="1115" t="n">
        <v>79190</v>
      </c>
      <c r="D2994" s="1115" t="s">
        <v>3784</v>
      </c>
      <c r="E2994" s="1115" t="s">
        <v>1472</v>
      </c>
      <c r="F2994" s="1115" t="n">
        <v>24410</v>
      </c>
      <c r="G2994" s="1115" t="n">
        <v>80330</v>
      </c>
      <c r="H2994" s="1115" t="s">
        <v>3708</v>
      </c>
      <c r="I2994" s="1115" t="n">
        <v>79230</v>
      </c>
      <c r="J2994" s="1115" t="s">
        <v>1602</v>
      </c>
    </row>
    <row r="2995" customFormat="false" ht="14.1" hidden="false" customHeight="true" outlineLevel="0" collapsed="false">
      <c r="A2995" s="1115" t="n">
        <v>79220</v>
      </c>
      <c r="B2995" s="1115" t="s">
        <v>166</v>
      </c>
      <c r="C2995" s="1115" t="n">
        <v>79220</v>
      </c>
      <c r="D2995" s="1115" t="s">
        <v>3233</v>
      </c>
      <c r="E2995" s="1115" t="s">
        <v>3036</v>
      </c>
      <c r="F2995" s="1115" t="n">
        <v>49770</v>
      </c>
      <c r="G2995" s="1115" t="n">
        <v>80400</v>
      </c>
      <c r="H2995" s="1115" t="s">
        <v>3806</v>
      </c>
      <c r="I2995" s="1115" t="n">
        <v>79240</v>
      </c>
      <c r="J2995" s="1115" t="s">
        <v>1602</v>
      </c>
    </row>
    <row r="2996" customFormat="false" ht="14.1" hidden="false" customHeight="true" outlineLevel="0" collapsed="false">
      <c r="A2996" s="1115" t="n">
        <v>79230</v>
      </c>
      <c r="B2996" s="1115" t="s">
        <v>166</v>
      </c>
      <c r="C2996" s="1115" t="n">
        <v>79230</v>
      </c>
      <c r="D2996" s="1115" t="s">
        <v>3209</v>
      </c>
      <c r="E2996" s="1115" t="s">
        <v>3807</v>
      </c>
      <c r="F2996" s="1115" t="n">
        <v>92160</v>
      </c>
      <c r="G2996" s="1115" t="n">
        <v>80410</v>
      </c>
      <c r="H2996" s="1115" t="s">
        <v>2083</v>
      </c>
      <c r="I2996" s="1115" t="n">
        <v>79255</v>
      </c>
      <c r="J2996" s="1115" t="s">
        <v>1602</v>
      </c>
    </row>
    <row r="2997" customFormat="false" ht="14.1" hidden="false" customHeight="true" outlineLevel="0" collapsed="false">
      <c r="A2997" s="1115" t="n">
        <v>79240</v>
      </c>
      <c r="B2997" s="1115" t="s">
        <v>166</v>
      </c>
      <c r="C2997" s="1115" t="n">
        <v>79240</v>
      </c>
      <c r="D2997" s="1115" t="s">
        <v>3079</v>
      </c>
      <c r="E2997" s="1115" t="s">
        <v>2529</v>
      </c>
      <c r="F2997" s="1115" t="n">
        <v>35550</v>
      </c>
      <c r="G2997" s="1115" t="n">
        <v>80420</v>
      </c>
      <c r="H2997" s="1115" t="s">
        <v>1761</v>
      </c>
      <c r="I2997" s="1115" t="n">
        <v>79265</v>
      </c>
      <c r="J2997" s="1115" t="s">
        <v>1602</v>
      </c>
    </row>
    <row r="2998" customFormat="false" ht="14.1" hidden="false" customHeight="true" outlineLevel="0" collapsed="false">
      <c r="A2998" s="1115" t="n">
        <v>79255</v>
      </c>
      <c r="B2998" s="1115" t="s">
        <v>166</v>
      </c>
      <c r="C2998" s="1115" t="n">
        <v>79255</v>
      </c>
      <c r="D2998" s="1115" t="s">
        <v>2731</v>
      </c>
      <c r="E2998" s="1115" t="s">
        <v>3808</v>
      </c>
      <c r="F2998" s="1115" t="n">
        <v>83130</v>
      </c>
      <c r="G2998" s="1115" t="n">
        <v>80510</v>
      </c>
      <c r="H2998" s="1115" t="s">
        <v>3406</v>
      </c>
      <c r="I2998" s="1115" t="n">
        <v>79270</v>
      </c>
      <c r="J2998" s="1115" t="s">
        <v>1602</v>
      </c>
    </row>
    <row r="2999" customFormat="false" ht="14.1" hidden="false" customHeight="true" outlineLevel="0" collapsed="false">
      <c r="A2999" s="1115" t="n">
        <v>79265</v>
      </c>
      <c r="B2999" s="1115" t="s">
        <v>166</v>
      </c>
      <c r="C2999" s="1115" t="n">
        <v>79265</v>
      </c>
      <c r="D2999" s="1115" t="s">
        <v>3638</v>
      </c>
      <c r="E2999" s="1115" t="s">
        <v>1213</v>
      </c>
      <c r="F2999" s="1115" t="n">
        <v>3970</v>
      </c>
      <c r="G2999" s="1115" t="n">
        <v>80580</v>
      </c>
      <c r="H2999" s="1115" t="s">
        <v>2701</v>
      </c>
      <c r="I2999" s="1115" t="n">
        <v>79290</v>
      </c>
      <c r="J2999" s="1115" t="s">
        <v>1602</v>
      </c>
    </row>
    <row r="3000" customFormat="false" ht="14.1" hidden="false" customHeight="true" outlineLevel="0" collapsed="false">
      <c r="A3000" s="1115" t="n">
        <v>79270</v>
      </c>
      <c r="B3000" s="1115" t="s">
        <v>166</v>
      </c>
      <c r="C3000" s="1115" t="n">
        <v>79270</v>
      </c>
      <c r="D3000" s="1115" t="s">
        <v>2465</v>
      </c>
      <c r="E3000" s="1115" t="s">
        <v>3655</v>
      </c>
      <c r="F3000" s="1115" t="n">
        <v>71610</v>
      </c>
      <c r="G3000" s="1115" t="n">
        <v>80710</v>
      </c>
      <c r="H3000" s="1115" t="s">
        <v>2935</v>
      </c>
      <c r="I3000" s="1115" t="n">
        <v>79330</v>
      </c>
      <c r="J3000" s="1115" t="s">
        <v>1602</v>
      </c>
    </row>
    <row r="3001" customFormat="false" ht="14.1" hidden="false" customHeight="true" outlineLevel="0" collapsed="false">
      <c r="A3001" s="1115" t="n">
        <v>79290</v>
      </c>
      <c r="B3001" s="1115" t="s">
        <v>166</v>
      </c>
      <c r="C3001" s="1115" t="n">
        <v>79290</v>
      </c>
      <c r="D3001" s="1115" t="s">
        <v>2973</v>
      </c>
      <c r="E3001" s="1115" t="s">
        <v>3809</v>
      </c>
      <c r="F3001" s="1115" t="n">
        <v>83220</v>
      </c>
      <c r="G3001" s="1115" t="n">
        <v>80770</v>
      </c>
      <c r="H3001" s="1115" t="s">
        <v>1097</v>
      </c>
      <c r="I3001" s="1115" t="n">
        <v>79340</v>
      </c>
      <c r="J3001" s="1115" t="s">
        <v>1602</v>
      </c>
    </row>
    <row r="3002" customFormat="false" ht="14.1" hidden="false" customHeight="true" outlineLevel="0" collapsed="false">
      <c r="A3002" s="1115" t="n">
        <v>79330</v>
      </c>
      <c r="B3002" s="1115" t="s">
        <v>166</v>
      </c>
      <c r="C3002" s="1115" t="n">
        <v>79330</v>
      </c>
      <c r="D3002" s="1115" t="s">
        <v>3380</v>
      </c>
      <c r="E3002" s="1115" t="s">
        <v>1652</v>
      </c>
      <c r="F3002" s="1115" t="n">
        <v>14180</v>
      </c>
      <c r="G3002" s="1115" t="n">
        <v>80780</v>
      </c>
      <c r="H3002" s="1115" t="s">
        <v>2545</v>
      </c>
      <c r="I3002" s="1115" t="n">
        <v>79350</v>
      </c>
      <c r="J3002" s="1115" t="s">
        <v>1602</v>
      </c>
    </row>
    <row r="3003" customFormat="false" ht="14.1" hidden="false" customHeight="true" outlineLevel="0" collapsed="false">
      <c r="A3003" s="1115" t="n">
        <v>79340</v>
      </c>
      <c r="B3003" s="1115" t="s">
        <v>166</v>
      </c>
      <c r="C3003" s="1115" t="n">
        <v>79340</v>
      </c>
      <c r="D3003" s="1115" t="s">
        <v>1814</v>
      </c>
      <c r="E3003" s="1115" t="s">
        <v>1474</v>
      </c>
      <c r="F3003" s="1115" t="n">
        <v>22430</v>
      </c>
      <c r="G3003" s="1115" t="n">
        <v>80790</v>
      </c>
      <c r="H3003" s="1115" t="s">
        <v>2547</v>
      </c>
      <c r="I3003" s="1115" t="n">
        <v>79410</v>
      </c>
      <c r="J3003" s="1115" t="s">
        <v>1602</v>
      </c>
    </row>
    <row r="3004" customFormat="false" ht="14.1" hidden="false" customHeight="true" outlineLevel="0" collapsed="false">
      <c r="A3004" s="1115" t="n">
        <v>79350</v>
      </c>
      <c r="B3004" s="1115" t="s">
        <v>166</v>
      </c>
      <c r="C3004" s="1115" t="n">
        <v>79350</v>
      </c>
      <c r="D3004" s="1115" t="s">
        <v>1971</v>
      </c>
      <c r="E3004" s="1115" t="s">
        <v>1474</v>
      </c>
      <c r="F3004" s="1115" t="n">
        <v>22430</v>
      </c>
      <c r="G3004" s="1115" t="n">
        <v>80850</v>
      </c>
      <c r="H3004" s="1115" t="s">
        <v>3456</v>
      </c>
      <c r="I3004" s="1115" t="n">
        <v>79480</v>
      </c>
      <c r="J3004" s="1115" t="s">
        <v>1602</v>
      </c>
    </row>
    <row r="3005" customFormat="false" ht="14.1" hidden="false" customHeight="true" outlineLevel="0" collapsed="false">
      <c r="A3005" s="1115" t="n">
        <v>79410</v>
      </c>
      <c r="B3005" s="1115" t="s">
        <v>166</v>
      </c>
      <c r="C3005" s="1115" t="n">
        <v>79410</v>
      </c>
      <c r="D3005" s="1115" t="s">
        <v>3324</v>
      </c>
      <c r="E3005" s="1115" t="s">
        <v>3810</v>
      </c>
      <c r="F3005" s="1115" t="n">
        <v>83845</v>
      </c>
      <c r="G3005" s="1115" t="n">
        <v>80910</v>
      </c>
      <c r="H3005" s="1115" t="s">
        <v>2682</v>
      </c>
      <c r="I3005" s="1115" t="n">
        <v>79510</v>
      </c>
      <c r="J3005" s="1115" t="s">
        <v>1602</v>
      </c>
    </row>
    <row r="3006" customFormat="false" ht="14.1" hidden="false" customHeight="true" outlineLevel="0" collapsed="false">
      <c r="A3006" s="1115" t="n">
        <v>79480</v>
      </c>
      <c r="B3006" s="1115" t="s">
        <v>166</v>
      </c>
      <c r="C3006" s="1115" t="n">
        <v>79480</v>
      </c>
      <c r="D3006" s="1115" t="s">
        <v>2218</v>
      </c>
      <c r="E3006" s="1115" t="s">
        <v>3811</v>
      </c>
      <c r="F3006" s="1115" t="n">
        <v>98280</v>
      </c>
      <c r="G3006" s="1115" t="n">
        <v>81100</v>
      </c>
      <c r="H3006" s="1115" t="s">
        <v>1097</v>
      </c>
      <c r="I3006" s="1115" t="n">
        <v>79520</v>
      </c>
      <c r="J3006" s="1115" t="s">
        <v>1602</v>
      </c>
    </row>
    <row r="3007" customFormat="false" ht="14.1" hidden="false" customHeight="true" outlineLevel="0" collapsed="false">
      <c r="A3007" s="1115" t="n">
        <v>79510</v>
      </c>
      <c r="B3007" s="1115" t="s">
        <v>166</v>
      </c>
      <c r="C3007" s="1115" t="n">
        <v>79510</v>
      </c>
      <c r="D3007" s="1115" t="s">
        <v>2729</v>
      </c>
      <c r="E3007" s="1115" t="s">
        <v>1745</v>
      </c>
      <c r="F3007" s="1115" t="n">
        <v>16470</v>
      </c>
      <c r="G3007" s="1115" t="n">
        <v>81120</v>
      </c>
      <c r="H3007" s="1115" t="s">
        <v>2304</v>
      </c>
      <c r="I3007" s="1115" t="n">
        <v>79530</v>
      </c>
      <c r="J3007" s="1115" t="s">
        <v>1602</v>
      </c>
    </row>
    <row r="3008" customFormat="false" ht="14.1" hidden="false" customHeight="true" outlineLevel="0" collapsed="false">
      <c r="A3008" s="1115" t="n">
        <v>79520</v>
      </c>
      <c r="B3008" s="1115" t="s">
        <v>166</v>
      </c>
      <c r="C3008" s="1115" t="n">
        <v>79520</v>
      </c>
      <c r="D3008" s="1115" t="s">
        <v>3790</v>
      </c>
      <c r="E3008" s="1115" t="s">
        <v>2628</v>
      </c>
      <c r="F3008" s="1115" t="n">
        <v>38270</v>
      </c>
      <c r="G3008" s="1115" t="n">
        <v>81130</v>
      </c>
      <c r="H3008" s="1115" t="s">
        <v>3717</v>
      </c>
      <c r="I3008" s="1115" t="n">
        <v>79600</v>
      </c>
      <c r="J3008" s="1115" t="s">
        <v>1602</v>
      </c>
    </row>
    <row r="3009" customFormat="false" ht="14.1" hidden="false" customHeight="true" outlineLevel="0" collapsed="false">
      <c r="A3009" s="1115" t="n">
        <v>79530</v>
      </c>
      <c r="B3009" s="1115" t="s">
        <v>166</v>
      </c>
      <c r="C3009" s="1115" t="n">
        <v>79530</v>
      </c>
      <c r="D3009" s="1115" t="s">
        <v>1679</v>
      </c>
      <c r="E3009" s="1115" t="s">
        <v>2261</v>
      </c>
      <c r="F3009" s="1115" t="n">
        <v>29370</v>
      </c>
      <c r="G3009" s="1115" t="n">
        <v>81140</v>
      </c>
      <c r="H3009" s="1115" t="s">
        <v>1780</v>
      </c>
      <c r="I3009" s="1115" t="n">
        <v>79620</v>
      </c>
      <c r="J3009" s="1115" t="s">
        <v>1602</v>
      </c>
    </row>
    <row r="3010" customFormat="false" ht="14.1" hidden="false" customHeight="true" outlineLevel="0" collapsed="false">
      <c r="A3010" s="1115" t="n">
        <v>79600</v>
      </c>
      <c r="B3010" s="1115" t="s">
        <v>166</v>
      </c>
      <c r="C3010" s="1115" t="n">
        <v>79600</v>
      </c>
      <c r="D3010" s="1115" t="s">
        <v>911</v>
      </c>
      <c r="E3010" s="1115" t="s">
        <v>3812</v>
      </c>
      <c r="F3010" s="1115" t="n">
        <v>95810</v>
      </c>
      <c r="G3010" s="1115" t="n">
        <v>81150</v>
      </c>
      <c r="H3010" s="1115" t="s">
        <v>3719</v>
      </c>
      <c r="I3010" s="1115" t="n">
        <v>79630</v>
      </c>
      <c r="J3010" s="1115" t="s">
        <v>1602</v>
      </c>
    </row>
    <row r="3011" customFormat="false" ht="14.1" hidden="false" customHeight="true" outlineLevel="0" collapsed="false">
      <c r="A3011" s="1115" t="n">
        <v>79620</v>
      </c>
      <c r="B3011" s="1115" t="s">
        <v>166</v>
      </c>
      <c r="C3011" s="1115" t="n">
        <v>79620</v>
      </c>
      <c r="D3011" s="1115" t="s">
        <v>1836</v>
      </c>
      <c r="E3011" s="1115" t="s">
        <v>1476</v>
      </c>
      <c r="F3011" s="1115" t="n">
        <v>9220</v>
      </c>
      <c r="G3011" s="1115" t="n">
        <v>81160</v>
      </c>
      <c r="H3011" s="1115" t="s">
        <v>3737</v>
      </c>
      <c r="I3011" s="1115" t="n">
        <v>79650</v>
      </c>
      <c r="J3011" s="1115" t="s">
        <v>1602</v>
      </c>
    </row>
    <row r="3012" customFormat="false" ht="14.1" hidden="false" customHeight="true" outlineLevel="0" collapsed="false">
      <c r="A3012" s="1115" t="n">
        <v>79630</v>
      </c>
      <c r="B3012" s="1115" t="s">
        <v>166</v>
      </c>
      <c r="C3012" s="1115" t="n">
        <v>79630</v>
      </c>
      <c r="D3012" s="1115" t="s">
        <v>2526</v>
      </c>
      <c r="E3012" s="1115" t="s">
        <v>2286</v>
      </c>
      <c r="F3012" s="1115" t="n">
        <v>29830</v>
      </c>
      <c r="G3012" s="1115" t="n">
        <v>81190</v>
      </c>
      <c r="H3012" s="1115" t="s">
        <v>1671</v>
      </c>
      <c r="I3012" s="1115" t="n">
        <v>79660</v>
      </c>
      <c r="J3012" s="1115" t="s">
        <v>1602</v>
      </c>
    </row>
    <row r="3013" customFormat="false" ht="14.1" hidden="false" customHeight="true" outlineLevel="0" collapsed="false">
      <c r="A3013" s="1115" t="n">
        <v>79650</v>
      </c>
      <c r="B3013" s="1115" t="s">
        <v>166</v>
      </c>
      <c r="C3013" s="1115" t="n">
        <v>79650</v>
      </c>
      <c r="D3013" s="1115" t="s">
        <v>2381</v>
      </c>
      <c r="E3013" s="1115" t="s">
        <v>2411</v>
      </c>
      <c r="F3013" s="1115" t="n">
        <v>32710</v>
      </c>
      <c r="G3013" s="1115" t="n">
        <v>81200</v>
      </c>
      <c r="H3013" s="1115" t="s">
        <v>760</v>
      </c>
      <c r="I3013" s="1115" t="n">
        <v>79680</v>
      </c>
      <c r="J3013" s="1115" t="s">
        <v>1602</v>
      </c>
    </row>
    <row r="3014" customFormat="false" ht="14.1" hidden="false" customHeight="true" outlineLevel="0" collapsed="false">
      <c r="A3014" s="1115" t="n">
        <v>79660</v>
      </c>
      <c r="B3014" s="1115" t="s">
        <v>166</v>
      </c>
      <c r="C3014" s="1115" t="n">
        <v>79660</v>
      </c>
      <c r="D3014" s="1115" t="s">
        <v>2379</v>
      </c>
      <c r="E3014" s="1115" t="s">
        <v>1575</v>
      </c>
      <c r="F3014" s="1115" t="n">
        <v>10730</v>
      </c>
      <c r="G3014" s="1115" t="n">
        <v>81220</v>
      </c>
      <c r="H3014" s="1115" t="s">
        <v>1989</v>
      </c>
      <c r="I3014" s="1115" t="n">
        <v>79690</v>
      </c>
      <c r="J3014" s="1115" t="s">
        <v>1602</v>
      </c>
    </row>
    <row r="3015" customFormat="false" ht="14.1" hidden="false" customHeight="true" outlineLevel="0" collapsed="false">
      <c r="A3015" s="1115" t="n">
        <v>79680</v>
      </c>
      <c r="B3015" s="1115" t="s">
        <v>166</v>
      </c>
      <c r="C3015" s="1115" t="n">
        <v>79680</v>
      </c>
      <c r="D3015" s="1115" t="s">
        <v>2849</v>
      </c>
      <c r="E3015" s="1115" t="s">
        <v>3813</v>
      </c>
      <c r="F3015" s="1115" t="n">
        <v>91620</v>
      </c>
      <c r="G3015" s="1115" t="n">
        <v>81230</v>
      </c>
      <c r="H3015" s="1115" t="s">
        <v>3273</v>
      </c>
      <c r="I3015" s="1115" t="n">
        <v>79700</v>
      </c>
      <c r="J3015" s="1115" t="s">
        <v>845</v>
      </c>
    </row>
    <row r="3016" customFormat="false" ht="14.1" hidden="false" customHeight="true" outlineLevel="0" collapsed="false">
      <c r="A3016" s="1115" t="n">
        <v>79690</v>
      </c>
      <c r="B3016" s="1115" t="s">
        <v>166</v>
      </c>
      <c r="C3016" s="1115" t="n">
        <v>79690</v>
      </c>
      <c r="D3016" s="1115" t="s">
        <v>2155</v>
      </c>
      <c r="E3016" s="1115" t="s">
        <v>1779</v>
      </c>
      <c r="F3016" s="1115" t="n">
        <v>16930</v>
      </c>
      <c r="G3016" s="1115" t="n">
        <v>81235</v>
      </c>
      <c r="H3016" s="1115" t="s">
        <v>2938</v>
      </c>
      <c r="I3016" s="1115" t="n">
        <v>79710</v>
      </c>
      <c r="J3016" s="1115" t="s">
        <v>845</v>
      </c>
    </row>
    <row r="3017" customFormat="false" ht="14.1" hidden="false" customHeight="true" outlineLevel="0" collapsed="false">
      <c r="A3017" s="1115" t="n">
        <v>79700</v>
      </c>
      <c r="B3017" s="1115" t="s">
        <v>166</v>
      </c>
      <c r="C3017" s="1115" t="n">
        <v>79700</v>
      </c>
      <c r="D3017" s="1115" t="s">
        <v>845</v>
      </c>
      <c r="E3017" s="1115" t="s">
        <v>1374</v>
      </c>
      <c r="F3017" s="1115" t="n">
        <v>7310</v>
      </c>
      <c r="G3017" s="1115" t="n">
        <v>81240</v>
      </c>
      <c r="H3017" s="1115" t="s">
        <v>3814</v>
      </c>
      <c r="I3017" s="1115" t="n">
        <v>79720</v>
      </c>
      <c r="J3017" s="1115" t="s">
        <v>845</v>
      </c>
    </row>
    <row r="3018" customFormat="false" ht="14.1" hidden="false" customHeight="true" outlineLevel="0" collapsed="false">
      <c r="A3018" s="1115" t="n">
        <v>79710</v>
      </c>
      <c r="B3018" s="1115" t="s">
        <v>166</v>
      </c>
      <c r="C3018" s="1115" t="n">
        <v>79710</v>
      </c>
      <c r="D3018" s="1115" t="s">
        <v>845</v>
      </c>
      <c r="E3018" s="1115" t="s">
        <v>2085</v>
      </c>
      <c r="F3018" s="1115" t="n">
        <v>23960</v>
      </c>
      <c r="G3018" s="1115" t="n">
        <v>81250</v>
      </c>
      <c r="H3018" s="1115" t="s">
        <v>1827</v>
      </c>
      <c r="I3018" s="1115" t="n">
        <v>79750</v>
      </c>
      <c r="J3018" s="1115" t="s">
        <v>845</v>
      </c>
    </row>
    <row r="3019" customFormat="false" ht="14.1" hidden="false" customHeight="true" outlineLevel="0" collapsed="false">
      <c r="A3019" s="1115" t="n">
        <v>79720</v>
      </c>
      <c r="B3019" s="1115" t="s">
        <v>166</v>
      </c>
      <c r="C3019" s="1115" t="n">
        <v>79720</v>
      </c>
      <c r="D3019" s="1115" t="s">
        <v>3796</v>
      </c>
      <c r="E3019" s="1115" t="s">
        <v>1670</v>
      </c>
      <c r="F3019" s="1115" t="n">
        <v>14930</v>
      </c>
      <c r="G3019" s="1115" t="n">
        <v>81260</v>
      </c>
      <c r="H3019" s="1115" t="s">
        <v>766</v>
      </c>
      <c r="I3019" s="1115" t="n">
        <v>79770</v>
      </c>
      <c r="J3019" s="1115" t="s">
        <v>845</v>
      </c>
    </row>
    <row r="3020" customFormat="false" ht="14.1" hidden="false" customHeight="true" outlineLevel="0" collapsed="false">
      <c r="A3020" s="1115" t="n">
        <v>79750</v>
      </c>
      <c r="B3020" s="1115" t="s">
        <v>166</v>
      </c>
      <c r="C3020" s="1115" t="n">
        <v>79750</v>
      </c>
      <c r="D3020" s="1115" t="s">
        <v>2488</v>
      </c>
      <c r="E3020" s="1115" t="s">
        <v>3455</v>
      </c>
      <c r="F3020" s="1115" t="n">
        <v>63340</v>
      </c>
      <c r="G3020" s="1115" t="n">
        <v>81270</v>
      </c>
      <c r="H3020" s="1115" t="s">
        <v>3510</v>
      </c>
      <c r="I3020" s="1115" t="n">
        <v>79810</v>
      </c>
      <c r="J3020" s="1115" t="s">
        <v>845</v>
      </c>
    </row>
    <row r="3021" customFormat="false" ht="14.1" hidden="false" customHeight="true" outlineLevel="0" collapsed="false">
      <c r="A3021" s="1115" t="n">
        <v>79770</v>
      </c>
      <c r="B3021" s="1115" t="s">
        <v>166</v>
      </c>
      <c r="C3021" s="1115" t="n">
        <v>79770</v>
      </c>
      <c r="D3021" s="1115" t="s">
        <v>3753</v>
      </c>
      <c r="E3021" s="1115" t="s">
        <v>2720</v>
      </c>
      <c r="F3021" s="1115" t="n">
        <v>39980</v>
      </c>
      <c r="G3021" s="1115" t="n">
        <v>81280</v>
      </c>
      <c r="H3021" s="1115" t="s">
        <v>3815</v>
      </c>
      <c r="I3021" s="1115" t="n">
        <v>79820</v>
      </c>
      <c r="J3021" s="1115" t="s">
        <v>845</v>
      </c>
    </row>
    <row r="3022" customFormat="false" ht="14.1" hidden="false" customHeight="true" outlineLevel="0" collapsed="false">
      <c r="A3022" s="1115" t="n">
        <v>79810</v>
      </c>
      <c r="B3022" s="1115" t="s">
        <v>166</v>
      </c>
      <c r="C3022" s="1115" t="n">
        <v>79810</v>
      </c>
      <c r="D3022" s="1115" t="s">
        <v>2288</v>
      </c>
      <c r="E3022" s="1115" t="s">
        <v>3816</v>
      </c>
      <c r="F3022" s="1115" t="n">
        <v>93250</v>
      </c>
      <c r="G3022" s="1115" t="n">
        <v>81290</v>
      </c>
      <c r="H3022" s="1115" t="s">
        <v>3817</v>
      </c>
      <c r="I3022" s="1115" t="n">
        <v>79830</v>
      </c>
      <c r="J3022" s="1115" t="s">
        <v>845</v>
      </c>
    </row>
    <row r="3023" customFormat="false" ht="14.1" hidden="false" customHeight="true" outlineLevel="0" collapsed="false">
      <c r="A3023" s="1115" t="n">
        <v>79820</v>
      </c>
      <c r="B3023" s="1115" t="s">
        <v>166</v>
      </c>
      <c r="C3023" s="1115" t="n">
        <v>79820</v>
      </c>
      <c r="D3023" s="1115" t="s">
        <v>3798</v>
      </c>
      <c r="E3023" s="1115" t="s">
        <v>3748</v>
      </c>
      <c r="F3023" s="1115" t="n">
        <v>75890</v>
      </c>
      <c r="G3023" s="1115" t="n">
        <v>81295</v>
      </c>
      <c r="H3023" s="1115" t="s">
        <v>1273</v>
      </c>
      <c r="I3023" s="1115" t="n">
        <v>79850</v>
      </c>
      <c r="J3023" s="1115" t="s">
        <v>845</v>
      </c>
    </row>
    <row r="3024" customFormat="false" ht="14.1" hidden="false" customHeight="true" outlineLevel="0" collapsed="false">
      <c r="A3024" s="1115" t="n">
        <v>79830</v>
      </c>
      <c r="B3024" s="1115" t="s">
        <v>166</v>
      </c>
      <c r="C3024" s="1115" t="n">
        <v>79830</v>
      </c>
      <c r="D3024" s="1115" t="s">
        <v>3477</v>
      </c>
      <c r="E3024" s="1115" t="s">
        <v>3818</v>
      </c>
      <c r="F3024" s="1115" t="n">
        <v>85620</v>
      </c>
      <c r="G3024" s="1115" t="n">
        <v>81320</v>
      </c>
      <c r="H3024" s="1115" t="s">
        <v>2658</v>
      </c>
      <c r="I3024" s="1115" t="n">
        <v>79860</v>
      </c>
      <c r="J3024" s="1115" t="s">
        <v>845</v>
      </c>
    </row>
    <row r="3025" customFormat="false" ht="14.1" hidden="false" customHeight="true" outlineLevel="0" collapsed="false">
      <c r="A3025" s="1115" t="n">
        <v>79850</v>
      </c>
      <c r="B3025" s="1115" t="s">
        <v>166</v>
      </c>
      <c r="C3025" s="1115" t="n">
        <v>79850</v>
      </c>
      <c r="D3025" s="1115" t="s">
        <v>3799</v>
      </c>
      <c r="E3025" s="1115" t="s">
        <v>3819</v>
      </c>
      <c r="F3025" s="1115" t="n">
        <v>85630</v>
      </c>
      <c r="G3025" s="1115" t="n">
        <v>81330</v>
      </c>
      <c r="H3025" s="1115" t="s">
        <v>3046</v>
      </c>
      <c r="I3025" s="1115" t="n">
        <v>79870</v>
      </c>
      <c r="J3025" s="1115" t="s">
        <v>1179</v>
      </c>
    </row>
    <row r="3026" customFormat="false" ht="14.1" hidden="false" customHeight="true" outlineLevel="0" collapsed="false">
      <c r="A3026" s="1115" t="n">
        <v>79860</v>
      </c>
      <c r="B3026" s="1115" t="s">
        <v>166</v>
      </c>
      <c r="C3026" s="1115" t="n">
        <v>79860</v>
      </c>
      <c r="D3026" s="1115" t="s">
        <v>3800</v>
      </c>
      <c r="E3026" s="1115" t="s">
        <v>2583</v>
      </c>
      <c r="F3026" s="1115" t="n">
        <v>37180</v>
      </c>
      <c r="G3026" s="1115" t="n">
        <v>81350</v>
      </c>
      <c r="H3026" s="1115" t="s">
        <v>3820</v>
      </c>
      <c r="I3026" s="1115" t="n">
        <v>79880</v>
      </c>
      <c r="J3026" s="1115" t="s">
        <v>1179</v>
      </c>
    </row>
    <row r="3027" customFormat="false" ht="14.1" hidden="false" customHeight="true" outlineLevel="0" collapsed="false">
      <c r="A3027" s="1115" t="n">
        <v>79870</v>
      </c>
      <c r="B3027" s="1115" t="s">
        <v>166</v>
      </c>
      <c r="C3027" s="1115" t="n">
        <v>79870</v>
      </c>
      <c r="D3027" s="1115" t="s">
        <v>2045</v>
      </c>
      <c r="E3027" s="1115" t="s">
        <v>2719</v>
      </c>
      <c r="F3027" s="1115" t="n">
        <v>39960</v>
      </c>
      <c r="G3027" s="1115" t="n">
        <v>81360</v>
      </c>
      <c r="H3027" s="1115" t="s">
        <v>3821</v>
      </c>
      <c r="I3027" s="1115" t="n">
        <v>79885</v>
      </c>
      <c r="J3027" s="1115" t="s">
        <v>1179</v>
      </c>
    </row>
    <row r="3028" customFormat="false" ht="14.1" hidden="false" customHeight="true" outlineLevel="0" collapsed="false">
      <c r="A3028" s="1115" t="n">
        <v>79880</v>
      </c>
      <c r="B3028" s="1115" t="s">
        <v>166</v>
      </c>
      <c r="C3028" s="1115" t="n">
        <v>79880</v>
      </c>
      <c r="D3028" s="1115" t="s">
        <v>2959</v>
      </c>
      <c r="E3028" s="1115" t="s">
        <v>3561</v>
      </c>
      <c r="F3028" s="1115" t="n">
        <v>66340</v>
      </c>
      <c r="G3028" s="1115" t="n">
        <v>81380</v>
      </c>
      <c r="H3028" s="1115" t="s">
        <v>3589</v>
      </c>
      <c r="I3028" s="1115" t="n">
        <v>79895</v>
      </c>
      <c r="J3028" s="1115" t="s">
        <v>1179</v>
      </c>
    </row>
    <row r="3029" customFormat="false" ht="14.1" hidden="false" customHeight="true" outlineLevel="0" collapsed="false">
      <c r="A3029" s="1115" t="n">
        <v>79885</v>
      </c>
      <c r="B3029" s="1115" t="s">
        <v>166</v>
      </c>
      <c r="C3029" s="1115" t="n">
        <v>79885</v>
      </c>
      <c r="D3029" s="1115" t="s">
        <v>1175</v>
      </c>
      <c r="E3029" s="1115" t="s">
        <v>3802</v>
      </c>
      <c r="F3029" s="1115" t="n">
        <v>79895</v>
      </c>
      <c r="G3029" s="1115" t="n">
        <v>81390</v>
      </c>
      <c r="H3029" s="1115" t="s">
        <v>3713</v>
      </c>
      <c r="I3029" s="1115" t="n">
        <v>79910</v>
      </c>
      <c r="J3029" s="1115" t="s">
        <v>1179</v>
      </c>
    </row>
    <row r="3030" customFormat="false" ht="14.1" hidden="false" customHeight="true" outlineLevel="0" collapsed="false">
      <c r="A3030" s="1115" t="n">
        <v>79895</v>
      </c>
      <c r="B3030" s="1115" t="s">
        <v>166</v>
      </c>
      <c r="C3030" s="1115" t="n">
        <v>79895</v>
      </c>
      <c r="D3030" s="1115" t="s">
        <v>3802</v>
      </c>
      <c r="E3030" s="1115" t="s">
        <v>3821</v>
      </c>
      <c r="F3030" s="1115" t="n">
        <v>81360</v>
      </c>
      <c r="G3030" s="1115" t="n">
        <v>81420</v>
      </c>
      <c r="H3030" s="1115" t="s">
        <v>3822</v>
      </c>
      <c r="I3030" s="1115" t="n">
        <v>79940</v>
      </c>
      <c r="J3030" s="1115" t="s">
        <v>1179</v>
      </c>
    </row>
    <row r="3031" customFormat="false" ht="14.1" hidden="false" customHeight="true" outlineLevel="0" collapsed="false">
      <c r="A3031" s="1115" t="n">
        <v>79910</v>
      </c>
      <c r="B3031" s="1115" t="s">
        <v>166</v>
      </c>
      <c r="C3031" s="1115" t="n">
        <v>79910</v>
      </c>
      <c r="D3031" s="1115" t="s">
        <v>2384</v>
      </c>
      <c r="E3031" s="1115" t="s">
        <v>2678</v>
      </c>
      <c r="F3031" s="1115" t="n">
        <v>39130</v>
      </c>
      <c r="G3031" s="1115" t="n">
        <v>81430</v>
      </c>
      <c r="H3031" s="1115" t="s">
        <v>2452</v>
      </c>
      <c r="I3031" s="1115" t="n">
        <v>79970</v>
      </c>
      <c r="J3031" s="1115" t="s">
        <v>1179</v>
      </c>
    </row>
    <row r="3032" customFormat="false" ht="14.1" hidden="false" customHeight="true" outlineLevel="0" collapsed="false">
      <c r="A3032" s="1115" t="n">
        <v>79940</v>
      </c>
      <c r="B3032" s="1115" t="s">
        <v>166</v>
      </c>
      <c r="C3032" s="1115" t="n">
        <v>79940</v>
      </c>
      <c r="D3032" s="1115" t="s">
        <v>3803</v>
      </c>
      <c r="E3032" s="1115" t="s">
        <v>1477</v>
      </c>
      <c r="F3032" s="1115" t="n">
        <v>38360</v>
      </c>
      <c r="G3032" s="1115" t="n">
        <v>81440</v>
      </c>
      <c r="H3032" s="1115" t="s">
        <v>3823</v>
      </c>
      <c r="I3032" s="1115" t="n">
        <v>80007</v>
      </c>
      <c r="J3032" s="1115" t="s">
        <v>167</v>
      </c>
    </row>
    <row r="3033" customFormat="false" ht="14.1" hidden="false" customHeight="true" outlineLevel="0" collapsed="false">
      <c r="A3033" s="1115" t="n">
        <v>79970</v>
      </c>
      <c r="B3033" s="1115" t="s">
        <v>166</v>
      </c>
      <c r="C3033" s="1115" t="n">
        <v>79970</v>
      </c>
      <c r="D3033" s="1115" t="s">
        <v>3600</v>
      </c>
      <c r="E3033" s="1115" t="s">
        <v>2252</v>
      </c>
      <c r="F3033" s="1115" t="n">
        <v>29230</v>
      </c>
      <c r="G3033" s="1115" t="n">
        <v>81450</v>
      </c>
      <c r="H3033" s="1115" t="s">
        <v>1797</v>
      </c>
      <c r="I3033" s="1115" t="n">
        <v>80100</v>
      </c>
      <c r="J3033" s="1115" t="s">
        <v>167</v>
      </c>
    </row>
    <row r="3034" customFormat="false" ht="14.1" hidden="false" customHeight="true" outlineLevel="0" collapsed="false">
      <c r="A3034" s="1115" t="n">
        <v>80007</v>
      </c>
      <c r="B3034" s="1115" t="s">
        <v>167</v>
      </c>
      <c r="C3034" s="1115" t="n">
        <v>80007</v>
      </c>
      <c r="D3034" s="1115" t="s">
        <v>167</v>
      </c>
      <c r="E3034" s="1115" t="s">
        <v>3824</v>
      </c>
      <c r="F3034" s="1115" t="n">
        <v>99650</v>
      </c>
      <c r="G3034" s="1115" t="n">
        <v>81460</v>
      </c>
      <c r="H3034" s="1115" t="s">
        <v>2799</v>
      </c>
      <c r="I3034" s="1115" t="n">
        <v>80110</v>
      </c>
      <c r="J3034" s="1115" t="s">
        <v>167</v>
      </c>
    </row>
    <row r="3035" customFormat="false" ht="14.1" hidden="false" customHeight="true" outlineLevel="0" collapsed="false">
      <c r="A3035" s="1115" t="n">
        <v>80100</v>
      </c>
      <c r="B3035" s="1115" t="s">
        <v>167</v>
      </c>
      <c r="C3035" s="1115" t="n">
        <v>80100</v>
      </c>
      <c r="D3035" s="1115" t="s">
        <v>167</v>
      </c>
      <c r="E3035" s="1115" t="s">
        <v>3825</v>
      </c>
      <c r="F3035" s="1115" t="n">
        <v>99655</v>
      </c>
      <c r="G3035" s="1115" t="n">
        <v>81470</v>
      </c>
      <c r="H3035" s="1115" t="s">
        <v>3283</v>
      </c>
      <c r="I3035" s="1115" t="n">
        <v>80120</v>
      </c>
      <c r="J3035" s="1115" t="s">
        <v>167</v>
      </c>
    </row>
    <row r="3036" customFormat="false" ht="14.1" hidden="false" customHeight="true" outlineLevel="0" collapsed="false">
      <c r="A3036" s="1115" t="n">
        <v>80110</v>
      </c>
      <c r="B3036" s="1115" t="s">
        <v>167</v>
      </c>
      <c r="C3036" s="1115" t="n">
        <v>80110</v>
      </c>
      <c r="D3036" s="1115" t="s">
        <v>167</v>
      </c>
      <c r="E3036" s="1115" t="s">
        <v>1516</v>
      </c>
      <c r="F3036" s="1115" t="n">
        <v>9430</v>
      </c>
      <c r="G3036" s="1115" t="n">
        <v>81550</v>
      </c>
      <c r="H3036" s="1115" t="s">
        <v>2723</v>
      </c>
      <c r="I3036" s="1115" t="n">
        <v>80130</v>
      </c>
      <c r="J3036" s="1115" t="s">
        <v>167</v>
      </c>
    </row>
    <row r="3037" customFormat="false" ht="14.1" hidden="false" customHeight="true" outlineLevel="0" collapsed="false">
      <c r="A3037" s="1115" t="n">
        <v>80120</v>
      </c>
      <c r="B3037" s="1115" t="s">
        <v>167</v>
      </c>
      <c r="C3037" s="1115" t="n">
        <v>80120</v>
      </c>
      <c r="D3037" s="1115" t="s">
        <v>167</v>
      </c>
      <c r="E3037" s="1115" t="s">
        <v>2807</v>
      </c>
      <c r="F3037" s="1115" t="n">
        <v>41880</v>
      </c>
      <c r="G3037" s="1115" t="n">
        <v>81560</v>
      </c>
      <c r="H3037" s="1115" t="s">
        <v>3826</v>
      </c>
      <c r="I3037" s="1115" t="n">
        <v>80150</v>
      </c>
      <c r="J3037" s="1115" t="s">
        <v>167</v>
      </c>
    </row>
    <row r="3038" customFormat="false" ht="14.1" hidden="false" customHeight="true" outlineLevel="0" collapsed="false">
      <c r="A3038" s="1115" t="n">
        <v>80130</v>
      </c>
      <c r="B3038" s="1115" t="s">
        <v>167</v>
      </c>
      <c r="C3038" s="1115" t="n">
        <v>80130</v>
      </c>
      <c r="D3038" s="1115" t="s">
        <v>167</v>
      </c>
      <c r="E3038" s="1115" t="s">
        <v>3433</v>
      </c>
      <c r="F3038" s="1115" t="n">
        <v>62750</v>
      </c>
      <c r="G3038" s="1115" t="n">
        <v>81570</v>
      </c>
      <c r="H3038" s="1115" t="s">
        <v>2364</v>
      </c>
      <c r="I3038" s="1115" t="n">
        <v>80200</v>
      </c>
      <c r="J3038" s="1115" t="s">
        <v>167</v>
      </c>
    </row>
    <row r="3039" customFormat="false" ht="14.1" hidden="false" customHeight="true" outlineLevel="0" collapsed="false">
      <c r="A3039" s="1115" t="n">
        <v>80150</v>
      </c>
      <c r="B3039" s="1115" t="s">
        <v>167</v>
      </c>
      <c r="C3039" s="1115" t="n">
        <v>80150</v>
      </c>
      <c r="D3039" s="1115" t="s">
        <v>167</v>
      </c>
      <c r="E3039" s="1115" t="s">
        <v>3311</v>
      </c>
      <c r="F3039" s="1115" t="n">
        <v>58670</v>
      </c>
      <c r="G3039" s="1115" t="n">
        <v>81580</v>
      </c>
      <c r="H3039" s="1115" t="s">
        <v>2898</v>
      </c>
      <c r="I3039" s="1115" t="n">
        <v>80210</v>
      </c>
      <c r="J3039" s="1115" t="s">
        <v>167</v>
      </c>
    </row>
    <row r="3040" customFormat="false" ht="14.1" hidden="false" customHeight="true" outlineLevel="0" collapsed="false">
      <c r="A3040" s="1115" t="n">
        <v>80200</v>
      </c>
      <c r="B3040" s="1115" t="s">
        <v>167</v>
      </c>
      <c r="C3040" s="1115" t="n">
        <v>80200</v>
      </c>
      <c r="D3040" s="1115" t="s">
        <v>167</v>
      </c>
      <c r="E3040" s="1115" t="s">
        <v>3827</v>
      </c>
      <c r="F3040" s="1115" t="n">
        <v>98510</v>
      </c>
      <c r="G3040" s="1115" t="n">
        <v>81590</v>
      </c>
      <c r="H3040" s="1115" t="s">
        <v>3828</v>
      </c>
      <c r="I3040" s="1115" t="n">
        <v>80220</v>
      </c>
      <c r="J3040" s="1115" t="s">
        <v>167</v>
      </c>
    </row>
    <row r="3041" customFormat="false" ht="14.1" hidden="false" customHeight="true" outlineLevel="0" collapsed="false">
      <c r="A3041" s="1115" t="n">
        <v>80210</v>
      </c>
      <c r="B3041" s="1115" t="s">
        <v>167</v>
      </c>
      <c r="C3041" s="1115" t="n">
        <v>80210</v>
      </c>
      <c r="D3041" s="1115" t="s">
        <v>167</v>
      </c>
      <c r="E3041" s="1115" t="s">
        <v>2805</v>
      </c>
      <c r="F3041" s="1115" t="n">
        <v>41850</v>
      </c>
      <c r="G3041" s="1115" t="n">
        <v>81630</v>
      </c>
      <c r="H3041" s="1115" t="s">
        <v>3763</v>
      </c>
      <c r="I3041" s="1115" t="n">
        <v>80230</v>
      </c>
      <c r="J3041" s="1115" t="s">
        <v>167</v>
      </c>
    </row>
    <row r="3042" customFormat="false" ht="14.1" hidden="false" customHeight="true" outlineLevel="0" collapsed="false">
      <c r="A3042" s="1115" t="n">
        <v>80220</v>
      </c>
      <c r="B3042" s="1115" t="s">
        <v>167</v>
      </c>
      <c r="C3042" s="1115" t="n">
        <v>80220</v>
      </c>
      <c r="D3042" s="1115" t="s">
        <v>167</v>
      </c>
      <c r="E3042" s="1115" t="s">
        <v>1479</v>
      </c>
      <c r="F3042" s="1115" t="n">
        <v>21570</v>
      </c>
      <c r="G3042" s="1115" t="n">
        <v>81640</v>
      </c>
      <c r="H3042" s="1115" t="s">
        <v>3829</v>
      </c>
      <c r="I3042" s="1115" t="n">
        <v>80260</v>
      </c>
      <c r="J3042" s="1115" t="s">
        <v>167</v>
      </c>
    </row>
    <row r="3043" customFormat="false" ht="14.1" hidden="false" customHeight="true" outlineLevel="0" collapsed="false">
      <c r="A3043" s="1115" t="n">
        <v>80230</v>
      </c>
      <c r="B3043" s="1115" t="s">
        <v>167</v>
      </c>
      <c r="C3043" s="1115" t="n">
        <v>80230</v>
      </c>
      <c r="D3043" s="1115" t="s">
        <v>167</v>
      </c>
      <c r="E3043" s="1115" t="s">
        <v>2946</v>
      </c>
      <c r="F3043" s="1115" t="n">
        <v>45460</v>
      </c>
      <c r="G3043" s="1115" t="n">
        <v>81650</v>
      </c>
      <c r="H3043" s="1115" t="s">
        <v>1458</v>
      </c>
      <c r="I3043" s="1115" t="n">
        <v>80330</v>
      </c>
      <c r="J3043" s="1115" t="s">
        <v>167</v>
      </c>
    </row>
    <row r="3044" customFormat="false" ht="14.1" hidden="false" customHeight="true" outlineLevel="0" collapsed="false">
      <c r="A3044" s="1115" t="n">
        <v>80260</v>
      </c>
      <c r="B3044" s="1115" t="s">
        <v>167</v>
      </c>
      <c r="C3044" s="1115" t="n">
        <v>80260</v>
      </c>
      <c r="D3044" s="1115" t="s">
        <v>167</v>
      </c>
      <c r="E3044" s="1115" t="s">
        <v>2323</v>
      </c>
      <c r="F3044" s="1115" t="n">
        <v>31170</v>
      </c>
      <c r="G3044" s="1115" t="n">
        <v>81660</v>
      </c>
      <c r="H3044" s="1115" t="s">
        <v>2934</v>
      </c>
      <c r="I3044" s="1115" t="n">
        <v>80400</v>
      </c>
      <c r="J3044" s="1115" t="s">
        <v>167</v>
      </c>
    </row>
    <row r="3045" customFormat="false" ht="14.1" hidden="false" customHeight="true" outlineLevel="0" collapsed="false">
      <c r="A3045" s="1115" t="n">
        <v>80330</v>
      </c>
      <c r="B3045" s="1115" t="s">
        <v>167</v>
      </c>
      <c r="C3045" s="1115" t="n">
        <v>80330</v>
      </c>
      <c r="D3045" s="1115" t="s">
        <v>3708</v>
      </c>
      <c r="E3045" s="1115" t="s">
        <v>3739</v>
      </c>
      <c r="F3045" s="1115" t="n">
        <v>75650</v>
      </c>
      <c r="G3045" s="1115" t="n">
        <v>81670</v>
      </c>
      <c r="H3045" s="1115" t="s">
        <v>2446</v>
      </c>
      <c r="I3045" s="1115" t="n">
        <v>80410</v>
      </c>
      <c r="J3045" s="1115" t="s">
        <v>167</v>
      </c>
    </row>
    <row r="3046" customFormat="false" ht="14.1" hidden="false" customHeight="true" outlineLevel="0" collapsed="false">
      <c r="A3046" s="1115" t="n">
        <v>80400</v>
      </c>
      <c r="B3046" s="1115" t="s">
        <v>167</v>
      </c>
      <c r="C3046" s="1115" t="n">
        <v>80400</v>
      </c>
      <c r="D3046" s="1115" t="s">
        <v>3806</v>
      </c>
      <c r="E3046" s="1115" t="s">
        <v>3225</v>
      </c>
      <c r="F3046" s="1115" t="n">
        <v>56130</v>
      </c>
      <c r="G3046" s="1115" t="n">
        <v>81700</v>
      </c>
      <c r="H3046" s="1115" t="s">
        <v>1168</v>
      </c>
      <c r="I3046" s="1115" t="n">
        <v>80420</v>
      </c>
      <c r="J3046" s="1115" t="s">
        <v>167</v>
      </c>
    </row>
    <row r="3047" customFormat="false" ht="14.1" hidden="false" customHeight="true" outlineLevel="0" collapsed="false">
      <c r="A3047" s="1115" t="n">
        <v>80410</v>
      </c>
      <c r="B3047" s="1115" t="s">
        <v>167</v>
      </c>
      <c r="C3047" s="1115" t="n">
        <v>80410</v>
      </c>
      <c r="D3047" s="1115" t="s">
        <v>2083</v>
      </c>
      <c r="E3047" s="1115" t="s">
        <v>3830</v>
      </c>
      <c r="F3047" s="1115" t="n">
        <v>86750</v>
      </c>
      <c r="G3047" s="1115" t="n">
        <v>81720</v>
      </c>
      <c r="H3047" s="1115" t="s">
        <v>1168</v>
      </c>
      <c r="I3047" s="1115" t="n">
        <v>80510</v>
      </c>
      <c r="J3047" s="1115" t="s">
        <v>1097</v>
      </c>
    </row>
    <row r="3048" customFormat="false" ht="14.1" hidden="false" customHeight="true" outlineLevel="0" collapsed="false">
      <c r="A3048" s="1115" t="n">
        <v>80420</v>
      </c>
      <c r="B3048" s="1115" t="s">
        <v>167</v>
      </c>
      <c r="C3048" s="1115" t="n">
        <v>80420</v>
      </c>
      <c r="D3048" s="1115" t="s">
        <v>1761</v>
      </c>
      <c r="E3048" s="1115" t="s">
        <v>1481</v>
      </c>
      <c r="F3048" s="1115" t="n">
        <v>54800</v>
      </c>
      <c r="G3048" s="1115" t="n">
        <v>81730</v>
      </c>
      <c r="H3048" s="1115" t="s">
        <v>1168</v>
      </c>
      <c r="I3048" s="1115" t="n">
        <v>80580</v>
      </c>
      <c r="J3048" s="1115" t="s">
        <v>1097</v>
      </c>
    </row>
    <row r="3049" customFormat="false" ht="14.1" hidden="false" customHeight="true" outlineLevel="0" collapsed="false">
      <c r="A3049" s="1115" t="n">
        <v>80510</v>
      </c>
      <c r="B3049" s="1115" t="s">
        <v>167</v>
      </c>
      <c r="C3049" s="1115" t="n">
        <v>80510</v>
      </c>
      <c r="D3049" s="1115" t="s">
        <v>3406</v>
      </c>
      <c r="E3049" s="1115" t="s">
        <v>3831</v>
      </c>
      <c r="F3049" s="1115" t="n">
        <v>81930</v>
      </c>
      <c r="G3049" s="1115" t="n">
        <v>81750</v>
      </c>
      <c r="H3049" s="1115" t="s">
        <v>3487</v>
      </c>
      <c r="I3049" s="1115" t="n">
        <v>80710</v>
      </c>
      <c r="J3049" s="1115" t="s">
        <v>1097</v>
      </c>
    </row>
    <row r="3050" customFormat="false" ht="14.1" hidden="false" customHeight="true" outlineLevel="0" collapsed="false">
      <c r="A3050" s="1115" t="n">
        <v>80580</v>
      </c>
      <c r="B3050" s="1115" t="s">
        <v>167</v>
      </c>
      <c r="C3050" s="1115" t="n">
        <v>80580</v>
      </c>
      <c r="D3050" s="1115" t="s">
        <v>2701</v>
      </c>
      <c r="E3050" s="1115" t="s">
        <v>3434</v>
      </c>
      <c r="F3050" s="1115" t="n">
        <v>62810</v>
      </c>
      <c r="G3050" s="1115" t="n">
        <v>81770</v>
      </c>
      <c r="H3050" s="1115" t="s">
        <v>3832</v>
      </c>
      <c r="I3050" s="1115" t="n">
        <v>80770</v>
      </c>
      <c r="J3050" s="1115" t="s">
        <v>1097</v>
      </c>
    </row>
    <row r="3051" customFormat="false" ht="14.1" hidden="false" customHeight="true" outlineLevel="0" collapsed="false">
      <c r="A3051" s="1115" t="n">
        <v>80710</v>
      </c>
      <c r="B3051" s="1115" t="s">
        <v>167</v>
      </c>
      <c r="C3051" s="1115" t="n">
        <v>80710</v>
      </c>
      <c r="D3051" s="1115" t="s">
        <v>2935</v>
      </c>
      <c r="E3051" s="1115" t="s">
        <v>3431</v>
      </c>
      <c r="F3051" s="1115" t="n">
        <v>62640</v>
      </c>
      <c r="G3051" s="1115" t="n">
        <v>81810</v>
      </c>
      <c r="H3051" s="1115" t="s">
        <v>1995</v>
      </c>
      <c r="I3051" s="1115" t="n">
        <v>80780</v>
      </c>
      <c r="J3051" s="1115" t="s">
        <v>1097</v>
      </c>
    </row>
    <row r="3052" customFormat="false" ht="14.1" hidden="false" customHeight="true" outlineLevel="0" collapsed="false">
      <c r="A3052" s="1115" t="n">
        <v>80770</v>
      </c>
      <c r="B3052" s="1115" t="s">
        <v>167</v>
      </c>
      <c r="C3052" s="1115" t="n">
        <v>80770</v>
      </c>
      <c r="D3052" s="1115" t="s">
        <v>1097</v>
      </c>
      <c r="E3052" s="1115" t="s">
        <v>1484</v>
      </c>
      <c r="F3052" s="1115" t="n">
        <v>57100</v>
      </c>
      <c r="G3052" s="1115" t="n">
        <v>81820</v>
      </c>
      <c r="H3052" s="1115" t="s">
        <v>2776</v>
      </c>
      <c r="I3052" s="1115" t="n">
        <v>80790</v>
      </c>
      <c r="J3052" s="1115" t="s">
        <v>1097</v>
      </c>
    </row>
    <row r="3053" customFormat="false" ht="14.1" hidden="false" customHeight="true" outlineLevel="0" collapsed="false">
      <c r="A3053" s="1115" t="n">
        <v>80780</v>
      </c>
      <c r="B3053" s="1115" t="s">
        <v>167</v>
      </c>
      <c r="C3053" s="1115" t="n">
        <v>80780</v>
      </c>
      <c r="D3053" s="1115" t="s">
        <v>2545</v>
      </c>
      <c r="E3053" s="1115" t="s">
        <v>1484</v>
      </c>
      <c r="F3053" s="1115" t="n">
        <v>57120</v>
      </c>
      <c r="G3053" s="1115" t="n">
        <v>81840</v>
      </c>
      <c r="H3053" s="1115" t="s">
        <v>3833</v>
      </c>
      <c r="I3053" s="1115" t="n">
        <v>80850</v>
      </c>
      <c r="J3053" s="1115" t="s">
        <v>1097</v>
      </c>
    </row>
    <row r="3054" customFormat="false" ht="14.1" hidden="false" customHeight="true" outlineLevel="0" collapsed="false">
      <c r="A3054" s="1115" t="n">
        <v>80790</v>
      </c>
      <c r="B3054" s="1115" t="s">
        <v>167</v>
      </c>
      <c r="C3054" s="1115" t="n">
        <v>80790</v>
      </c>
      <c r="D3054" s="1115" t="s">
        <v>2547</v>
      </c>
      <c r="E3054" s="1115" t="s">
        <v>1484</v>
      </c>
      <c r="F3054" s="1115" t="n">
        <v>57130</v>
      </c>
      <c r="G3054" s="1115" t="n">
        <v>81850</v>
      </c>
      <c r="H3054" s="1115" t="s">
        <v>3266</v>
      </c>
      <c r="I3054" s="1115" t="n">
        <v>80910</v>
      </c>
      <c r="J3054" s="1115" t="s">
        <v>1097</v>
      </c>
    </row>
    <row r="3055" customFormat="false" ht="14.1" hidden="false" customHeight="true" outlineLevel="0" collapsed="false">
      <c r="A3055" s="1115" t="n">
        <v>80850</v>
      </c>
      <c r="B3055" s="1115" t="s">
        <v>167</v>
      </c>
      <c r="C3055" s="1115" t="n">
        <v>80850</v>
      </c>
      <c r="D3055" s="1115" t="s">
        <v>3456</v>
      </c>
      <c r="E3055" s="1115" t="s">
        <v>1484</v>
      </c>
      <c r="F3055" s="1115" t="n">
        <v>57170</v>
      </c>
      <c r="G3055" s="1115" t="n">
        <v>81860</v>
      </c>
      <c r="H3055" s="1115" t="s">
        <v>3834</v>
      </c>
      <c r="I3055" s="1115" t="n">
        <v>81100</v>
      </c>
      <c r="J3055" s="1115" t="s">
        <v>1097</v>
      </c>
    </row>
    <row r="3056" customFormat="false" ht="14.1" hidden="false" customHeight="true" outlineLevel="0" collapsed="false">
      <c r="A3056" s="1115" t="n">
        <v>80910</v>
      </c>
      <c r="B3056" s="1115" t="s">
        <v>167</v>
      </c>
      <c r="C3056" s="1115" t="n">
        <v>80910</v>
      </c>
      <c r="D3056" s="1115" t="s">
        <v>2682</v>
      </c>
      <c r="E3056" s="1115" t="s">
        <v>1484</v>
      </c>
      <c r="F3056" s="1115" t="n">
        <v>57200</v>
      </c>
      <c r="G3056" s="1115" t="n">
        <v>81930</v>
      </c>
      <c r="H3056" s="1115" t="s">
        <v>3831</v>
      </c>
      <c r="I3056" s="1115" t="n">
        <v>81120</v>
      </c>
      <c r="J3056" s="1115" t="s">
        <v>1097</v>
      </c>
    </row>
    <row r="3057" customFormat="false" ht="14.1" hidden="false" customHeight="true" outlineLevel="0" collapsed="false">
      <c r="A3057" s="1115" t="n">
        <v>81100</v>
      </c>
      <c r="B3057" s="1115" t="s">
        <v>167</v>
      </c>
      <c r="C3057" s="1115" t="n">
        <v>81100</v>
      </c>
      <c r="D3057" s="1115" t="s">
        <v>1097</v>
      </c>
      <c r="E3057" s="1115" t="s">
        <v>1484</v>
      </c>
      <c r="F3057" s="1115" t="n">
        <v>57210</v>
      </c>
      <c r="G3057" s="1115" t="n">
        <v>81950</v>
      </c>
      <c r="H3057" s="1115" t="s">
        <v>3486</v>
      </c>
      <c r="I3057" s="1115" t="n">
        <v>81130</v>
      </c>
      <c r="J3057" s="1115" t="s">
        <v>1097</v>
      </c>
    </row>
    <row r="3058" customFormat="false" ht="14.1" hidden="false" customHeight="true" outlineLevel="0" collapsed="false">
      <c r="A3058" s="1115" t="n">
        <v>81120</v>
      </c>
      <c r="B3058" s="1115" t="s">
        <v>167</v>
      </c>
      <c r="C3058" s="1115" t="n">
        <v>81120</v>
      </c>
      <c r="D3058" s="1115" t="s">
        <v>2304</v>
      </c>
      <c r="E3058" s="1115" t="s">
        <v>1484</v>
      </c>
      <c r="F3058" s="1115" t="n">
        <v>57220</v>
      </c>
      <c r="G3058" s="1115" t="n">
        <v>81970</v>
      </c>
      <c r="H3058" s="1115" t="s">
        <v>2025</v>
      </c>
      <c r="I3058" s="1115" t="n">
        <v>81140</v>
      </c>
      <c r="J3058" s="1115" t="s">
        <v>1097</v>
      </c>
    </row>
    <row r="3059" customFormat="false" ht="14.1" hidden="false" customHeight="true" outlineLevel="0" collapsed="false">
      <c r="A3059" s="1115" t="n">
        <v>81130</v>
      </c>
      <c r="B3059" s="1115" t="s">
        <v>167</v>
      </c>
      <c r="C3059" s="1115" t="n">
        <v>81130</v>
      </c>
      <c r="D3059" s="1115" t="s">
        <v>3717</v>
      </c>
      <c r="E3059" s="1115" t="s">
        <v>1484</v>
      </c>
      <c r="F3059" s="1115" t="n">
        <v>57230</v>
      </c>
      <c r="G3059" s="1115" t="n">
        <v>82110</v>
      </c>
      <c r="H3059" s="1115" t="s">
        <v>1544</v>
      </c>
      <c r="I3059" s="1115" t="n">
        <v>81150</v>
      </c>
      <c r="J3059" s="1115" t="s">
        <v>1097</v>
      </c>
    </row>
    <row r="3060" customFormat="false" ht="14.1" hidden="false" customHeight="true" outlineLevel="0" collapsed="false">
      <c r="A3060" s="1115" t="n">
        <v>81140</v>
      </c>
      <c r="B3060" s="1115" t="s">
        <v>167</v>
      </c>
      <c r="C3060" s="1115" t="n">
        <v>81140</v>
      </c>
      <c r="D3060" s="1115" t="s">
        <v>1780</v>
      </c>
      <c r="E3060" s="1115" t="s">
        <v>1484</v>
      </c>
      <c r="F3060" s="1115" t="n">
        <v>57310</v>
      </c>
      <c r="G3060" s="1115" t="n">
        <v>82120</v>
      </c>
      <c r="H3060" s="1115" t="s">
        <v>2389</v>
      </c>
      <c r="I3060" s="1115" t="n">
        <v>81160</v>
      </c>
      <c r="J3060" s="1115" t="s">
        <v>1097</v>
      </c>
    </row>
    <row r="3061" customFormat="false" ht="14.1" hidden="false" customHeight="true" outlineLevel="0" collapsed="false">
      <c r="A3061" s="1115" t="n">
        <v>81150</v>
      </c>
      <c r="B3061" s="1115" t="s">
        <v>167</v>
      </c>
      <c r="C3061" s="1115" t="n">
        <v>81150</v>
      </c>
      <c r="D3061" s="1115" t="s">
        <v>3719</v>
      </c>
      <c r="E3061" s="1115" t="s">
        <v>1484</v>
      </c>
      <c r="F3061" s="1115" t="n">
        <v>57510</v>
      </c>
      <c r="G3061" s="1115" t="n">
        <v>82130</v>
      </c>
      <c r="H3061" s="1115" t="s">
        <v>3779</v>
      </c>
      <c r="I3061" s="1115" t="n">
        <v>81190</v>
      </c>
      <c r="J3061" s="1115" t="s">
        <v>1097</v>
      </c>
    </row>
    <row r="3062" customFormat="false" ht="14.1" hidden="false" customHeight="true" outlineLevel="0" collapsed="false">
      <c r="A3062" s="1115" t="n">
        <v>81160</v>
      </c>
      <c r="B3062" s="1115" t="s">
        <v>167</v>
      </c>
      <c r="C3062" s="1115" t="n">
        <v>81160</v>
      </c>
      <c r="D3062" s="1115" t="s">
        <v>3737</v>
      </c>
      <c r="E3062" s="1115" t="s">
        <v>1484</v>
      </c>
      <c r="F3062" s="1115" t="n">
        <v>57600</v>
      </c>
      <c r="G3062" s="1115" t="n">
        <v>82140</v>
      </c>
      <c r="H3062" s="1115" t="s">
        <v>2407</v>
      </c>
      <c r="I3062" s="1115" t="n">
        <v>81200</v>
      </c>
      <c r="J3062" s="1115" t="s">
        <v>1097</v>
      </c>
    </row>
    <row r="3063" customFormat="false" ht="14.1" hidden="false" customHeight="true" outlineLevel="0" collapsed="false">
      <c r="A3063" s="1115" t="n">
        <v>81190</v>
      </c>
      <c r="B3063" s="1115" t="s">
        <v>167</v>
      </c>
      <c r="C3063" s="1115" t="n">
        <v>81190</v>
      </c>
      <c r="D3063" s="1115" t="s">
        <v>1671</v>
      </c>
      <c r="E3063" s="1115" t="s">
        <v>1484</v>
      </c>
      <c r="F3063" s="1115" t="n">
        <v>57710</v>
      </c>
      <c r="G3063" s="1115" t="n">
        <v>82150</v>
      </c>
      <c r="H3063" s="1115" t="s">
        <v>3471</v>
      </c>
      <c r="I3063" s="1115" t="n">
        <v>81220</v>
      </c>
      <c r="J3063" s="1115" t="s">
        <v>1097</v>
      </c>
    </row>
    <row r="3064" customFormat="false" ht="14.1" hidden="false" customHeight="true" outlineLevel="0" collapsed="false">
      <c r="A3064" s="1115" t="n">
        <v>81200</v>
      </c>
      <c r="B3064" s="1115" t="s">
        <v>167</v>
      </c>
      <c r="C3064" s="1115" t="n">
        <v>81200</v>
      </c>
      <c r="D3064" s="1115" t="s">
        <v>760</v>
      </c>
      <c r="E3064" s="1115" t="s">
        <v>1484</v>
      </c>
      <c r="F3064" s="1115" t="n">
        <v>57810</v>
      </c>
      <c r="G3064" s="1115" t="n">
        <v>82160</v>
      </c>
      <c r="H3064" s="1115" t="s">
        <v>3417</v>
      </c>
      <c r="I3064" s="1115" t="n">
        <v>81230</v>
      </c>
      <c r="J3064" s="1115" t="s">
        <v>1097</v>
      </c>
    </row>
    <row r="3065" customFormat="false" ht="14.1" hidden="false" customHeight="true" outlineLevel="0" collapsed="false">
      <c r="A3065" s="1115" t="n">
        <v>81220</v>
      </c>
      <c r="B3065" s="1115" t="s">
        <v>167</v>
      </c>
      <c r="C3065" s="1115" t="n">
        <v>81220</v>
      </c>
      <c r="D3065" s="1115" t="s">
        <v>1989</v>
      </c>
      <c r="E3065" s="1115" t="s">
        <v>1486</v>
      </c>
      <c r="F3065" s="1115" t="n">
        <v>58300</v>
      </c>
      <c r="G3065" s="1115" t="n">
        <v>82165</v>
      </c>
      <c r="H3065" s="1115" t="s">
        <v>3419</v>
      </c>
      <c r="I3065" s="1115" t="n">
        <v>81235</v>
      </c>
      <c r="J3065" s="1115" t="s">
        <v>1097</v>
      </c>
    </row>
    <row r="3066" customFormat="false" ht="14.1" hidden="false" customHeight="true" outlineLevel="0" collapsed="false">
      <c r="A3066" s="1115" t="n">
        <v>81230</v>
      </c>
      <c r="B3066" s="1115" t="s">
        <v>167</v>
      </c>
      <c r="C3066" s="1115" t="n">
        <v>81230</v>
      </c>
      <c r="D3066" s="1115" t="s">
        <v>3273</v>
      </c>
      <c r="E3066" s="1115" t="s">
        <v>1488</v>
      </c>
      <c r="F3066" s="1115" t="n">
        <v>98800</v>
      </c>
      <c r="G3066" s="1115" t="n">
        <v>82170</v>
      </c>
      <c r="H3066" s="1115" t="s">
        <v>3835</v>
      </c>
      <c r="I3066" s="1115" t="n">
        <v>81240</v>
      </c>
      <c r="J3066" s="1115" t="s">
        <v>1097</v>
      </c>
    </row>
    <row r="3067" customFormat="false" ht="14.1" hidden="false" customHeight="true" outlineLevel="0" collapsed="false">
      <c r="A3067" s="1115" t="n">
        <v>81235</v>
      </c>
      <c r="B3067" s="1115" t="s">
        <v>167</v>
      </c>
      <c r="C3067" s="1115" t="n">
        <v>81235</v>
      </c>
      <c r="D3067" s="1115" t="s">
        <v>2938</v>
      </c>
      <c r="E3067" s="1115" t="s">
        <v>3761</v>
      </c>
      <c r="F3067" s="1115" t="n">
        <v>77480</v>
      </c>
      <c r="G3067" s="1115" t="n">
        <v>82180</v>
      </c>
      <c r="H3067" s="1115" t="s">
        <v>1795</v>
      </c>
      <c r="I3067" s="1115" t="n">
        <v>81250</v>
      </c>
      <c r="J3067" s="1115" t="s">
        <v>1097</v>
      </c>
    </row>
    <row r="3068" customFormat="false" ht="14.1" hidden="false" customHeight="true" outlineLevel="0" collapsed="false">
      <c r="A3068" s="1115" t="n">
        <v>81240</v>
      </c>
      <c r="B3068" s="1115" t="s">
        <v>167</v>
      </c>
      <c r="C3068" s="1115" t="n">
        <v>81240</v>
      </c>
      <c r="D3068" s="1115" t="s">
        <v>3814</v>
      </c>
      <c r="E3068" s="1115" t="s">
        <v>2036</v>
      </c>
      <c r="F3068" s="1115" t="n">
        <v>22810</v>
      </c>
      <c r="G3068" s="1115" t="n">
        <v>82190</v>
      </c>
      <c r="H3068" s="1115" t="s">
        <v>3836</v>
      </c>
      <c r="I3068" s="1115" t="n">
        <v>81260</v>
      </c>
      <c r="J3068" s="1115" t="s">
        <v>1097</v>
      </c>
    </row>
    <row r="3069" customFormat="false" ht="14.1" hidden="false" customHeight="true" outlineLevel="0" collapsed="false">
      <c r="A3069" s="1115" t="n">
        <v>81250</v>
      </c>
      <c r="B3069" s="1115" t="s">
        <v>167</v>
      </c>
      <c r="C3069" s="1115" t="n">
        <v>81250</v>
      </c>
      <c r="D3069" s="1115" t="s">
        <v>1827</v>
      </c>
      <c r="E3069" s="1115" t="s">
        <v>2036</v>
      </c>
      <c r="F3069" s="1115" t="n">
        <v>22810</v>
      </c>
      <c r="G3069" s="1115" t="n">
        <v>82200</v>
      </c>
      <c r="H3069" s="1115" t="s">
        <v>1362</v>
      </c>
      <c r="I3069" s="1115" t="n">
        <v>81270</v>
      </c>
      <c r="J3069" s="1115" t="s">
        <v>1097</v>
      </c>
    </row>
    <row r="3070" customFormat="false" ht="14.1" hidden="false" customHeight="true" outlineLevel="0" collapsed="false">
      <c r="A3070" s="1115" t="n">
        <v>81260</v>
      </c>
      <c r="B3070" s="1115" t="s">
        <v>167</v>
      </c>
      <c r="C3070" s="1115" t="n">
        <v>81260</v>
      </c>
      <c r="D3070" s="1115" t="s">
        <v>766</v>
      </c>
      <c r="E3070" s="1115" t="s">
        <v>3265</v>
      </c>
      <c r="F3070" s="1115" t="n">
        <v>58240</v>
      </c>
      <c r="G3070" s="1115" t="n">
        <v>82210</v>
      </c>
      <c r="H3070" s="1115" t="s">
        <v>3837</v>
      </c>
      <c r="I3070" s="1115" t="n">
        <v>81280</v>
      </c>
      <c r="J3070" s="1115" t="s">
        <v>1097</v>
      </c>
    </row>
    <row r="3071" customFormat="false" ht="14.1" hidden="false" customHeight="true" outlineLevel="0" collapsed="false">
      <c r="A3071" s="1115" t="n">
        <v>81270</v>
      </c>
      <c r="B3071" s="1115" t="s">
        <v>167</v>
      </c>
      <c r="C3071" s="1115" t="n">
        <v>81270</v>
      </c>
      <c r="D3071" s="1115" t="s">
        <v>3510</v>
      </c>
      <c r="E3071" s="1115" t="s">
        <v>1490</v>
      </c>
      <c r="F3071" s="1115" t="n">
        <v>60100</v>
      </c>
      <c r="G3071" s="1115" t="n">
        <v>82220</v>
      </c>
      <c r="H3071" s="1115" t="s">
        <v>3330</v>
      </c>
      <c r="I3071" s="1115" t="n">
        <v>81290</v>
      </c>
      <c r="J3071" s="1115" t="s">
        <v>1097</v>
      </c>
    </row>
    <row r="3072" customFormat="false" ht="14.1" hidden="false" customHeight="true" outlineLevel="0" collapsed="false">
      <c r="A3072" s="1115" t="n">
        <v>81280</v>
      </c>
      <c r="B3072" s="1115" t="s">
        <v>167</v>
      </c>
      <c r="C3072" s="1115" t="n">
        <v>81280</v>
      </c>
      <c r="D3072" s="1115" t="s">
        <v>3815</v>
      </c>
      <c r="E3072" s="1115" t="s">
        <v>1490</v>
      </c>
      <c r="F3072" s="1115" t="n">
        <v>60110</v>
      </c>
      <c r="G3072" s="1115" t="n">
        <v>82230</v>
      </c>
      <c r="H3072" s="1115" t="s">
        <v>1308</v>
      </c>
      <c r="I3072" s="1115" t="n">
        <v>81295</v>
      </c>
      <c r="J3072" s="1115" t="s">
        <v>1097</v>
      </c>
    </row>
    <row r="3073" customFormat="false" ht="14.1" hidden="false" customHeight="true" outlineLevel="0" collapsed="false">
      <c r="A3073" s="1115" t="n">
        <v>81290</v>
      </c>
      <c r="B3073" s="1115" t="s">
        <v>167</v>
      </c>
      <c r="C3073" s="1115" t="n">
        <v>81290</v>
      </c>
      <c r="D3073" s="1115" t="s">
        <v>3817</v>
      </c>
      <c r="E3073" s="1115" t="s">
        <v>1490</v>
      </c>
      <c r="F3073" s="1115" t="n">
        <v>60120</v>
      </c>
      <c r="G3073" s="1115" t="n">
        <v>82240</v>
      </c>
      <c r="H3073" s="1115" t="s">
        <v>2267</v>
      </c>
      <c r="I3073" s="1115" t="n">
        <v>81320</v>
      </c>
      <c r="J3073" s="1115" t="s">
        <v>1097</v>
      </c>
    </row>
    <row r="3074" customFormat="false" ht="14.1" hidden="false" customHeight="true" outlineLevel="0" collapsed="false">
      <c r="A3074" s="1115" t="n">
        <v>81295</v>
      </c>
      <c r="B3074" s="1115" t="s">
        <v>167</v>
      </c>
      <c r="C3074" s="1115" t="n">
        <v>81295</v>
      </c>
      <c r="D3074" s="1115" t="s">
        <v>1273</v>
      </c>
      <c r="E3074" s="1115" t="s">
        <v>1490</v>
      </c>
      <c r="F3074" s="1115" t="n">
        <v>60150</v>
      </c>
      <c r="G3074" s="1115" t="n">
        <v>82250</v>
      </c>
      <c r="H3074" s="1115" t="s">
        <v>3712</v>
      </c>
      <c r="I3074" s="1115" t="n">
        <v>81330</v>
      </c>
      <c r="J3074" s="1115" t="s">
        <v>1097</v>
      </c>
    </row>
    <row r="3075" customFormat="false" ht="14.1" hidden="false" customHeight="true" outlineLevel="0" collapsed="false">
      <c r="A3075" s="1115" t="n">
        <v>81320</v>
      </c>
      <c r="B3075" s="1115" t="s">
        <v>167</v>
      </c>
      <c r="C3075" s="1115" t="n">
        <v>81320</v>
      </c>
      <c r="D3075" s="1115" t="s">
        <v>2658</v>
      </c>
      <c r="E3075" s="1115" t="s">
        <v>1490</v>
      </c>
      <c r="F3075" s="1115" t="n">
        <v>60200</v>
      </c>
      <c r="G3075" s="1115" t="n">
        <v>82255</v>
      </c>
      <c r="H3075" s="1115" t="s">
        <v>2762</v>
      </c>
      <c r="I3075" s="1115" t="n">
        <v>81350</v>
      </c>
      <c r="J3075" s="1115" t="s">
        <v>880</v>
      </c>
    </row>
    <row r="3076" customFormat="false" ht="14.1" hidden="false" customHeight="true" outlineLevel="0" collapsed="false">
      <c r="A3076" s="1115" t="n">
        <v>81330</v>
      </c>
      <c r="B3076" s="1115" t="s">
        <v>167</v>
      </c>
      <c r="C3076" s="1115" t="n">
        <v>81330</v>
      </c>
      <c r="D3076" s="1115" t="s">
        <v>3046</v>
      </c>
      <c r="E3076" s="1115" t="s">
        <v>1490</v>
      </c>
      <c r="F3076" s="1115" t="n">
        <v>60220</v>
      </c>
      <c r="G3076" s="1115" t="n">
        <v>82270</v>
      </c>
      <c r="H3076" s="1115" t="s">
        <v>2255</v>
      </c>
      <c r="I3076" s="1115" t="n">
        <v>81360</v>
      </c>
      <c r="J3076" s="1115" t="s">
        <v>880</v>
      </c>
    </row>
    <row r="3077" customFormat="false" ht="14.1" hidden="false" customHeight="true" outlineLevel="0" collapsed="false">
      <c r="A3077" s="1115" t="n">
        <v>81350</v>
      </c>
      <c r="B3077" s="1115" t="s">
        <v>167</v>
      </c>
      <c r="C3077" s="1115" t="n">
        <v>81350</v>
      </c>
      <c r="D3077" s="1115" t="s">
        <v>3820</v>
      </c>
      <c r="E3077" s="1115" t="s">
        <v>1490</v>
      </c>
      <c r="F3077" s="1115" t="n">
        <v>60280</v>
      </c>
      <c r="G3077" s="1115" t="n">
        <v>82290</v>
      </c>
      <c r="H3077" s="1115" t="s">
        <v>3317</v>
      </c>
      <c r="I3077" s="1115" t="n">
        <v>81380</v>
      </c>
      <c r="J3077" s="1115" t="s">
        <v>880</v>
      </c>
    </row>
    <row r="3078" customFormat="false" ht="14.1" hidden="false" customHeight="true" outlineLevel="0" collapsed="false">
      <c r="A3078" s="1115" t="n">
        <v>81360</v>
      </c>
      <c r="B3078" s="1115" t="s">
        <v>167</v>
      </c>
      <c r="C3078" s="1115" t="n">
        <v>81360</v>
      </c>
      <c r="D3078" s="1115" t="s">
        <v>3821</v>
      </c>
      <c r="E3078" s="1115" t="s">
        <v>1490</v>
      </c>
      <c r="F3078" s="1115" t="n">
        <v>60320</v>
      </c>
      <c r="G3078" s="1115" t="n">
        <v>82300</v>
      </c>
      <c r="H3078" s="1115" t="s">
        <v>1464</v>
      </c>
      <c r="I3078" s="1115" t="n">
        <v>81390</v>
      </c>
      <c r="J3078" s="1115" t="s">
        <v>880</v>
      </c>
    </row>
    <row r="3079" customFormat="false" ht="14.1" hidden="false" customHeight="true" outlineLevel="0" collapsed="false">
      <c r="A3079" s="1115" t="n">
        <v>81380</v>
      </c>
      <c r="B3079" s="1115" t="s">
        <v>167</v>
      </c>
      <c r="C3079" s="1115" t="n">
        <v>81380</v>
      </c>
      <c r="D3079" s="1115" t="s">
        <v>3589</v>
      </c>
      <c r="E3079" s="1115" t="s">
        <v>1490</v>
      </c>
      <c r="F3079" s="1115" t="n">
        <v>60320</v>
      </c>
      <c r="G3079" s="1115" t="n">
        <v>82310</v>
      </c>
      <c r="H3079" s="1115" t="s">
        <v>3415</v>
      </c>
      <c r="I3079" s="1115" t="n">
        <v>81420</v>
      </c>
      <c r="J3079" s="1115" t="s">
        <v>880</v>
      </c>
    </row>
    <row r="3080" customFormat="false" ht="14.1" hidden="false" customHeight="true" outlineLevel="0" collapsed="false">
      <c r="A3080" s="1115" t="n">
        <v>81390</v>
      </c>
      <c r="B3080" s="1115" t="s">
        <v>167</v>
      </c>
      <c r="C3080" s="1115" t="n">
        <v>81390</v>
      </c>
      <c r="D3080" s="1115" t="s">
        <v>3713</v>
      </c>
      <c r="E3080" s="1115" t="s">
        <v>1490</v>
      </c>
      <c r="F3080" s="1115" t="n">
        <v>60420</v>
      </c>
      <c r="G3080" s="1115" t="n">
        <v>82315</v>
      </c>
      <c r="H3080" s="1115" t="s">
        <v>3838</v>
      </c>
      <c r="I3080" s="1115" t="n">
        <v>81430</v>
      </c>
      <c r="J3080" s="1115" t="s">
        <v>880</v>
      </c>
    </row>
    <row r="3081" customFormat="false" ht="14.1" hidden="false" customHeight="true" outlineLevel="0" collapsed="false">
      <c r="A3081" s="1115" t="n">
        <v>81420</v>
      </c>
      <c r="B3081" s="1115" t="s">
        <v>167</v>
      </c>
      <c r="C3081" s="1115" t="n">
        <v>81420</v>
      </c>
      <c r="D3081" s="1115" t="s">
        <v>3822</v>
      </c>
      <c r="E3081" s="1115" t="s">
        <v>3458</v>
      </c>
      <c r="F3081" s="1115" t="n">
        <v>63355</v>
      </c>
      <c r="G3081" s="1115" t="n">
        <v>82350</v>
      </c>
      <c r="H3081" s="1115" t="s">
        <v>3839</v>
      </c>
      <c r="I3081" s="1115" t="n">
        <v>81440</v>
      </c>
      <c r="J3081" s="1115" t="s">
        <v>880</v>
      </c>
    </row>
    <row r="3082" customFormat="false" ht="14.1" hidden="false" customHeight="true" outlineLevel="0" collapsed="false">
      <c r="A3082" s="1115" t="n">
        <v>81430</v>
      </c>
      <c r="B3082" s="1115" t="s">
        <v>167</v>
      </c>
      <c r="C3082" s="1115" t="n">
        <v>81430</v>
      </c>
      <c r="D3082" s="1115" t="s">
        <v>2452</v>
      </c>
      <c r="E3082" s="1115" t="s">
        <v>3840</v>
      </c>
      <c r="F3082" s="1115" t="n">
        <v>99520</v>
      </c>
      <c r="G3082" s="1115" t="n">
        <v>82360</v>
      </c>
      <c r="H3082" s="1115" t="s">
        <v>3399</v>
      </c>
      <c r="I3082" s="1115" t="n">
        <v>81450</v>
      </c>
      <c r="J3082" s="1115" t="s">
        <v>880</v>
      </c>
    </row>
    <row r="3083" customFormat="false" ht="14.1" hidden="false" customHeight="true" outlineLevel="0" collapsed="false">
      <c r="A3083" s="1115" t="n">
        <v>81440</v>
      </c>
      <c r="B3083" s="1115" t="s">
        <v>167</v>
      </c>
      <c r="C3083" s="1115" t="n">
        <v>81440</v>
      </c>
      <c r="D3083" s="1115" t="s">
        <v>3823</v>
      </c>
      <c r="E3083" s="1115" t="s">
        <v>1183</v>
      </c>
      <c r="F3083" s="1115" t="n">
        <v>3320</v>
      </c>
      <c r="G3083" s="1115" t="n">
        <v>82380</v>
      </c>
      <c r="H3083" s="1115" t="s">
        <v>3841</v>
      </c>
      <c r="I3083" s="1115" t="n">
        <v>81460</v>
      </c>
      <c r="J3083" s="1115" t="s">
        <v>880</v>
      </c>
    </row>
    <row r="3084" customFormat="false" ht="14.1" hidden="false" customHeight="true" outlineLevel="0" collapsed="false">
      <c r="A3084" s="1115" t="n">
        <v>81450</v>
      </c>
      <c r="B3084" s="1115" t="s">
        <v>167</v>
      </c>
      <c r="C3084" s="1115" t="n">
        <v>81450</v>
      </c>
      <c r="D3084" s="1115" t="s">
        <v>1797</v>
      </c>
      <c r="E3084" s="1115" t="s">
        <v>3842</v>
      </c>
      <c r="F3084" s="1115" t="n">
        <v>89940</v>
      </c>
      <c r="G3084" s="1115" t="n">
        <v>82395</v>
      </c>
      <c r="H3084" s="1115" t="s">
        <v>1293</v>
      </c>
      <c r="I3084" s="1115" t="n">
        <v>81470</v>
      </c>
      <c r="J3084" s="1115" t="s">
        <v>880</v>
      </c>
    </row>
    <row r="3085" customFormat="false" ht="14.1" hidden="false" customHeight="true" outlineLevel="0" collapsed="false">
      <c r="A3085" s="1115" t="n">
        <v>81460</v>
      </c>
      <c r="B3085" s="1115" t="s">
        <v>167</v>
      </c>
      <c r="C3085" s="1115" t="n">
        <v>81460</v>
      </c>
      <c r="D3085" s="1115" t="s">
        <v>2799</v>
      </c>
      <c r="E3085" s="1115" t="s">
        <v>3843</v>
      </c>
      <c r="F3085" s="1115" t="n">
        <v>98985</v>
      </c>
      <c r="G3085" s="1115" t="n">
        <v>82430</v>
      </c>
      <c r="H3085" s="1115" t="s">
        <v>3629</v>
      </c>
      <c r="I3085" s="1115" t="n">
        <v>81550</v>
      </c>
      <c r="J3085" s="1115" t="s">
        <v>1168</v>
      </c>
    </row>
    <row r="3086" customFormat="false" ht="14.1" hidden="false" customHeight="true" outlineLevel="0" collapsed="false">
      <c r="A3086" s="1115" t="n">
        <v>81470</v>
      </c>
      <c r="B3086" s="1115" t="s">
        <v>167</v>
      </c>
      <c r="C3086" s="1115" t="n">
        <v>81470</v>
      </c>
      <c r="D3086" s="1115" t="s">
        <v>3283</v>
      </c>
      <c r="E3086" s="1115" t="s">
        <v>2993</v>
      </c>
      <c r="F3086" s="1115" t="n">
        <v>47810</v>
      </c>
      <c r="G3086" s="1115" t="n">
        <v>82435</v>
      </c>
      <c r="H3086" s="1115" t="s">
        <v>2498</v>
      </c>
      <c r="I3086" s="1115" t="n">
        <v>81560</v>
      </c>
      <c r="J3086" s="1115" t="s">
        <v>1168</v>
      </c>
    </row>
    <row r="3087" customFormat="false" ht="14.1" hidden="false" customHeight="true" outlineLevel="0" collapsed="false">
      <c r="A3087" s="1115" t="n">
        <v>81550</v>
      </c>
      <c r="B3087" s="1115" t="s">
        <v>167</v>
      </c>
      <c r="C3087" s="1115" t="n">
        <v>81550</v>
      </c>
      <c r="D3087" s="1115" t="s">
        <v>2723</v>
      </c>
      <c r="E3087" s="1115" t="s">
        <v>2927</v>
      </c>
      <c r="F3087" s="1115" t="n">
        <v>44840</v>
      </c>
      <c r="G3087" s="1115" t="n">
        <v>82440</v>
      </c>
      <c r="H3087" s="1115" t="s">
        <v>3631</v>
      </c>
      <c r="I3087" s="1115" t="n">
        <v>81570</v>
      </c>
      <c r="J3087" s="1115" t="s">
        <v>1168</v>
      </c>
    </row>
    <row r="3088" customFormat="false" ht="14.1" hidden="false" customHeight="true" outlineLevel="0" collapsed="false">
      <c r="A3088" s="1115" t="n">
        <v>81560</v>
      </c>
      <c r="B3088" s="1115" t="s">
        <v>167</v>
      </c>
      <c r="C3088" s="1115" t="n">
        <v>81560</v>
      </c>
      <c r="D3088" s="1115" t="s">
        <v>3826</v>
      </c>
      <c r="E3088" s="1115" t="s">
        <v>3534</v>
      </c>
      <c r="F3088" s="1115" t="n">
        <v>65610</v>
      </c>
      <c r="G3088" s="1115" t="n">
        <v>82450</v>
      </c>
      <c r="H3088" s="1115" t="s">
        <v>2549</v>
      </c>
      <c r="I3088" s="1115" t="n">
        <v>81580</v>
      </c>
      <c r="J3088" s="1115" t="s">
        <v>1168</v>
      </c>
    </row>
    <row r="3089" customFormat="false" ht="14.1" hidden="false" customHeight="true" outlineLevel="0" collapsed="false">
      <c r="A3089" s="1115" t="n">
        <v>81570</v>
      </c>
      <c r="B3089" s="1115" t="s">
        <v>167</v>
      </c>
      <c r="C3089" s="1115" t="n">
        <v>81570</v>
      </c>
      <c r="D3089" s="1115" t="s">
        <v>2364</v>
      </c>
      <c r="E3089" s="1115" t="s">
        <v>3844</v>
      </c>
      <c r="F3089" s="1115" t="n">
        <v>99930</v>
      </c>
      <c r="G3089" s="1115" t="n">
        <v>82460</v>
      </c>
      <c r="H3089" s="1115" t="s">
        <v>1807</v>
      </c>
      <c r="I3089" s="1115" t="n">
        <v>81590</v>
      </c>
      <c r="J3089" s="1115" t="s">
        <v>1168</v>
      </c>
    </row>
    <row r="3090" customFormat="false" ht="14.1" hidden="false" customHeight="true" outlineLevel="0" collapsed="false">
      <c r="A3090" s="1115" t="n">
        <v>81580</v>
      </c>
      <c r="B3090" s="1115" t="s">
        <v>167</v>
      </c>
      <c r="C3090" s="1115" t="n">
        <v>81580</v>
      </c>
      <c r="D3090" s="1115" t="s">
        <v>2898</v>
      </c>
      <c r="E3090" s="1115" t="s">
        <v>3554</v>
      </c>
      <c r="F3090" s="1115" t="n">
        <v>66275</v>
      </c>
      <c r="G3090" s="1115" t="n">
        <v>82470</v>
      </c>
      <c r="H3090" s="1115" t="s">
        <v>2941</v>
      </c>
      <c r="I3090" s="1115" t="n">
        <v>81630</v>
      </c>
      <c r="J3090" s="1115" t="s">
        <v>1168</v>
      </c>
    </row>
    <row r="3091" customFormat="false" ht="14.1" hidden="false" customHeight="true" outlineLevel="0" collapsed="false">
      <c r="A3091" s="1115" t="n">
        <v>81590</v>
      </c>
      <c r="B3091" s="1115" t="s">
        <v>167</v>
      </c>
      <c r="C3091" s="1115" t="n">
        <v>81590</v>
      </c>
      <c r="D3091" s="1115" t="s">
        <v>3828</v>
      </c>
      <c r="E3091" s="1115" t="s">
        <v>3845</v>
      </c>
      <c r="F3091" s="1115" t="n">
        <v>95800</v>
      </c>
      <c r="G3091" s="1115" t="n">
        <v>82480</v>
      </c>
      <c r="H3091" s="1115" t="s">
        <v>3846</v>
      </c>
      <c r="I3091" s="1115" t="n">
        <v>81640</v>
      </c>
      <c r="J3091" s="1115" t="s">
        <v>1168</v>
      </c>
    </row>
    <row r="3092" customFormat="false" ht="14.1" hidden="false" customHeight="true" outlineLevel="0" collapsed="false">
      <c r="A3092" s="1115" t="n">
        <v>81630</v>
      </c>
      <c r="B3092" s="1115" t="s">
        <v>167</v>
      </c>
      <c r="C3092" s="1115" t="n">
        <v>81630</v>
      </c>
      <c r="D3092" s="1115" t="s">
        <v>3763</v>
      </c>
      <c r="E3092" s="1115" t="s">
        <v>1493</v>
      </c>
      <c r="F3092" s="1115" t="n">
        <v>85310</v>
      </c>
      <c r="G3092" s="1115" t="n">
        <v>82490</v>
      </c>
      <c r="H3092" s="1115" t="s">
        <v>1530</v>
      </c>
      <c r="I3092" s="1115" t="n">
        <v>81650</v>
      </c>
      <c r="J3092" s="1115" t="s">
        <v>1168</v>
      </c>
    </row>
    <row r="3093" customFormat="false" ht="14.1" hidden="false" customHeight="true" outlineLevel="0" collapsed="false">
      <c r="A3093" s="1115" t="n">
        <v>81640</v>
      </c>
      <c r="B3093" s="1115" t="s">
        <v>167</v>
      </c>
      <c r="C3093" s="1115" t="n">
        <v>81640</v>
      </c>
      <c r="D3093" s="1115" t="s">
        <v>3829</v>
      </c>
      <c r="E3093" s="1115" t="s">
        <v>1493</v>
      </c>
      <c r="F3093" s="1115" t="n">
        <v>85410</v>
      </c>
      <c r="G3093" s="1115" t="n">
        <v>82500</v>
      </c>
      <c r="H3093" s="1115" t="s">
        <v>1081</v>
      </c>
      <c r="I3093" s="1115" t="n">
        <v>81660</v>
      </c>
      <c r="J3093" s="1115" t="s">
        <v>1168</v>
      </c>
    </row>
    <row r="3094" customFormat="false" ht="14.1" hidden="false" customHeight="true" outlineLevel="0" collapsed="false">
      <c r="A3094" s="1115" t="n">
        <v>81650</v>
      </c>
      <c r="B3094" s="1115" t="s">
        <v>167</v>
      </c>
      <c r="C3094" s="1115" t="n">
        <v>81650</v>
      </c>
      <c r="D3094" s="1115" t="s">
        <v>1458</v>
      </c>
      <c r="E3094" s="1115" t="s">
        <v>3847</v>
      </c>
      <c r="F3094" s="1115" t="n">
        <v>97685</v>
      </c>
      <c r="G3094" s="1115" t="n">
        <v>82510</v>
      </c>
      <c r="H3094" s="1115" t="s">
        <v>2443</v>
      </c>
      <c r="I3094" s="1115" t="n">
        <v>81670</v>
      </c>
      <c r="J3094" s="1115" t="s">
        <v>1168</v>
      </c>
    </row>
    <row r="3095" customFormat="false" ht="14.1" hidden="false" customHeight="true" outlineLevel="0" collapsed="false">
      <c r="A3095" s="1115" t="n">
        <v>81660</v>
      </c>
      <c r="B3095" s="1115" t="s">
        <v>167</v>
      </c>
      <c r="C3095" s="1115" t="n">
        <v>81660</v>
      </c>
      <c r="D3095" s="1115" t="s">
        <v>2934</v>
      </c>
      <c r="E3095" s="1115" t="s">
        <v>1495</v>
      </c>
      <c r="F3095" s="1115" t="n">
        <v>29810</v>
      </c>
      <c r="G3095" s="1115" t="n">
        <v>82520</v>
      </c>
      <c r="H3095" s="1115" t="s">
        <v>3622</v>
      </c>
      <c r="I3095" s="1115" t="n">
        <v>81700</v>
      </c>
      <c r="J3095" s="1115" t="s">
        <v>1168</v>
      </c>
    </row>
    <row r="3096" customFormat="false" ht="14.1" hidden="false" customHeight="true" outlineLevel="0" collapsed="false">
      <c r="A3096" s="1115" t="n">
        <v>81670</v>
      </c>
      <c r="B3096" s="1115" t="s">
        <v>167</v>
      </c>
      <c r="C3096" s="1115" t="n">
        <v>81670</v>
      </c>
      <c r="D3096" s="1115" t="s">
        <v>2446</v>
      </c>
      <c r="E3096" s="1115" t="s">
        <v>1497</v>
      </c>
      <c r="F3096" s="1115" t="n">
        <v>92320</v>
      </c>
      <c r="G3096" s="1115" t="n">
        <v>82530</v>
      </c>
      <c r="H3096" s="1115" t="s">
        <v>3765</v>
      </c>
      <c r="I3096" s="1115" t="n">
        <v>81720</v>
      </c>
      <c r="J3096" s="1115" t="s">
        <v>1168</v>
      </c>
    </row>
    <row r="3097" customFormat="false" ht="14.1" hidden="false" customHeight="true" outlineLevel="0" collapsed="false">
      <c r="A3097" s="1115" t="n">
        <v>81700</v>
      </c>
      <c r="B3097" s="1115" t="s">
        <v>167</v>
      </c>
      <c r="C3097" s="1115" t="n">
        <v>81700</v>
      </c>
      <c r="D3097" s="1115" t="s">
        <v>1168</v>
      </c>
      <c r="E3097" s="1115" t="s">
        <v>3709</v>
      </c>
      <c r="F3097" s="1115" t="n">
        <v>73830</v>
      </c>
      <c r="G3097" s="1115" t="n">
        <v>82545</v>
      </c>
      <c r="H3097" s="1115" t="s">
        <v>3042</v>
      </c>
      <c r="I3097" s="1115" t="n">
        <v>81730</v>
      </c>
      <c r="J3097" s="1115" t="s">
        <v>1168</v>
      </c>
    </row>
    <row r="3098" customFormat="false" ht="14.1" hidden="false" customHeight="true" outlineLevel="0" collapsed="false">
      <c r="A3098" s="1115" t="n">
        <v>81720</v>
      </c>
      <c r="B3098" s="1115" t="s">
        <v>167</v>
      </c>
      <c r="C3098" s="1115" t="n">
        <v>81720</v>
      </c>
      <c r="D3098" s="1115" t="s">
        <v>1168</v>
      </c>
      <c r="E3098" s="1115" t="s">
        <v>2999</v>
      </c>
      <c r="F3098" s="1115" t="n">
        <v>47920</v>
      </c>
      <c r="G3098" s="1115" t="n">
        <v>82550</v>
      </c>
      <c r="H3098" s="1115" t="s">
        <v>3848</v>
      </c>
      <c r="I3098" s="1115" t="n">
        <v>81750</v>
      </c>
      <c r="J3098" s="1115" t="s">
        <v>1168</v>
      </c>
    </row>
    <row r="3099" customFormat="false" ht="14.1" hidden="false" customHeight="true" outlineLevel="0" collapsed="false">
      <c r="A3099" s="1115" t="n">
        <v>81730</v>
      </c>
      <c r="B3099" s="1115" t="s">
        <v>167</v>
      </c>
      <c r="C3099" s="1115" t="n">
        <v>81730</v>
      </c>
      <c r="D3099" s="1115" t="s">
        <v>1168</v>
      </c>
      <c r="E3099" s="1115" t="s">
        <v>3760</v>
      </c>
      <c r="F3099" s="1115" t="n">
        <v>77430</v>
      </c>
      <c r="G3099" s="1115" t="n">
        <v>82560</v>
      </c>
      <c r="H3099" s="1115" t="s">
        <v>3404</v>
      </c>
      <c r="I3099" s="1115" t="n">
        <v>81770</v>
      </c>
      <c r="J3099" s="1115" t="s">
        <v>1168</v>
      </c>
    </row>
    <row r="3100" customFormat="false" ht="14.1" hidden="false" customHeight="true" outlineLevel="0" collapsed="false">
      <c r="A3100" s="1115" t="n">
        <v>81750</v>
      </c>
      <c r="B3100" s="1115" t="s">
        <v>167</v>
      </c>
      <c r="C3100" s="1115" t="n">
        <v>81750</v>
      </c>
      <c r="D3100" s="1115" t="s">
        <v>3487</v>
      </c>
      <c r="E3100" s="1115" t="s">
        <v>3849</v>
      </c>
      <c r="F3100" s="1115" t="n">
        <v>89605</v>
      </c>
      <c r="G3100" s="1115" t="n">
        <v>82570</v>
      </c>
      <c r="H3100" s="1115" t="s">
        <v>3735</v>
      </c>
      <c r="I3100" s="1115" t="n">
        <v>81810</v>
      </c>
      <c r="J3100" s="1115" t="s">
        <v>1168</v>
      </c>
    </row>
    <row r="3101" customFormat="false" ht="14.1" hidden="false" customHeight="true" outlineLevel="0" collapsed="false">
      <c r="A3101" s="1115" t="n">
        <v>81770</v>
      </c>
      <c r="B3101" s="1115" t="s">
        <v>167</v>
      </c>
      <c r="C3101" s="1115" t="n">
        <v>81770</v>
      </c>
      <c r="D3101" s="1115" t="s">
        <v>3832</v>
      </c>
      <c r="E3101" s="1115" t="s">
        <v>2992</v>
      </c>
      <c r="F3101" s="1115" t="n">
        <v>47730</v>
      </c>
      <c r="G3101" s="1115" t="n">
        <v>82580</v>
      </c>
      <c r="H3101" s="1115" t="s">
        <v>2063</v>
      </c>
      <c r="I3101" s="1115" t="n">
        <v>81820</v>
      </c>
      <c r="J3101" s="1115" t="s">
        <v>1168</v>
      </c>
    </row>
    <row r="3102" customFormat="false" ht="14.1" hidden="false" customHeight="true" outlineLevel="0" collapsed="false">
      <c r="A3102" s="1115" t="n">
        <v>81810</v>
      </c>
      <c r="B3102" s="1115" t="s">
        <v>167</v>
      </c>
      <c r="C3102" s="1115" t="n">
        <v>81810</v>
      </c>
      <c r="D3102" s="1115" t="s">
        <v>1995</v>
      </c>
      <c r="E3102" s="1115" t="s">
        <v>1498</v>
      </c>
      <c r="F3102" s="1115" t="n">
        <v>71800</v>
      </c>
      <c r="G3102" s="1115" t="n">
        <v>82590</v>
      </c>
      <c r="H3102" s="1115" t="s">
        <v>3377</v>
      </c>
      <c r="I3102" s="1115" t="n">
        <v>81840</v>
      </c>
      <c r="J3102" s="1115" t="s">
        <v>1168</v>
      </c>
    </row>
    <row r="3103" customFormat="false" ht="14.1" hidden="false" customHeight="true" outlineLevel="0" collapsed="false">
      <c r="A3103" s="1115" t="n">
        <v>81820</v>
      </c>
      <c r="B3103" s="1115" t="s">
        <v>167</v>
      </c>
      <c r="C3103" s="1115" t="n">
        <v>81820</v>
      </c>
      <c r="D3103" s="1115" t="s">
        <v>2776</v>
      </c>
      <c r="E3103" s="1115" t="s">
        <v>3496</v>
      </c>
      <c r="F3103" s="1115" t="n">
        <v>64490</v>
      </c>
      <c r="G3103" s="1115" t="n">
        <v>82600</v>
      </c>
      <c r="H3103" s="1115" t="s">
        <v>1564</v>
      </c>
      <c r="I3103" s="1115" t="n">
        <v>81850</v>
      </c>
      <c r="J3103" s="1115" t="s">
        <v>1168</v>
      </c>
    </row>
    <row r="3104" customFormat="false" ht="14.1" hidden="false" customHeight="true" outlineLevel="0" collapsed="false">
      <c r="A3104" s="1115" t="n">
        <v>81840</v>
      </c>
      <c r="B3104" s="1115" t="s">
        <v>167</v>
      </c>
      <c r="C3104" s="1115" t="n">
        <v>81840</v>
      </c>
      <c r="D3104" s="1115" t="s">
        <v>3833</v>
      </c>
      <c r="E3104" s="1115" t="s">
        <v>2550</v>
      </c>
      <c r="F3104" s="1115" t="n">
        <v>36160</v>
      </c>
      <c r="G3104" s="1115" t="n">
        <v>82610</v>
      </c>
      <c r="H3104" s="1115" t="s">
        <v>1564</v>
      </c>
      <c r="I3104" s="1115" t="n">
        <v>81860</v>
      </c>
      <c r="J3104" s="1115" t="s">
        <v>1168</v>
      </c>
    </row>
    <row r="3105" customFormat="false" ht="14.1" hidden="false" customHeight="true" outlineLevel="0" collapsed="false">
      <c r="A3105" s="1115" t="n">
        <v>81850</v>
      </c>
      <c r="B3105" s="1115" t="s">
        <v>167</v>
      </c>
      <c r="C3105" s="1115" t="n">
        <v>81850</v>
      </c>
      <c r="D3105" s="1115" t="s">
        <v>3266</v>
      </c>
      <c r="E3105" s="1115" t="s">
        <v>2442</v>
      </c>
      <c r="F3105" s="1115" t="n">
        <v>33450</v>
      </c>
      <c r="G3105" s="1115" t="n">
        <v>82615</v>
      </c>
      <c r="H3105" s="1115" t="s">
        <v>3850</v>
      </c>
      <c r="I3105" s="1115" t="n">
        <v>81930</v>
      </c>
      <c r="J3105" s="1115" t="s">
        <v>1168</v>
      </c>
    </row>
    <row r="3106" customFormat="false" ht="14.1" hidden="false" customHeight="true" outlineLevel="0" collapsed="false">
      <c r="A3106" s="1115" t="n">
        <v>81860</v>
      </c>
      <c r="B3106" s="1115" t="s">
        <v>167</v>
      </c>
      <c r="C3106" s="1115" t="n">
        <v>81860</v>
      </c>
      <c r="D3106" s="1115" t="s">
        <v>3834</v>
      </c>
      <c r="E3106" s="1115" t="s">
        <v>3851</v>
      </c>
      <c r="F3106" s="1115" t="n">
        <v>93340</v>
      </c>
      <c r="G3106" s="1115" t="n">
        <v>82620</v>
      </c>
      <c r="H3106" s="1115" t="s">
        <v>3793</v>
      </c>
      <c r="I3106" s="1115" t="n">
        <v>81950</v>
      </c>
      <c r="J3106" s="1115" t="s">
        <v>1168</v>
      </c>
    </row>
    <row r="3107" customFormat="false" ht="14.1" hidden="false" customHeight="true" outlineLevel="0" collapsed="false">
      <c r="A3107" s="1115" t="n">
        <v>81930</v>
      </c>
      <c r="B3107" s="1115" t="s">
        <v>167</v>
      </c>
      <c r="C3107" s="1115" t="n">
        <v>81930</v>
      </c>
      <c r="D3107" s="1115" t="s">
        <v>3831</v>
      </c>
      <c r="E3107" s="1115" t="s">
        <v>3829</v>
      </c>
      <c r="F3107" s="1115" t="n">
        <v>81640</v>
      </c>
      <c r="G3107" s="1115" t="n">
        <v>82625</v>
      </c>
      <c r="H3107" s="1115" t="s">
        <v>3517</v>
      </c>
      <c r="I3107" s="1115" t="n">
        <v>81970</v>
      </c>
      <c r="J3107" s="1115" t="s">
        <v>1168</v>
      </c>
    </row>
    <row r="3108" customFormat="false" ht="14.1" hidden="false" customHeight="true" outlineLevel="0" collapsed="false">
      <c r="A3108" s="1115" t="n">
        <v>81950</v>
      </c>
      <c r="B3108" s="1115" t="s">
        <v>167</v>
      </c>
      <c r="C3108" s="1115" t="n">
        <v>81950</v>
      </c>
      <c r="D3108" s="1115" t="s">
        <v>3486</v>
      </c>
      <c r="E3108" s="1115" t="s">
        <v>2700</v>
      </c>
      <c r="F3108" s="1115" t="n">
        <v>39520</v>
      </c>
      <c r="G3108" s="1115" t="n">
        <v>82635</v>
      </c>
      <c r="H3108" s="1115" t="s">
        <v>3852</v>
      </c>
      <c r="I3108" s="1115" t="n">
        <v>82110</v>
      </c>
      <c r="J3108" s="1115" t="s">
        <v>1168</v>
      </c>
    </row>
    <row r="3109" customFormat="false" ht="14.1" hidden="false" customHeight="true" outlineLevel="0" collapsed="false">
      <c r="A3109" s="1115" t="n">
        <v>81970</v>
      </c>
      <c r="B3109" s="1115" t="s">
        <v>167</v>
      </c>
      <c r="C3109" s="1115" t="n">
        <v>81970</v>
      </c>
      <c r="D3109" s="1115" t="s">
        <v>2025</v>
      </c>
      <c r="E3109" s="1115" t="s">
        <v>3028</v>
      </c>
      <c r="F3109" s="1115" t="n">
        <v>49680</v>
      </c>
      <c r="G3109" s="1115" t="n">
        <v>82650</v>
      </c>
      <c r="H3109" s="1115" t="s">
        <v>3506</v>
      </c>
      <c r="I3109" s="1115" t="n">
        <v>82120</v>
      </c>
      <c r="J3109" s="1115" t="s">
        <v>1168</v>
      </c>
    </row>
    <row r="3110" customFormat="false" ht="14.1" hidden="false" customHeight="true" outlineLevel="0" collapsed="false">
      <c r="A3110" s="1115" t="n">
        <v>82110</v>
      </c>
      <c r="B3110" s="1115" t="s">
        <v>167</v>
      </c>
      <c r="C3110" s="1115" t="n">
        <v>82110</v>
      </c>
      <c r="D3110" s="1115" t="s">
        <v>1544</v>
      </c>
      <c r="E3110" s="1115" t="s">
        <v>3626</v>
      </c>
      <c r="F3110" s="1115" t="n">
        <v>69750</v>
      </c>
      <c r="G3110" s="1115" t="n">
        <v>82655</v>
      </c>
      <c r="H3110" s="1115" t="s">
        <v>3853</v>
      </c>
      <c r="I3110" s="1115" t="n">
        <v>82130</v>
      </c>
      <c r="J3110" s="1115" t="s">
        <v>1168</v>
      </c>
    </row>
    <row r="3111" customFormat="false" ht="14.1" hidden="false" customHeight="true" outlineLevel="0" collapsed="false">
      <c r="A3111" s="1115" t="n">
        <v>82120</v>
      </c>
      <c r="B3111" s="1115" t="s">
        <v>167</v>
      </c>
      <c r="C3111" s="1115" t="n">
        <v>82120</v>
      </c>
      <c r="D3111" s="1115" t="s">
        <v>2389</v>
      </c>
      <c r="E3111" s="1115" t="s">
        <v>2903</v>
      </c>
      <c r="F3111" s="1115" t="n">
        <v>44310</v>
      </c>
      <c r="G3111" s="1115" t="n">
        <v>82660</v>
      </c>
      <c r="H3111" s="1115" t="s">
        <v>3854</v>
      </c>
      <c r="I3111" s="1115" t="n">
        <v>82140</v>
      </c>
      <c r="J3111" s="1115" t="s">
        <v>1168</v>
      </c>
    </row>
    <row r="3112" customFormat="false" ht="14.1" hidden="false" customHeight="true" outlineLevel="0" collapsed="false">
      <c r="A3112" s="1115" t="n">
        <v>82130</v>
      </c>
      <c r="B3112" s="1115" t="s">
        <v>167</v>
      </c>
      <c r="C3112" s="1115" t="n">
        <v>82130</v>
      </c>
      <c r="D3112" s="1115" t="s">
        <v>3779</v>
      </c>
      <c r="E3112" s="1115" t="s">
        <v>3010</v>
      </c>
      <c r="F3112" s="1115" t="n">
        <v>49220</v>
      </c>
      <c r="G3112" s="1115" t="n">
        <v>82670</v>
      </c>
      <c r="H3112" s="1115" t="s">
        <v>2331</v>
      </c>
      <c r="I3112" s="1115" t="n">
        <v>82150</v>
      </c>
      <c r="J3112" s="1115" t="s">
        <v>1168</v>
      </c>
    </row>
    <row r="3113" customFormat="false" ht="14.1" hidden="false" customHeight="true" outlineLevel="0" collapsed="false">
      <c r="A3113" s="1115" t="n">
        <v>82140</v>
      </c>
      <c r="B3113" s="1115" t="s">
        <v>167</v>
      </c>
      <c r="C3113" s="1115" t="n">
        <v>82140</v>
      </c>
      <c r="D3113" s="1115" t="s">
        <v>2407</v>
      </c>
      <c r="E3113" s="1115" t="s">
        <v>1888</v>
      </c>
      <c r="F3113" s="1115" t="n">
        <v>19810</v>
      </c>
      <c r="G3113" s="1115" t="n">
        <v>82675</v>
      </c>
      <c r="H3113" s="1115" t="s">
        <v>3328</v>
      </c>
      <c r="I3113" s="1115" t="n">
        <v>82160</v>
      </c>
      <c r="J3113" s="1115" t="s">
        <v>1168</v>
      </c>
    </row>
    <row r="3114" customFormat="false" ht="14.1" hidden="false" customHeight="true" outlineLevel="0" collapsed="false">
      <c r="A3114" s="1115" t="n">
        <v>82150</v>
      </c>
      <c r="B3114" s="1115" t="s">
        <v>167</v>
      </c>
      <c r="C3114" s="1115" t="n">
        <v>82150</v>
      </c>
      <c r="D3114" s="1115" t="s">
        <v>3471</v>
      </c>
      <c r="E3114" s="1115" t="s">
        <v>3284</v>
      </c>
      <c r="F3114" s="1115" t="n">
        <v>58420</v>
      </c>
      <c r="G3114" s="1115" t="n">
        <v>82685</v>
      </c>
      <c r="H3114" s="1115" t="s">
        <v>3007</v>
      </c>
      <c r="I3114" s="1115" t="n">
        <v>82165</v>
      </c>
      <c r="J3114" s="1115" t="s">
        <v>1168</v>
      </c>
    </row>
    <row r="3115" customFormat="false" ht="14.1" hidden="false" customHeight="true" outlineLevel="0" collapsed="false">
      <c r="A3115" s="1115" t="n">
        <v>82160</v>
      </c>
      <c r="B3115" s="1115" t="s">
        <v>167</v>
      </c>
      <c r="C3115" s="1115" t="n">
        <v>82160</v>
      </c>
      <c r="D3115" s="1115" t="s">
        <v>3417</v>
      </c>
      <c r="E3115" s="1115" t="s">
        <v>3259</v>
      </c>
      <c r="F3115" s="1115" t="n">
        <v>58170</v>
      </c>
      <c r="G3115" s="1115" t="n">
        <v>82695</v>
      </c>
      <c r="H3115" s="1115" t="s">
        <v>2556</v>
      </c>
      <c r="I3115" s="1115" t="n">
        <v>82170</v>
      </c>
      <c r="J3115" s="1115" t="s">
        <v>1168</v>
      </c>
    </row>
    <row r="3116" customFormat="false" ht="14.1" hidden="false" customHeight="true" outlineLevel="0" collapsed="false">
      <c r="A3116" s="1115" t="n">
        <v>82165</v>
      </c>
      <c r="B3116" s="1115" t="s">
        <v>167</v>
      </c>
      <c r="C3116" s="1115" t="n">
        <v>82165</v>
      </c>
      <c r="D3116" s="1115" t="s">
        <v>3419</v>
      </c>
      <c r="E3116" s="1115" t="s">
        <v>1500</v>
      </c>
      <c r="F3116" s="1115" t="n">
        <v>95200</v>
      </c>
      <c r="G3116" s="1115" t="n">
        <v>82710</v>
      </c>
      <c r="H3116" s="1115" t="s">
        <v>2638</v>
      </c>
      <c r="I3116" s="1115" t="n">
        <v>82180</v>
      </c>
      <c r="J3116" s="1115" t="s">
        <v>1168</v>
      </c>
    </row>
    <row r="3117" customFormat="false" ht="14.1" hidden="false" customHeight="true" outlineLevel="0" collapsed="false">
      <c r="A3117" s="1115" t="n">
        <v>82170</v>
      </c>
      <c r="B3117" s="1115" t="s">
        <v>167</v>
      </c>
      <c r="C3117" s="1115" t="n">
        <v>82170</v>
      </c>
      <c r="D3117" s="1115" t="s">
        <v>3835</v>
      </c>
      <c r="E3117" s="1115" t="s">
        <v>3174</v>
      </c>
      <c r="F3117" s="1115" t="n">
        <v>54330</v>
      </c>
      <c r="G3117" s="1115" t="n">
        <v>82725</v>
      </c>
      <c r="H3117" s="1115" t="s">
        <v>2537</v>
      </c>
      <c r="I3117" s="1115" t="n">
        <v>82190</v>
      </c>
      <c r="J3117" s="1115" t="s">
        <v>1168</v>
      </c>
    </row>
    <row r="3118" customFormat="false" ht="14.1" hidden="false" customHeight="true" outlineLevel="0" collapsed="false">
      <c r="A3118" s="1115" t="n">
        <v>82180</v>
      </c>
      <c r="B3118" s="1115" t="s">
        <v>167</v>
      </c>
      <c r="C3118" s="1115" t="n">
        <v>82180</v>
      </c>
      <c r="D3118" s="1115" t="s">
        <v>1795</v>
      </c>
      <c r="E3118" s="1115" t="s">
        <v>3855</v>
      </c>
      <c r="F3118" s="1115" t="n">
        <v>95220</v>
      </c>
      <c r="G3118" s="1115" t="n">
        <v>82730</v>
      </c>
      <c r="H3118" s="1115" t="s">
        <v>3856</v>
      </c>
      <c r="I3118" s="1115" t="n">
        <v>82200</v>
      </c>
      <c r="J3118" s="1115" t="s">
        <v>1168</v>
      </c>
    </row>
    <row r="3119" customFormat="false" ht="14.1" hidden="false" customHeight="true" outlineLevel="0" collapsed="false">
      <c r="A3119" s="1115" t="n">
        <v>82190</v>
      </c>
      <c r="B3119" s="1115" t="s">
        <v>167</v>
      </c>
      <c r="C3119" s="1115" t="n">
        <v>82190</v>
      </c>
      <c r="D3119" s="1115" t="s">
        <v>3836</v>
      </c>
      <c r="E3119" s="1115" t="s">
        <v>3244</v>
      </c>
      <c r="F3119" s="1115" t="n">
        <v>56800</v>
      </c>
      <c r="G3119" s="1115" t="n">
        <v>82750</v>
      </c>
      <c r="H3119" s="1115" t="s">
        <v>3857</v>
      </c>
      <c r="I3119" s="1115" t="n">
        <v>82210</v>
      </c>
      <c r="J3119" s="1115" t="s">
        <v>1168</v>
      </c>
    </row>
    <row r="3120" customFormat="false" ht="14.1" hidden="false" customHeight="true" outlineLevel="0" collapsed="false">
      <c r="A3120" s="1115" t="n">
        <v>82200</v>
      </c>
      <c r="B3120" s="1115" t="s">
        <v>167</v>
      </c>
      <c r="C3120" s="1115" t="n">
        <v>82200</v>
      </c>
      <c r="D3120" s="1115" t="s">
        <v>1362</v>
      </c>
      <c r="E3120" s="1115" t="s">
        <v>3244</v>
      </c>
      <c r="F3120" s="1115" t="n">
        <v>56810</v>
      </c>
      <c r="G3120" s="1115" t="n">
        <v>82760</v>
      </c>
      <c r="H3120" s="1115" t="s">
        <v>1744</v>
      </c>
      <c r="I3120" s="1115" t="n">
        <v>82220</v>
      </c>
      <c r="J3120" s="1115" t="s">
        <v>1168</v>
      </c>
    </row>
    <row r="3121" customFormat="false" ht="14.1" hidden="false" customHeight="true" outlineLevel="0" collapsed="false">
      <c r="A3121" s="1115" t="n">
        <v>82210</v>
      </c>
      <c r="B3121" s="1115" t="s">
        <v>167</v>
      </c>
      <c r="C3121" s="1115" t="n">
        <v>82210</v>
      </c>
      <c r="D3121" s="1115" t="s">
        <v>3837</v>
      </c>
      <c r="E3121" s="1115" t="s">
        <v>2675</v>
      </c>
      <c r="F3121" s="1115" t="n">
        <v>39110</v>
      </c>
      <c r="G3121" s="1115" t="n">
        <v>82770</v>
      </c>
      <c r="H3121" s="1115" t="s">
        <v>3665</v>
      </c>
      <c r="I3121" s="1115" t="n">
        <v>82230</v>
      </c>
      <c r="J3121" s="1115" t="s">
        <v>1168</v>
      </c>
    </row>
    <row r="3122" customFormat="false" ht="14.1" hidden="false" customHeight="true" outlineLevel="0" collapsed="false">
      <c r="A3122" s="1115" t="n">
        <v>82220</v>
      </c>
      <c r="B3122" s="1115" t="s">
        <v>167</v>
      </c>
      <c r="C3122" s="1115" t="n">
        <v>82220</v>
      </c>
      <c r="D3122" s="1115" t="s">
        <v>3330</v>
      </c>
      <c r="E3122" s="1115" t="s">
        <v>2780</v>
      </c>
      <c r="F3122" s="1115" t="n">
        <v>41480</v>
      </c>
      <c r="G3122" s="1115" t="n">
        <v>82780</v>
      </c>
      <c r="H3122" s="1115" t="s">
        <v>3792</v>
      </c>
      <c r="I3122" s="1115" t="n">
        <v>82240</v>
      </c>
      <c r="J3122" s="1115" t="s">
        <v>1168</v>
      </c>
    </row>
    <row r="3123" customFormat="false" ht="14.1" hidden="false" customHeight="true" outlineLevel="0" collapsed="false">
      <c r="A3123" s="1115" t="n">
        <v>82230</v>
      </c>
      <c r="B3123" s="1115" t="s">
        <v>167</v>
      </c>
      <c r="C3123" s="1115" t="n">
        <v>82230</v>
      </c>
      <c r="D3123" s="1115" t="s">
        <v>1308</v>
      </c>
      <c r="E3123" s="1115" t="s">
        <v>3858</v>
      </c>
      <c r="F3123" s="1115" t="n">
        <v>97220</v>
      </c>
      <c r="G3123" s="1115" t="n">
        <v>82810</v>
      </c>
      <c r="H3123" s="1115" t="s">
        <v>1536</v>
      </c>
      <c r="I3123" s="1115" t="n">
        <v>82250</v>
      </c>
      <c r="J3123" s="1115" t="s">
        <v>1168</v>
      </c>
    </row>
    <row r="3124" customFormat="false" ht="14.1" hidden="false" customHeight="true" outlineLevel="0" collapsed="false">
      <c r="A3124" s="1115" t="n">
        <v>82240</v>
      </c>
      <c r="B3124" s="1115" t="s">
        <v>167</v>
      </c>
      <c r="C3124" s="1115" t="n">
        <v>82240</v>
      </c>
      <c r="D3124" s="1115" t="s">
        <v>2267</v>
      </c>
      <c r="E3124" s="1115" t="s">
        <v>3536</v>
      </c>
      <c r="F3124" s="1115" t="n">
        <v>65710</v>
      </c>
      <c r="G3124" s="1115" t="n">
        <v>82815</v>
      </c>
      <c r="H3124" s="1115" t="s">
        <v>3142</v>
      </c>
      <c r="I3124" s="1115" t="n">
        <v>82255</v>
      </c>
      <c r="J3124" s="1115" t="s">
        <v>1168</v>
      </c>
    </row>
    <row r="3125" customFormat="false" ht="14.1" hidden="false" customHeight="true" outlineLevel="0" collapsed="false">
      <c r="A3125" s="1115" t="n">
        <v>82250</v>
      </c>
      <c r="B3125" s="1115" t="s">
        <v>167</v>
      </c>
      <c r="C3125" s="1115" t="n">
        <v>82250</v>
      </c>
      <c r="D3125" s="1115" t="s">
        <v>3712</v>
      </c>
      <c r="E3125" s="1115" t="s">
        <v>1787</v>
      </c>
      <c r="F3125" s="1115" t="n">
        <v>17110</v>
      </c>
      <c r="G3125" s="1115" t="n">
        <v>82820</v>
      </c>
      <c r="H3125" s="1115" t="s">
        <v>3157</v>
      </c>
      <c r="I3125" s="1115" t="n">
        <v>82270</v>
      </c>
      <c r="J3125" s="1115" t="s">
        <v>1168</v>
      </c>
    </row>
    <row r="3126" customFormat="false" ht="14.1" hidden="false" customHeight="true" outlineLevel="0" collapsed="false">
      <c r="A3126" s="1115" t="n">
        <v>82255</v>
      </c>
      <c r="B3126" s="1115" t="s">
        <v>167</v>
      </c>
      <c r="C3126" s="1115" t="n">
        <v>82255</v>
      </c>
      <c r="D3126" s="1115" t="s">
        <v>2762</v>
      </c>
      <c r="E3126" s="1115" t="s">
        <v>3859</v>
      </c>
      <c r="F3126" s="1115" t="n">
        <v>92520</v>
      </c>
      <c r="G3126" s="1115" t="n">
        <v>82830</v>
      </c>
      <c r="H3126" s="1115" t="s">
        <v>1478</v>
      </c>
      <c r="I3126" s="1115" t="n">
        <v>82290</v>
      </c>
      <c r="J3126" s="1115" t="s">
        <v>1464</v>
      </c>
    </row>
    <row r="3127" customFormat="false" ht="14.1" hidden="false" customHeight="true" outlineLevel="0" collapsed="false">
      <c r="A3127" s="1115" t="n">
        <v>82270</v>
      </c>
      <c r="B3127" s="1115" t="s">
        <v>167</v>
      </c>
      <c r="C3127" s="1115" t="n">
        <v>82270</v>
      </c>
      <c r="D3127" s="1115" t="s">
        <v>2255</v>
      </c>
      <c r="E3127" s="1115" t="s">
        <v>952</v>
      </c>
      <c r="F3127" s="1115" t="n">
        <v>1190</v>
      </c>
      <c r="G3127" s="1115" t="n">
        <v>82840</v>
      </c>
      <c r="H3127" s="1115" t="s">
        <v>3583</v>
      </c>
      <c r="I3127" s="1115" t="n">
        <v>82300</v>
      </c>
      <c r="J3127" s="1115" t="s">
        <v>1464</v>
      </c>
    </row>
    <row r="3128" customFormat="false" ht="14.1" hidden="false" customHeight="true" outlineLevel="0" collapsed="false">
      <c r="A3128" s="1115" t="n">
        <v>82290</v>
      </c>
      <c r="B3128" s="1115" t="s">
        <v>167</v>
      </c>
      <c r="C3128" s="1115" t="n">
        <v>82290</v>
      </c>
      <c r="D3128" s="1115" t="s">
        <v>3317</v>
      </c>
      <c r="E3128" s="1115" t="s">
        <v>2966</v>
      </c>
      <c r="F3128" s="1115" t="n">
        <v>46710</v>
      </c>
      <c r="G3128" s="1115" t="n">
        <v>82850</v>
      </c>
      <c r="H3128" s="1115" t="s">
        <v>2433</v>
      </c>
      <c r="I3128" s="1115" t="n">
        <v>82310</v>
      </c>
      <c r="J3128" s="1115" t="s">
        <v>1464</v>
      </c>
    </row>
    <row r="3129" customFormat="false" ht="14.1" hidden="false" customHeight="true" outlineLevel="0" collapsed="false">
      <c r="A3129" s="1115" t="n">
        <v>82300</v>
      </c>
      <c r="B3129" s="1115" t="s">
        <v>167</v>
      </c>
      <c r="C3129" s="1115" t="n">
        <v>82300</v>
      </c>
      <c r="D3129" s="1115" t="s">
        <v>1464</v>
      </c>
      <c r="E3129" s="1115" t="s">
        <v>3860</v>
      </c>
      <c r="F3129" s="1115" t="n">
        <v>99130</v>
      </c>
      <c r="G3129" s="1115" t="n">
        <v>82855</v>
      </c>
      <c r="H3129" s="1115" t="s">
        <v>2432</v>
      </c>
      <c r="I3129" s="1115" t="n">
        <v>82315</v>
      </c>
      <c r="J3129" s="1115" t="s">
        <v>1464</v>
      </c>
    </row>
    <row r="3130" customFormat="false" ht="14.1" hidden="false" customHeight="true" outlineLevel="0" collapsed="false">
      <c r="A3130" s="1115" t="n">
        <v>82310</v>
      </c>
      <c r="B3130" s="1115" t="s">
        <v>167</v>
      </c>
      <c r="C3130" s="1115" t="n">
        <v>82310</v>
      </c>
      <c r="D3130" s="1115" t="s">
        <v>3415</v>
      </c>
      <c r="E3130" s="1115" t="s">
        <v>3861</v>
      </c>
      <c r="F3130" s="1115" t="n">
        <v>95780</v>
      </c>
      <c r="G3130" s="1115" t="n">
        <v>82865</v>
      </c>
      <c r="H3130" s="1115" t="s">
        <v>2495</v>
      </c>
      <c r="I3130" s="1115" t="n">
        <v>82350</v>
      </c>
      <c r="J3130" s="1115" t="s">
        <v>1564</v>
      </c>
    </row>
    <row r="3131" customFormat="false" ht="14.1" hidden="false" customHeight="true" outlineLevel="0" collapsed="false">
      <c r="A3131" s="1115" t="n">
        <v>82315</v>
      </c>
      <c r="B3131" s="1115" t="s">
        <v>167</v>
      </c>
      <c r="C3131" s="1115" t="n">
        <v>82315</v>
      </c>
      <c r="D3131" s="1115" t="s">
        <v>3838</v>
      </c>
      <c r="E3131" s="1115" t="s">
        <v>2904</v>
      </c>
      <c r="F3131" s="1115" t="n">
        <v>44320</v>
      </c>
      <c r="G3131" s="1115" t="n">
        <v>82870</v>
      </c>
      <c r="H3131" s="1115" t="s">
        <v>3076</v>
      </c>
      <c r="I3131" s="1115" t="n">
        <v>82360</v>
      </c>
      <c r="J3131" s="1115" t="s">
        <v>1564</v>
      </c>
    </row>
    <row r="3132" customFormat="false" ht="14.1" hidden="false" customHeight="true" outlineLevel="0" collapsed="false">
      <c r="A3132" s="1115" t="n">
        <v>82350</v>
      </c>
      <c r="B3132" s="1115" t="s">
        <v>167</v>
      </c>
      <c r="C3132" s="1115" t="n">
        <v>82350</v>
      </c>
      <c r="D3132" s="1115" t="s">
        <v>3839</v>
      </c>
      <c r="E3132" s="1115" t="s">
        <v>3862</v>
      </c>
      <c r="F3132" s="1115" t="n">
        <v>97970</v>
      </c>
      <c r="G3132" s="1115" t="n">
        <v>82880</v>
      </c>
      <c r="H3132" s="1115" t="s">
        <v>3123</v>
      </c>
      <c r="I3132" s="1115" t="n">
        <v>82380</v>
      </c>
      <c r="J3132" s="1115" t="s">
        <v>1081</v>
      </c>
    </row>
    <row r="3133" customFormat="false" ht="14.1" hidden="false" customHeight="true" outlineLevel="0" collapsed="false">
      <c r="A3133" s="1115" t="n">
        <v>82360</v>
      </c>
      <c r="B3133" s="1115" t="s">
        <v>167</v>
      </c>
      <c r="C3133" s="1115" t="n">
        <v>82360</v>
      </c>
      <c r="D3133" s="1115" t="s">
        <v>3399</v>
      </c>
      <c r="E3133" s="1115" t="s">
        <v>3432</v>
      </c>
      <c r="F3133" s="1115" t="n">
        <v>62720</v>
      </c>
      <c r="G3133" s="1115" t="n">
        <v>82890</v>
      </c>
      <c r="H3133" s="1115" t="s">
        <v>3750</v>
      </c>
      <c r="I3133" s="1115" t="n">
        <v>82395</v>
      </c>
      <c r="J3133" s="1115" t="s">
        <v>1081</v>
      </c>
    </row>
    <row r="3134" customFormat="false" ht="14.1" hidden="false" customHeight="true" outlineLevel="0" collapsed="false">
      <c r="A3134" s="1115" t="n">
        <v>82380</v>
      </c>
      <c r="B3134" s="1115" t="s">
        <v>167</v>
      </c>
      <c r="C3134" s="1115" t="n">
        <v>82380</v>
      </c>
      <c r="D3134" s="1115" t="s">
        <v>3841</v>
      </c>
      <c r="E3134" s="1115" t="s">
        <v>2695</v>
      </c>
      <c r="F3134" s="1115" t="n">
        <v>39450</v>
      </c>
      <c r="G3134" s="1115" t="n">
        <v>82900</v>
      </c>
      <c r="H3134" s="1115" t="s">
        <v>880</v>
      </c>
      <c r="I3134" s="1115" t="n">
        <v>82430</v>
      </c>
      <c r="J3134" s="1115" t="s">
        <v>1081</v>
      </c>
    </row>
    <row r="3135" customFormat="false" ht="14.1" hidden="false" customHeight="true" outlineLevel="0" collapsed="false">
      <c r="A3135" s="1115" t="n">
        <v>82395</v>
      </c>
      <c r="B3135" s="1115" t="s">
        <v>167</v>
      </c>
      <c r="C3135" s="1115" t="n">
        <v>82395</v>
      </c>
      <c r="D3135" s="1115" t="s">
        <v>1293</v>
      </c>
      <c r="E3135" s="1115" t="s">
        <v>1139</v>
      </c>
      <c r="F3135" s="1115" t="n">
        <v>2570</v>
      </c>
      <c r="G3135" s="1115" t="n">
        <v>82910</v>
      </c>
      <c r="H3135" s="1115" t="s">
        <v>3454</v>
      </c>
      <c r="I3135" s="1115" t="n">
        <v>82435</v>
      </c>
      <c r="J3135" s="1115" t="s">
        <v>1081</v>
      </c>
    </row>
    <row r="3136" customFormat="false" ht="14.1" hidden="false" customHeight="true" outlineLevel="0" collapsed="false">
      <c r="A3136" s="1115" t="n">
        <v>82430</v>
      </c>
      <c r="B3136" s="1115" t="s">
        <v>167</v>
      </c>
      <c r="C3136" s="1115" t="n">
        <v>82430</v>
      </c>
      <c r="D3136" s="1115" t="s">
        <v>3629</v>
      </c>
      <c r="E3136" s="1115" t="s">
        <v>1139</v>
      </c>
      <c r="F3136" s="1115" t="n">
        <v>2580</v>
      </c>
      <c r="G3136" s="1115" t="n">
        <v>82915</v>
      </c>
      <c r="H3136" s="1115" t="s">
        <v>3863</v>
      </c>
      <c r="I3136" s="1115" t="n">
        <v>82440</v>
      </c>
      <c r="J3136" s="1115" t="s">
        <v>1081</v>
      </c>
    </row>
    <row r="3137" customFormat="false" ht="14.1" hidden="false" customHeight="true" outlineLevel="0" collapsed="false">
      <c r="A3137" s="1115" t="n">
        <v>82435</v>
      </c>
      <c r="B3137" s="1115" t="s">
        <v>167</v>
      </c>
      <c r="C3137" s="1115" t="n">
        <v>82435</v>
      </c>
      <c r="D3137" s="1115" t="s">
        <v>2498</v>
      </c>
      <c r="E3137" s="1115" t="s">
        <v>2585</v>
      </c>
      <c r="F3137" s="1115" t="n">
        <v>37200</v>
      </c>
      <c r="G3137" s="1115" t="n">
        <v>82920</v>
      </c>
      <c r="H3137" s="1115" t="s">
        <v>1906</v>
      </c>
      <c r="I3137" s="1115" t="n">
        <v>82450</v>
      </c>
      <c r="J3137" s="1115" t="s">
        <v>1081</v>
      </c>
    </row>
    <row r="3138" customFormat="false" ht="14.1" hidden="false" customHeight="true" outlineLevel="0" collapsed="false">
      <c r="A3138" s="1115" t="n">
        <v>82440</v>
      </c>
      <c r="B3138" s="1115" t="s">
        <v>167</v>
      </c>
      <c r="C3138" s="1115" t="n">
        <v>82440</v>
      </c>
      <c r="D3138" s="1115" t="s">
        <v>3631</v>
      </c>
      <c r="E3138" s="1115" t="s">
        <v>3864</v>
      </c>
      <c r="F3138" s="1115" t="n">
        <v>99610</v>
      </c>
      <c r="G3138" s="1115" t="n">
        <v>82925</v>
      </c>
      <c r="H3138" s="1115" t="s">
        <v>1441</v>
      </c>
      <c r="I3138" s="1115" t="n">
        <v>82460</v>
      </c>
      <c r="J3138" s="1115" t="s">
        <v>1081</v>
      </c>
    </row>
    <row r="3139" customFormat="false" ht="14.1" hidden="false" customHeight="true" outlineLevel="0" collapsed="false">
      <c r="A3139" s="1115" t="n">
        <v>82450</v>
      </c>
      <c r="B3139" s="1115" t="s">
        <v>167</v>
      </c>
      <c r="C3139" s="1115" t="n">
        <v>82450</v>
      </c>
      <c r="D3139" s="1115" t="s">
        <v>2549</v>
      </c>
      <c r="E3139" s="1115" t="s">
        <v>3747</v>
      </c>
      <c r="F3139" s="1115" t="n">
        <v>75860</v>
      </c>
      <c r="G3139" s="1115" t="n">
        <v>82930</v>
      </c>
      <c r="H3139" s="1115" t="s">
        <v>3080</v>
      </c>
      <c r="I3139" s="1115" t="n">
        <v>82470</v>
      </c>
      <c r="J3139" s="1115" t="s">
        <v>1081</v>
      </c>
    </row>
    <row r="3140" customFormat="false" ht="14.1" hidden="false" customHeight="true" outlineLevel="0" collapsed="false">
      <c r="A3140" s="1115" t="n">
        <v>82460</v>
      </c>
      <c r="B3140" s="1115" t="s">
        <v>167</v>
      </c>
      <c r="C3140" s="1115" t="n">
        <v>82460</v>
      </c>
      <c r="D3140" s="1115" t="s">
        <v>1807</v>
      </c>
      <c r="E3140" s="1115" t="s">
        <v>3703</v>
      </c>
      <c r="F3140" s="1115" t="n">
        <v>73640</v>
      </c>
      <c r="G3140" s="1115" t="n">
        <v>82950</v>
      </c>
      <c r="H3140" s="1115" t="s">
        <v>2656</v>
      </c>
      <c r="I3140" s="1115" t="n">
        <v>82480</v>
      </c>
      <c r="J3140" s="1115" t="s">
        <v>1081</v>
      </c>
    </row>
    <row r="3141" customFormat="false" ht="14.1" hidden="false" customHeight="true" outlineLevel="0" collapsed="false">
      <c r="A3141" s="1115" t="n">
        <v>82470</v>
      </c>
      <c r="B3141" s="1115" t="s">
        <v>167</v>
      </c>
      <c r="C3141" s="1115" t="n">
        <v>82470</v>
      </c>
      <c r="D3141" s="1115" t="s">
        <v>2941</v>
      </c>
      <c r="E3141" s="1115" t="s">
        <v>3023</v>
      </c>
      <c r="F3141" s="1115" t="n">
        <v>49610</v>
      </c>
      <c r="G3141" s="1115" t="n">
        <v>82960</v>
      </c>
      <c r="H3141" s="1115" t="s">
        <v>2939</v>
      </c>
      <c r="I3141" s="1115" t="n">
        <v>82490</v>
      </c>
      <c r="J3141" s="1115" t="s">
        <v>1081</v>
      </c>
    </row>
    <row r="3142" customFormat="false" ht="14.1" hidden="false" customHeight="true" outlineLevel="0" collapsed="false">
      <c r="A3142" s="1115" t="n">
        <v>82480</v>
      </c>
      <c r="B3142" s="1115" t="s">
        <v>167</v>
      </c>
      <c r="C3142" s="1115" t="n">
        <v>82480</v>
      </c>
      <c r="D3142" s="1115" t="s">
        <v>3846</v>
      </c>
      <c r="E3142" s="1115" t="s">
        <v>3495</v>
      </c>
      <c r="F3142" s="1115" t="n">
        <v>64480</v>
      </c>
      <c r="G3142" s="1115" t="n">
        <v>82967</v>
      </c>
      <c r="H3142" s="1115" t="s">
        <v>1453</v>
      </c>
      <c r="I3142" s="1115" t="n">
        <v>82500</v>
      </c>
      <c r="J3142" s="1115" t="s">
        <v>1081</v>
      </c>
    </row>
    <row r="3143" customFormat="false" ht="14.1" hidden="false" customHeight="true" outlineLevel="0" collapsed="false">
      <c r="A3143" s="1115" t="n">
        <v>82490</v>
      </c>
      <c r="B3143" s="1115" t="s">
        <v>167</v>
      </c>
      <c r="C3143" s="1115" t="n">
        <v>82490</v>
      </c>
      <c r="D3143" s="1115" t="s">
        <v>1530</v>
      </c>
      <c r="E3143" s="1115" t="s">
        <v>1465</v>
      </c>
      <c r="F3143" s="1115" t="n">
        <v>7870</v>
      </c>
      <c r="G3143" s="1115" t="n">
        <v>82980</v>
      </c>
      <c r="H3143" s="1115" t="s">
        <v>3271</v>
      </c>
      <c r="I3143" s="1115" t="n">
        <v>82510</v>
      </c>
      <c r="J3143" s="1115" t="s">
        <v>1081</v>
      </c>
    </row>
    <row r="3144" customFormat="false" ht="14.1" hidden="false" customHeight="true" outlineLevel="0" collapsed="false">
      <c r="A3144" s="1115" t="n">
        <v>82500</v>
      </c>
      <c r="B3144" s="1115" t="s">
        <v>167</v>
      </c>
      <c r="C3144" s="1115" t="n">
        <v>82500</v>
      </c>
      <c r="D3144" s="1115" t="s">
        <v>1081</v>
      </c>
      <c r="E3144" s="1115" t="s">
        <v>1572</v>
      </c>
      <c r="F3144" s="1115" t="n">
        <v>10680</v>
      </c>
      <c r="G3144" s="1115" t="n">
        <v>82995</v>
      </c>
      <c r="H3144" s="1115" t="s">
        <v>3300</v>
      </c>
      <c r="I3144" s="1115" t="n">
        <v>82520</v>
      </c>
      <c r="J3144" s="1115" t="s">
        <v>1081</v>
      </c>
    </row>
    <row r="3145" customFormat="false" ht="14.1" hidden="false" customHeight="true" outlineLevel="0" collapsed="false">
      <c r="A3145" s="1115" t="n">
        <v>82510</v>
      </c>
      <c r="B3145" s="1115" t="s">
        <v>167</v>
      </c>
      <c r="C3145" s="1115" t="n">
        <v>82510</v>
      </c>
      <c r="D3145" s="1115" t="s">
        <v>2443</v>
      </c>
      <c r="E3145" s="1115" t="s">
        <v>1578</v>
      </c>
      <c r="F3145" s="1115" t="n">
        <v>10770</v>
      </c>
      <c r="G3145" s="1115" t="n">
        <v>82997</v>
      </c>
      <c r="H3145" s="1115" t="s">
        <v>3235</v>
      </c>
      <c r="I3145" s="1115" t="n">
        <v>82530</v>
      </c>
      <c r="J3145" s="1115" t="s">
        <v>1081</v>
      </c>
    </row>
    <row r="3146" customFormat="false" ht="14.1" hidden="false" customHeight="true" outlineLevel="0" collapsed="false">
      <c r="A3146" s="1115" t="n">
        <v>82520</v>
      </c>
      <c r="B3146" s="1115" t="s">
        <v>167</v>
      </c>
      <c r="C3146" s="1115" t="n">
        <v>82520</v>
      </c>
      <c r="D3146" s="1115" t="s">
        <v>3622</v>
      </c>
      <c r="E3146" s="1115" t="s">
        <v>3607</v>
      </c>
      <c r="F3146" s="1115" t="n">
        <v>68750</v>
      </c>
      <c r="G3146" s="1115" t="n">
        <v>83100</v>
      </c>
      <c r="H3146" s="1115" t="s">
        <v>1179</v>
      </c>
      <c r="I3146" s="1115" t="n">
        <v>82545</v>
      </c>
      <c r="J3146" s="1115" t="s">
        <v>1081</v>
      </c>
    </row>
    <row r="3147" customFormat="false" ht="14.1" hidden="false" customHeight="true" outlineLevel="0" collapsed="false">
      <c r="A3147" s="1115" t="n">
        <v>82530</v>
      </c>
      <c r="B3147" s="1115" t="s">
        <v>167</v>
      </c>
      <c r="C3147" s="1115" t="n">
        <v>82530</v>
      </c>
      <c r="D3147" s="1115" t="s">
        <v>3765</v>
      </c>
      <c r="E3147" s="1115" t="s">
        <v>1573</v>
      </c>
      <c r="F3147" s="1115" t="n">
        <v>10710</v>
      </c>
      <c r="G3147" s="1115" t="n">
        <v>83130</v>
      </c>
      <c r="H3147" s="1115" t="s">
        <v>3808</v>
      </c>
      <c r="I3147" s="1115" t="n">
        <v>82550</v>
      </c>
      <c r="J3147" s="1115" t="s">
        <v>1081</v>
      </c>
    </row>
    <row r="3148" customFormat="false" ht="14.1" hidden="false" customHeight="true" outlineLevel="0" collapsed="false">
      <c r="A3148" s="1115" t="n">
        <v>82545</v>
      </c>
      <c r="B3148" s="1115" t="s">
        <v>167</v>
      </c>
      <c r="C3148" s="1115" t="n">
        <v>82545</v>
      </c>
      <c r="D3148" s="1115" t="s">
        <v>3042</v>
      </c>
      <c r="E3148" s="1115" t="s">
        <v>170</v>
      </c>
      <c r="F3148" s="1115" t="n">
        <v>99600</v>
      </c>
      <c r="G3148" s="1115" t="n">
        <v>83140</v>
      </c>
      <c r="H3148" s="1115" t="s">
        <v>3644</v>
      </c>
      <c r="I3148" s="1115" t="n">
        <v>82560</v>
      </c>
      <c r="J3148" s="1115" t="s">
        <v>1081</v>
      </c>
    </row>
    <row r="3149" customFormat="false" ht="14.1" hidden="false" customHeight="true" outlineLevel="0" collapsed="false">
      <c r="A3149" s="1115" t="n">
        <v>82550</v>
      </c>
      <c r="B3149" s="1115" t="s">
        <v>167</v>
      </c>
      <c r="C3149" s="1115" t="n">
        <v>82550</v>
      </c>
      <c r="D3149" s="1115" t="s">
        <v>3848</v>
      </c>
      <c r="E3149" s="1115" t="s">
        <v>2863</v>
      </c>
      <c r="F3149" s="1115" t="n">
        <v>43410</v>
      </c>
      <c r="G3149" s="1115" t="n">
        <v>83150</v>
      </c>
      <c r="H3149" s="1115" t="s">
        <v>3741</v>
      </c>
      <c r="I3149" s="1115" t="n">
        <v>82570</v>
      </c>
      <c r="J3149" s="1115" t="s">
        <v>1081</v>
      </c>
    </row>
    <row r="3150" customFormat="false" ht="14.1" hidden="false" customHeight="true" outlineLevel="0" collapsed="false">
      <c r="A3150" s="1115" t="n">
        <v>82560</v>
      </c>
      <c r="B3150" s="1115" t="s">
        <v>167</v>
      </c>
      <c r="C3150" s="1115" t="n">
        <v>82560</v>
      </c>
      <c r="D3150" s="1115" t="s">
        <v>3404</v>
      </c>
      <c r="E3150" s="1115" t="s">
        <v>3865</v>
      </c>
      <c r="F3150" s="1115" t="n">
        <v>95250</v>
      </c>
      <c r="G3150" s="1115" t="n">
        <v>83160</v>
      </c>
      <c r="H3150" s="1115" t="s">
        <v>3866</v>
      </c>
      <c r="I3150" s="1115" t="n">
        <v>82580</v>
      </c>
      <c r="J3150" s="1115" t="s">
        <v>1081</v>
      </c>
    </row>
    <row r="3151" customFormat="false" ht="14.1" hidden="false" customHeight="true" outlineLevel="0" collapsed="false">
      <c r="A3151" s="1115" t="n">
        <v>82570</v>
      </c>
      <c r="B3151" s="1115" t="s">
        <v>167</v>
      </c>
      <c r="C3151" s="1115" t="n">
        <v>82570</v>
      </c>
      <c r="D3151" s="1115" t="s">
        <v>3735</v>
      </c>
      <c r="E3151" s="1115" t="s">
        <v>1505</v>
      </c>
      <c r="F3151" s="1115" t="n">
        <v>63800</v>
      </c>
      <c r="G3151" s="1115" t="n">
        <v>83210</v>
      </c>
      <c r="H3151" s="1115" t="s">
        <v>3004</v>
      </c>
      <c r="I3151" s="1115" t="n">
        <v>82590</v>
      </c>
      <c r="J3151" s="1115" t="s">
        <v>1081</v>
      </c>
    </row>
    <row r="3152" customFormat="false" ht="14.1" hidden="false" customHeight="true" outlineLevel="0" collapsed="false">
      <c r="A3152" s="1115" t="n">
        <v>82580</v>
      </c>
      <c r="B3152" s="1115" t="s">
        <v>167</v>
      </c>
      <c r="C3152" s="1115" t="n">
        <v>82580</v>
      </c>
      <c r="D3152" s="1115" t="s">
        <v>2063</v>
      </c>
      <c r="E3152" s="1115" t="s">
        <v>3716</v>
      </c>
      <c r="F3152" s="1115" t="n">
        <v>74170</v>
      </c>
      <c r="G3152" s="1115" t="n">
        <v>83220</v>
      </c>
      <c r="H3152" s="1115" t="s">
        <v>3809</v>
      </c>
      <c r="I3152" s="1115" t="n">
        <v>82600</v>
      </c>
      <c r="J3152" s="1115" t="s">
        <v>1564</v>
      </c>
    </row>
    <row r="3153" customFormat="false" ht="14.1" hidden="false" customHeight="true" outlineLevel="0" collapsed="false">
      <c r="A3153" s="1115" t="n">
        <v>82590</v>
      </c>
      <c r="B3153" s="1115" t="s">
        <v>167</v>
      </c>
      <c r="C3153" s="1115" t="n">
        <v>82590</v>
      </c>
      <c r="D3153" s="1115" t="s">
        <v>3377</v>
      </c>
      <c r="E3153" s="1115" t="s">
        <v>3867</v>
      </c>
      <c r="F3153" s="1115" t="n">
        <v>93750</v>
      </c>
      <c r="G3153" s="1115" t="n">
        <v>83220</v>
      </c>
      <c r="H3153" s="1115" t="s">
        <v>1842</v>
      </c>
      <c r="I3153" s="1115" t="n">
        <v>82610</v>
      </c>
      <c r="J3153" s="1115" t="s">
        <v>1564</v>
      </c>
    </row>
    <row r="3154" customFormat="false" ht="14.1" hidden="false" customHeight="true" outlineLevel="0" collapsed="false">
      <c r="A3154" s="1115" t="n">
        <v>82600</v>
      </c>
      <c r="B3154" s="1115" t="s">
        <v>167</v>
      </c>
      <c r="C3154" s="1115" t="n">
        <v>82600</v>
      </c>
      <c r="D3154" s="1115" t="s">
        <v>1564</v>
      </c>
      <c r="E3154" s="1115" t="s">
        <v>3586</v>
      </c>
      <c r="F3154" s="1115" t="n">
        <v>66910</v>
      </c>
      <c r="G3154" s="1115" t="n">
        <v>83235</v>
      </c>
      <c r="H3154" s="1115" t="s">
        <v>3694</v>
      </c>
      <c r="I3154" s="1115" t="n">
        <v>82615</v>
      </c>
      <c r="J3154" s="1115" t="s">
        <v>1564</v>
      </c>
    </row>
    <row r="3155" customFormat="false" ht="14.1" hidden="false" customHeight="true" outlineLevel="0" collapsed="false">
      <c r="A3155" s="1115" t="n">
        <v>82610</v>
      </c>
      <c r="B3155" s="1115" t="s">
        <v>167</v>
      </c>
      <c r="C3155" s="1115" t="n">
        <v>82610</v>
      </c>
      <c r="D3155" s="1115" t="s">
        <v>1564</v>
      </c>
      <c r="E3155" s="1115" t="s">
        <v>3868</v>
      </c>
      <c r="F3155" s="1115" t="n">
        <v>83760</v>
      </c>
      <c r="G3155" s="1115" t="n">
        <v>83250</v>
      </c>
      <c r="H3155" s="1115" t="s">
        <v>3725</v>
      </c>
      <c r="I3155" s="1115" t="n">
        <v>82620</v>
      </c>
      <c r="J3155" s="1115" t="s">
        <v>1564</v>
      </c>
    </row>
    <row r="3156" customFormat="false" ht="14.1" hidden="false" customHeight="true" outlineLevel="0" collapsed="false">
      <c r="A3156" s="1115" t="n">
        <v>82615</v>
      </c>
      <c r="B3156" s="1115" t="s">
        <v>167</v>
      </c>
      <c r="C3156" s="1115" t="n">
        <v>82615</v>
      </c>
      <c r="D3156" s="1115" t="s">
        <v>3850</v>
      </c>
      <c r="E3156" s="1115" t="s">
        <v>2912</v>
      </c>
      <c r="F3156" s="1115" t="n">
        <v>44540</v>
      </c>
      <c r="G3156" s="1115" t="n">
        <v>83260</v>
      </c>
      <c r="H3156" s="1115" t="s">
        <v>2888</v>
      </c>
      <c r="I3156" s="1115" t="n">
        <v>82625</v>
      </c>
      <c r="J3156" s="1115" t="s">
        <v>1564</v>
      </c>
    </row>
    <row r="3157" customFormat="false" ht="14.1" hidden="false" customHeight="true" outlineLevel="0" collapsed="false">
      <c r="A3157" s="1115" t="n">
        <v>82620</v>
      </c>
      <c r="B3157" s="1115" t="s">
        <v>167</v>
      </c>
      <c r="C3157" s="1115" t="n">
        <v>82620</v>
      </c>
      <c r="D3157" s="1115" t="s">
        <v>3793</v>
      </c>
      <c r="E3157" s="1115" t="s">
        <v>3212</v>
      </c>
      <c r="F3157" s="1115" t="n">
        <v>54940</v>
      </c>
      <c r="G3157" s="1115" t="n">
        <v>83310</v>
      </c>
      <c r="H3157" s="1115" t="s">
        <v>2533</v>
      </c>
      <c r="I3157" s="1115" t="n">
        <v>82635</v>
      </c>
      <c r="J3157" s="1115" t="s">
        <v>1564</v>
      </c>
    </row>
    <row r="3158" customFormat="false" ht="14.1" hidden="false" customHeight="true" outlineLevel="0" collapsed="false">
      <c r="A3158" s="1115" t="n">
        <v>82625</v>
      </c>
      <c r="B3158" s="1115" t="s">
        <v>167</v>
      </c>
      <c r="C3158" s="1115" t="n">
        <v>82625</v>
      </c>
      <c r="D3158" s="1115" t="s">
        <v>3517</v>
      </c>
      <c r="E3158" s="1115" t="s">
        <v>3124</v>
      </c>
      <c r="F3158" s="1115" t="n">
        <v>52360</v>
      </c>
      <c r="G3158" s="1115" t="n">
        <v>83320</v>
      </c>
      <c r="H3158" s="1115" t="s">
        <v>3729</v>
      </c>
      <c r="I3158" s="1115" t="n">
        <v>82650</v>
      </c>
      <c r="J3158" s="1115" t="s">
        <v>1564</v>
      </c>
    </row>
    <row r="3159" customFormat="false" ht="14.1" hidden="false" customHeight="true" outlineLevel="0" collapsed="false">
      <c r="A3159" s="1115" t="n">
        <v>82635</v>
      </c>
      <c r="B3159" s="1115" t="s">
        <v>167</v>
      </c>
      <c r="C3159" s="1115" t="n">
        <v>82635</v>
      </c>
      <c r="D3159" s="1115" t="s">
        <v>3852</v>
      </c>
      <c r="E3159" s="1115" t="s">
        <v>3194</v>
      </c>
      <c r="F3159" s="1115" t="n">
        <v>54580</v>
      </c>
      <c r="G3159" s="1115" t="n">
        <v>83330</v>
      </c>
      <c r="H3159" s="1115" t="s">
        <v>2133</v>
      </c>
      <c r="I3159" s="1115" t="n">
        <v>82655</v>
      </c>
      <c r="J3159" s="1115" t="s">
        <v>1564</v>
      </c>
    </row>
    <row r="3160" customFormat="false" ht="14.1" hidden="false" customHeight="true" outlineLevel="0" collapsed="false">
      <c r="A3160" s="1115" t="n">
        <v>82650</v>
      </c>
      <c r="B3160" s="1115" t="s">
        <v>167</v>
      </c>
      <c r="C3160" s="1115" t="n">
        <v>82650</v>
      </c>
      <c r="D3160" s="1115" t="s">
        <v>3506</v>
      </c>
      <c r="E3160" s="1115" t="s">
        <v>3869</v>
      </c>
      <c r="F3160" s="1115" t="n">
        <v>85240</v>
      </c>
      <c r="G3160" s="1115" t="n">
        <v>83340</v>
      </c>
      <c r="H3160" s="1115" t="s">
        <v>2125</v>
      </c>
      <c r="I3160" s="1115" t="n">
        <v>82660</v>
      </c>
      <c r="J3160" s="1115" t="s">
        <v>1564</v>
      </c>
    </row>
    <row r="3161" customFormat="false" ht="14.1" hidden="false" customHeight="true" outlineLevel="0" collapsed="false">
      <c r="A3161" s="1115" t="n">
        <v>82655</v>
      </c>
      <c r="B3161" s="1115" t="s">
        <v>167</v>
      </c>
      <c r="C3161" s="1115" t="n">
        <v>82655</v>
      </c>
      <c r="D3161" s="1115" t="s">
        <v>3853</v>
      </c>
      <c r="E3161" s="1115" t="s">
        <v>2346</v>
      </c>
      <c r="F3161" s="1115" t="n">
        <v>31470</v>
      </c>
      <c r="G3161" s="1115" t="n">
        <v>83350</v>
      </c>
      <c r="H3161" s="1115" t="s">
        <v>3733</v>
      </c>
      <c r="I3161" s="1115" t="n">
        <v>82670</v>
      </c>
      <c r="J3161" s="1115" t="s">
        <v>1564</v>
      </c>
    </row>
    <row r="3162" customFormat="false" ht="14.1" hidden="false" customHeight="true" outlineLevel="0" collapsed="false">
      <c r="A3162" s="1115" t="n">
        <v>82660</v>
      </c>
      <c r="B3162" s="1115" t="s">
        <v>167</v>
      </c>
      <c r="C3162" s="1115" t="n">
        <v>82660</v>
      </c>
      <c r="D3162" s="1115" t="s">
        <v>3854</v>
      </c>
      <c r="E3162" s="1115" t="s">
        <v>1507</v>
      </c>
      <c r="F3162" s="1115" t="n">
        <v>31400</v>
      </c>
      <c r="G3162" s="1115" t="n">
        <v>83400</v>
      </c>
      <c r="H3162" s="1115" t="s">
        <v>3870</v>
      </c>
      <c r="I3162" s="1115" t="n">
        <v>82675</v>
      </c>
      <c r="J3162" s="1115" t="s">
        <v>1564</v>
      </c>
    </row>
    <row r="3163" customFormat="false" ht="14.1" hidden="false" customHeight="true" outlineLevel="0" collapsed="false">
      <c r="A3163" s="1115" t="n">
        <v>82670</v>
      </c>
      <c r="B3163" s="1115" t="s">
        <v>167</v>
      </c>
      <c r="C3163" s="1115" t="n">
        <v>82670</v>
      </c>
      <c r="D3163" s="1115" t="s">
        <v>2331</v>
      </c>
      <c r="E3163" s="1115" t="s">
        <v>2882</v>
      </c>
      <c r="F3163" s="1115" t="n">
        <v>43840</v>
      </c>
      <c r="G3163" s="1115" t="n">
        <v>83430</v>
      </c>
      <c r="H3163" s="1115" t="s">
        <v>2818</v>
      </c>
      <c r="I3163" s="1115" t="n">
        <v>82685</v>
      </c>
      <c r="J3163" s="1115" t="s">
        <v>1564</v>
      </c>
    </row>
    <row r="3164" customFormat="false" ht="14.1" hidden="false" customHeight="true" outlineLevel="0" collapsed="false">
      <c r="A3164" s="1115" t="n">
        <v>82675</v>
      </c>
      <c r="B3164" s="1115" t="s">
        <v>167</v>
      </c>
      <c r="C3164" s="1115" t="n">
        <v>82675</v>
      </c>
      <c r="D3164" s="1115" t="s">
        <v>3328</v>
      </c>
      <c r="E3164" s="1115" t="s">
        <v>3871</v>
      </c>
      <c r="F3164" s="1115" t="n">
        <v>97240</v>
      </c>
      <c r="G3164" s="1115" t="n">
        <v>83450</v>
      </c>
      <c r="H3164" s="1115" t="s">
        <v>3872</v>
      </c>
      <c r="I3164" s="1115" t="n">
        <v>82695</v>
      </c>
      <c r="J3164" s="1115" t="s">
        <v>1564</v>
      </c>
    </row>
    <row r="3165" customFormat="false" ht="14.1" hidden="false" customHeight="true" outlineLevel="0" collapsed="false">
      <c r="A3165" s="1115" t="n">
        <v>82685</v>
      </c>
      <c r="B3165" s="1115" t="s">
        <v>167</v>
      </c>
      <c r="C3165" s="1115" t="n">
        <v>82685</v>
      </c>
      <c r="D3165" s="1115" t="s">
        <v>3007</v>
      </c>
      <c r="E3165" s="1115" t="s">
        <v>3863</v>
      </c>
      <c r="F3165" s="1115" t="n">
        <v>82915</v>
      </c>
      <c r="G3165" s="1115" t="n">
        <v>83480</v>
      </c>
      <c r="H3165" s="1115" t="s">
        <v>759</v>
      </c>
      <c r="I3165" s="1115" t="n">
        <v>82710</v>
      </c>
      <c r="J3165" s="1115" t="s">
        <v>1564</v>
      </c>
    </row>
    <row r="3166" customFormat="false" ht="14.1" hidden="false" customHeight="true" outlineLevel="0" collapsed="false">
      <c r="A3166" s="1115" t="n">
        <v>82695</v>
      </c>
      <c r="B3166" s="1115" t="s">
        <v>167</v>
      </c>
      <c r="C3166" s="1115" t="n">
        <v>82695</v>
      </c>
      <c r="D3166" s="1115" t="s">
        <v>2556</v>
      </c>
      <c r="E3166" s="1115" t="s">
        <v>1509</v>
      </c>
      <c r="F3166" s="1115" t="n">
        <v>74300</v>
      </c>
      <c r="G3166" s="1115" t="n">
        <v>83500</v>
      </c>
      <c r="H3166" s="1115" t="s">
        <v>1311</v>
      </c>
      <c r="I3166" s="1115" t="n">
        <v>82725</v>
      </c>
      <c r="J3166" s="1115" t="s">
        <v>1564</v>
      </c>
    </row>
    <row r="3167" customFormat="false" ht="14.1" hidden="false" customHeight="true" outlineLevel="0" collapsed="false">
      <c r="A3167" s="1115" t="n">
        <v>82710</v>
      </c>
      <c r="B3167" s="1115" t="s">
        <v>167</v>
      </c>
      <c r="C3167" s="1115" t="n">
        <v>82710</v>
      </c>
      <c r="D3167" s="1115" t="s">
        <v>2638</v>
      </c>
      <c r="E3167" s="1115" t="s">
        <v>3723</v>
      </c>
      <c r="F3167" s="1115" t="n">
        <v>74360</v>
      </c>
      <c r="G3167" s="1115" t="n">
        <v>83520</v>
      </c>
      <c r="H3167" s="1115" t="s">
        <v>1311</v>
      </c>
      <c r="I3167" s="1115" t="n">
        <v>82730</v>
      </c>
      <c r="J3167" s="1115" t="s">
        <v>1564</v>
      </c>
    </row>
    <row r="3168" customFormat="false" ht="14.1" hidden="false" customHeight="true" outlineLevel="0" collapsed="false">
      <c r="A3168" s="1115" t="n">
        <v>82725</v>
      </c>
      <c r="B3168" s="1115" t="s">
        <v>167</v>
      </c>
      <c r="C3168" s="1115" t="n">
        <v>82725</v>
      </c>
      <c r="D3168" s="1115" t="s">
        <v>2537</v>
      </c>
      <c r="E3168" s="1115" t="s">
        <v>1644</v>
      </c>
      <c r="F3168" s="1115" t="n">
        <v>33470</v>
      </c>
      <c r="G3168" s="1115" t="n">
        <v>83540</v>
      </c>
      <c r="H3168" s="1115" t="s">
        <v>3106</v>
      </c>
      <c r="I3168" s="1115" t="n">
        <v>82750</v>
      </c>
      <c r="J3168" s="1115" t="s">
        <v>1564</v>
      </c>
    </row>
    <row r="3169" customFormat="false" ht="14.1" hidden="false" customHeight="true" outlineLevel="0" collapsed="false">
      <c r="A3169" s="1115" t="n">
        <v>82730</v>
      </c>
      <c r="B3169" s="1115" t="s">
        <v>167</v>
      </c>
      <c r="C3169" s="1115" t="n">
        <v>82730</v>
      </c>
      <c r="D3169" s="1115" t="s">
        <v>3856</v>
      </c>
      <c r="E3169" s="1115" t="s">
        <v>3692</v>
      </c>
      <c r="F3169" s="1115" t="n">
        <v>73190</v>
      </c>
      <c r="G3169" s="1115" t="n">
        <v>83620</v>
      </c>
      <c r="H3169" s="1115" t="s">
        <v>3873</v>
      </c>
      <c r="I3169" s="1115" t="n">
        <v>82760</v>
      </c>
      <c r="J3169" s="1115" t="s">
        <v>1564</v>
      </c>
    </row>
    <row r="3170" customFormat="false" ht="14.1" hidden="false" customHeight="true" outlineLevel="0" collapsed="false">
      <c r="A3170" s="1115" t="n">
        <v>82750</v>
      </c>
      <c r="B3170" s="1115" t="s">
        <v>167</v>
      </c>
      <c r="C3170" s="1115" t="n">
        <v>82750</v>
      </c>
      <c r="D3170" s="1115" t="s">
        <v>3857</v>
      </c>
      <c r="E3170" s="1115" t="s">
        <v>3780</v>
      </c>
      <c r="F3170" s="1115" t="n">
        <v>79130</v>
      </c>
      <c r="G3170" s="1115" t="n">
        <v>83630</v>
      </c>
      <c r="H3170" s="1115" t="s">
        <v>2759</v>
      </c>
      <c r="I3170" s="1115" t="n">
        <v>82770</v>
      </c>
      <c r="J3170" s="1115" t="s">
        <v>1564</v>
      </c>
    </row>
    <row r="3171" customFormat="false" ht="14.1" hidden="false" customHeight="true" outlineLevel="0" collapsed="false">
      <c r="A3171" s="1115" t="n">
        <v>82760</v>
      </c>
      <c r="B3171" s="1115" t="s">
        <v>167</v>
      </c>
      <c r="C3171" s="1115" t="n">
        <v>82760</v>
      </c>
      <c r="D3171" s="1115" t="s">
        <v>1744</v>
      </c>
      <c r="E3171" s="1115" t="s">
        <v>2351</v>
      </c>
      <c r="F3171" s="1115" t="n">
        <v>31510</v>
      </c>
      <c r="G3171" s="1115" t="n">
        <v>83660</v>
      </c>
      <c r="H3171" s="1115" t="s">
        <v>3874</v>
      </c>
      <c r="I3171" s="1115" t="n">
        <v>82780</v>
      </c>
      <c r="J3171" s="1115" t="s">
        <v>1564</v>
      </c>
    </row>
    <row r="3172" customFormat="false" ht="14.1" hidden="false" customHeight="true" outlineLevel="0" collapsed="false">
      <c r="A3172" s="1115" t="n">
        <v>82770</v>
      </c>
      <c r="B3172" s="1115" t="s">
        <v>167</v>
      </c>
      <c r="C3172" s="1115" t="n">
        <v>82770</v>
      </c>
      <c r="D3172" s="1115" t="s">
        <v>3665</v>
      </c>
      <c r="E3172" s="1115" t="s">
        <v>3875</v>
      </c>
      <c r="F3172" s="1115" t="n">
        <v>93717</v>
      </c>
      <c r="G3172" s="1115" t="n">
        <v>83700</v>
      </c>
      <c r="H3172" s="1115" t="s">
        <v>1357</v>
      </c>
      <c r="I3172" s="1115" t="n">
        <v>82810</v>
      </c>
      <c r="J3172" s="1115" t="s">
        <v>1564</v>
      </c>
    </row>
    <row r="3173" customFormat="false" ht="14.1" hidden="false" customHeight="true" outlineLevel="0" collapsed="false">
      <c r="A3173" s="1115" t="n">
        <v>82780</v>
      </c>
      <c r="B3173" s="1115" t="s">
        <v>167</v>
      </c>
      <c r="C3173" s="1115" t="n">
        <v>82780</v>
      </c>
      <c r="D3173" s="1115" t="s">
        <v>3792</v>
      </c>
      <c r="E3173" s="1115" t="s">
        <v>3876</v>
      </c>
      <c r="F3173" s="1115" t="n">
        <v>93270</v>
      </c>
      <c r="G3173" s="1115" t="n">
        <v>83710</v>
      </c>
      <c r="H3173" s="1115" t="s">
        <v>3877</v>
      </c>
      <c r="I3173" s="1115" t="n">
        <v>82815</v>
      </c>
      <c r="J3173" s="1115" t="s">
        <v>1564</v>
      </c>
    </row>
    <row r="3174" customFormat="false" ht="14.1" hidden="false" customHeight="true" outlineLevel="0" collapsed="false">
      <c r="A3174" s="1115" t="n">
        <v>82810</v>
      </c>
      <c r="B3174" s="1115" t="s">
        <v>167</v>
      </c>
      <c r="C3174" s="1115" t="n">
        <v>82810</v>
      </c>
      <c r="D3174" s="1115" t="s">
        <v>1536</v>
      </c>
      <c r="E3174" s="1115" t="s">
        <v>1511</v>
      </c>
      <c r="F3174" s="1115" t="n">
        <v>88600</v>
      </c>
      <c r="G3174" s="1115" t="n">
        <v>83720</v>
      </c>
      <c r="H3174" s="1115" t="s">
        <v>2724</v>
      </c>
      <c r="I3174" s="1115" t="n">
        <v>82820</v>
      </c>
      <c r="J3174" s="1115" t="s">
        <v>1564</v>
      </c>
    </row>
    <row r="3175" customFormat="false" ht="14.1" hidden="false" customHeight="true" outlineLevel="0" collapsed="false">
      <c r="A3175" s="1115" t="n">
        <v>82815</v>
      </c>
      <c r="B3175" s="1115" t="s">
        <v>167</v>
      </c>
      <c r="C3175" s="1115" t="n">
        <v>82815</v>
      </c>
      <c r="D3175" s="1115" t="s">
        <v>3142</v>
      </c>
      <c r="E3175" s="1115" t="s">
        <v>3878</v>
      </c>
      <c r="F3175" s="1115" t="n">
        <v>37960</v>
      </c>
      <c r="G3175" s="1115" t="n">
        <v>83750</v>
      </c>
      <c r="H3175" s="1115" t="s">
        <v>3879</v>
      </c>
      <c r="I3175" s="1115" t="n">
        <v>82830</v>
      </c>
      <c r="J3175" s="1115" t="s">
        <v>1564</v>
      </c>
    </row>
    <row r="3176" customFormat="false" ht="14.1" hidden="false" customHeight="true" outlineLevel="0" collapsed="false">
      <c r="A3176" s="1115" t="n">
        <v>82820</v>
      </c>
      <c r="B3176" s="1115" t="s">
        <v>167</v>
      </c>
      <c r="C3176" s="1115" t="n">
        <v>82820</v>
      </c>
      <c r="D3176" s="1115" t="s">
        <v>3157</v>
      </c>
      <c r="E3176" s="1115" t="s">
        <v>3879</v>
      </c>
      <c r="F3176" s="1115" t="n">
        <v>83750</v>
      </c>
      <c r="G3176" s="1115" t="n">
        <v>83760</v>
      </c>
      <c r="H3176" s="1115" t="s">
        <v>3868</v>
      </c>
      <c r="I3176" s="1115" t="n">
        <v>82840</v>
      </c>
      <c r="J3176" s="1115" t="s">
        <v>1564</v>
      </c>
    </row>
    <row r="3177" customFormat="false" ht="14.1" hidden="false" customHeight="true" outlineLevel="0" collapsed="false">
      <c r="A3177" s="1115" t="n">
        <v>82830</v>
      </c>
      <c r="B3177" s="1115" t="s">
        <v>167</v>
      </c>
      <c r="C3177" s="1115" t="n">
        <v>82830</v>
      </c>
      <c r="D3177" s="1115" t="s">
        <v>1478</v>
      </c>
      <c r="E3177" s="1115" t="s">
        <v>1514</v>
      </c>
      <c r="F3177" s="1115" t="n">
        <v>22720</v>
      </c>
      <c r="G3177" s="1115" t="n">
        <v>83780</v>
      </c>
      <c r="H3177" s="1115" t="s">
        <v>1776</v>
      </c>
      <c r="I3177" s="1115" t="n">
        <v>82850</v>
      </c>
      <c r="J3177" s="1115" t="s">
        <v>1564</v>
      </c>
    </row>
    <row r="3178" customFormat="false" ht="14.1" hidden="false" customHeight="true" outlineLevel="0" collapsed="false">
      <c r="A3178" s="1115" t="n">
        <v>82840</v>
      </c>
      <c r="B3178" s="1115" t="s">
        <v>167</v>
      </c>
      <c r="C3178" s="1115" t="n">
        <v>82840</v>
      </c>
      <c r="D3178" s="1115" t="s">
        <v>3583</v>
      </c>
      <c r="E3178" s="1115" t="s">
        <v>1514</v>
      </c>
      <c r="F3178" s="1115" t="n">
        <v>22720</v>
      </c>
      <c r="G3178" s="1115" t="n">
        <v>83810</v>
      </c>
      <c r="H3178" s="1115" t="s">
        <v>2867</v>
      </c>
      <c r="I3178" s="1115" t="n">
        <v>82855</v>
      </c>
      <c r="J3178" s="1115" t="s">
        <v>1564</v>
      </c>
    </row>
    <row r="3179" customFormat="false" ht="14.1" hidden="false" customHeight="true" outlineLevel="0" collapsed="false">
      <c r="A3179" s="1115" t="n">
        <v>82850</v>
      </c>
      <c r="B3179" s="1115" t="s">
        <v>167</v>
      </c>
      <c r="C3179" s="1115" t="n">
        <v>82850</v>
      </c>
      <c r="D3179" s="1115" t="s">
        <v>2433</v>
      </c>
      <c r="E3179" s="1115" t="s">
        <v>2075</v>
      </c>
      <c r="F3179" s="1115" t="n">
        <v>23840</v>
      </c>
      <c r="G3179" s="1115" t="n">
        <v>83815</v>
      </c>
      <c r="H3179" s="1115" t="s">
        <v>1299</v>
      </c>
      <c r="I3179" s="1115" t="n">
        <v>82865</v>
      </c>
      <c r="J3179" s="1115" t="s">
        <v>1564</v>
      </c>
    </row>
    <row r="3180" customFormat="false" ht="14.1" hidden="false" customHeight="true" outlineLevel="0" collapsed="false">
      <c r="A3180" s="1115" t="n">
        <v>82855</v>
      </c>
      <c r="B3180" s="1115" t="s">
        <v>167</v>
      </c>
      <c r="C3180" s="1115" t="n">
        <v>82855</v>
      </c>
      <c r="D3180" s="1115" t="s">
        <v>2432</v>
      </c>
      <c r="E3180" s="1115" t="s">
        <v>3727</v>
      </c>
      <c r="F3180" s="1115" t="n">
        <v>74560</v>
      </c>
      <c r="G3180" s="1115" t="n">
        <v>83820</v>
      </c>
      <c r="H3180" s="1115" t="s">
        <v>3237</v>
      </c>
      <c r="I3180" s="1115" t="n">
        <v>82870</v>
      </c>
      <c r="J3180" s="1115" t="s">
        <v>1564</v>
      </c>
    </row>
    <row r="3181" customFormat="false" ht="14.1" hidden="false" customHeight="true" outlineLevel="0" collapsed="false">
      <c r="A3181" s="1115" t="n">
        <v>82865</v>
      </c>
      <c r="B3181" s="1115" t="s">
        <v>167</v>
      </c>
      <c r="C3181" s="1115" t="n">
        <v>82865</v>
      </c>
      <c r="D3181" s="1115" t="s">
        <v>2495</v>
      </c>
      <c r="E3181" s="1115" t="s">
        <v>2624</v>
      </c>
      <c r="F3181" s="1115" t="n">
        <v>38220</v>
      </c>
      <c r="G3181" s="1115" t="n">
        <v>83825</v>
      </c>
      <c r="H3181" s="1115" t="s">
        <v>2430</v>
      </c>
      <c r="I3181" s="1115" t="n">
        <v>82880</v>
      </c>
      <c r="J3181" s="1115" t="s">
        <v>1564</v>
      </c>
    </row>
    <row r="3182" customFormat="false" ht="14.1" hidden="false" customHeight="true" outlineLevel="0" collapsed="false">
      <c r="A3182" s="1115" t="n">
        <v>82870</v>
      </c>
      <c r="B3182" s="1115" t="s">
        <v>167</v>
      </c>
      <c r="C3182" s="1115" t="n">
        <v>82870</v>
      </c>
      <c r="D3182" s="1115" t="s">
        <v>3076</v>
      </c>
      <c r="E3182" s="1115" t="s">
        <v>2121</v>
      </c>
      <c r="F3182" s="1115" t="n">
        <v>25650</v>
      </c>
      <c r="G3182" s="1115" t="n">
        <v>83830</v>
      </c>
      <c r="H3182" s="1115" t="s">
        <v>1803</v>
      </c>
      <c r="I3182" s="1115" t="n">
        <v>82890</v>
      </c>
      <c r="J3182" s="1115" t="s">
        <v>1564</v>
      </c>
    </row>
    <row r="3183" customFormat="false" ht="14.1" hidden="false" customHeight="true" outlineLevel="0" collapsed="false">
      <c r="A3183" s="1115" t="n">
        <v>82880</v>
      </c>
      <c r="B3183" s="1115" t="s">
        <v>167</v>
      </c>
      <c r="C3183" s="1115" t="n">
        <v>82880</v>
      </c>
      <c r="D3183" s="1115" t="s">
        <v>3123</v>
      </c>
      <c r="E3183" s="1115" t="s">
        <v>3837</v>
      </c>
      <c r="F3183" s="1115" t="n">
        <v>82210</v>
      </c>
      <c r="G3183" s="1115" t="n">
        <v>83835</v>
      </c>
      <c r="H3183" s="1115" t="s">
        <v>3772</v>
      </c>
      <c r="I3183" s="1115" t="n">
        <v>82900</v>
      </c>
      <c r="J3183" s="1115" t="s">
        <v>1564</v>
      </c>
    </row>
    <row r="3184" customFormat="false" ht="14.1" hidden="false" customHeight="true" outlineLevel="0" collapsed="false">
      <c r="A3184" s="1115" t="n">
        <v>82890</v>
      </c>
      <c r="B3184" s="1115" t="s">
        <v>167</v>
      </c>
      <c r="C3184" s="1115" t="n">
        <v>82890</v>
      </c>
      <c r="D3184" s="1115" t="s">
        <v>3750</v>
      </c>
      <c r="E3184" s="1115" t="s">
        <v>1211</v>
      </c>
      <c r="F3184" s="1115" t="n">
        <v>3890</v>
      </c>
      <c r="G3184" s="1115" t="n">
        <v>83840</v>
      </c>
      <c r="H3184" s="1115" t="s">
        <v>3795</v>
      </c>
      <c r="I3184" s="1115" t="n">
        <v>82910</v>
      </c>
      <c r="J3184" s="1115" t="s">
        <v>1564</v>
      </c>
    </row>
    <row r="3185" customFormat="false" ht="14.1" hidden="false" customHeight="true" outlineLevel="0" collapsed="false">
      <c r="A3185" s="1115" t="n">
        <v>82900</v>
      </c>
      <c r="B3185" s="1115" t="s">
        <v>167</v>
      </c>
      <c r="C3185" s="1115" t="n">
        <v>82900</v>
      </c>
      <c r="D3185" s="1115" t="s">
        <v>880</v>
      </c>
      <c r="E3185" s="1115" t="s">
        <v>2548</v>
      </c>
      <c r="F3185" s="1115" t="n">
        <v>36120</v>
      </c>
      <c r="G3185" s="1115" t="n">
        <v>83845</v>
      </c>
      <c r="H3185" s="1115" t="s">
        <v>3810</v>
      </c>
      <c r="I3185" s="1115" t="n">
        <v>82915</v>
      </c>
      <c r="J3185" s="1115" t="s">
        <v>1564</v>
      </c>
    </row>
    <row r="3186" customFormat="false" ht="14.1" hidden="false" customHeight="true" outlineLevel="0" collapsed="false">
      <c r="A3186" s="1115" t="n">
        <v>82910</v>
      </c>
      <c r="B3186" s="1115" t="s">
        <v>167</v>
      </c>
      <c r="C3186" s="1115" t="n">
        <v>82910</v>
      </c>
      <c r="D3186" s="1115" t="s">
        <v>3454</v>
      </c>
      <c r="E3186" s="1115" t="s">
        <v>3721</v>
      </c>
      <c r="F3186" s="1115" t="n">
        <v>74340</v>
      </c>
      <c r="G3186" s="1115" t="n">
        <v>83855</v>
      </c>
      <c r="H3186" s="1115" t="s">
        <v>3151</v>
      </c>
      <c r="I3186" s="1115" t="n">
        <v>82920</v>
      </c>
      <c r="J3186" s="1115" t="s">
        <v>1564</v>
      </c>
    </row>
    <row r="3187" customFormat="false" ht="14.1" hidden="false" customHeight="true" outlineLevel="0" collapsed="false">
      <c r="A3187" s="1115" t="n">
        <v>82915</v>
      </c>
      <c r="B3187" s="1115" t="s">
        <v>167</v>
      </c>
      <c r="C3187" s="1115" t="n">
        <v>82915</v>
      </c>
      <c r="D3187" s="1115" t="s">
        <v>3863</v>
      </c>
      <c r="E3187" s="1115" t="s">
        <v>3880</v>
      </c>
      <c r="F3187" s="1115" t="n">
        <v>97690</v>
      </c>
      <c r="G3187" s="1115" t="n">
        <v>83865</v>
      </c>
      <c r="H3187" s="1115" t="s">
        <v>3881</v>
      </c>
      <c r="I3187" s="1115" t="n">
        <v>82925</v>
      </c>
      <c r="J3187" s="1115" t="s">
        <v>1564</v>
      </c>
    </row>
    <row r="3188" customFormat="false" ht="14.1" hidden="false" customHeight="true" outlineLevel="0" collapsed="false">
      <c r="A3188" s="1115" t="n">
        <v>82920</v>
      </c>
      <c r="B3188" s="1115" t="s">
        <v>167</v>
      </c>
      <c r="C3188" s="1115" t="n">
        <v>82920</v>
      </c>
      <c r="D3188" s="1115" t="s">
        <v>1906</v>
      </c>
      <c r="E3188" s="1115" t="s">
        <v>3770</v>
      </c>
      <c r="F3188" s="1115" t="n">
        <v>77760</v>
      </c>
      <c r="G3188" s="1115" t="n">
        <v>83870</v>
      </c>
      <c r="H3188" s="1115" t="s">
        <v>3605</v>
      </c>
      <c r="I3188" s="1115" t="n">
        <v>82930</v>
      </c>
      <c r="J3188" s="1115" t="s">
        <v>1564</v>
      </c>
    </row>
    <row r="3189" customFormat="false" ht="14.1" hidden="false" customHeight="true" outlineLevel="0" collapsed="false">
      <c r="A3189" s="1115" t="n">
        <v>82925</v>
      </c>
      <c r="B3189" s="1115" t="s">
        <v>167</v>
      </c>
      <c r="C3189" s="1115" t="n">
        <v>82925</v>
      </c>
      <c r="D3189" s="1115" t="s">
        <v>1441</v>
      </c>
      <c r="E3189" s="1115" t="s">
        <v>3236</v>
      </c>
      <c r="F3189" s="1115" t="n">
        <v>56460</v>
      </c>
      <c r="G3189" s="1115" t="n">
        <v>83875</v>
      </c>
      <c r="H3189" s="1115" t="s">
        <v>3545</v>
      </c>
      <c r="I3189" s="1115" t="n">
        <v>82950</v>
      </c>
      <c r="J3189" s="1115" t="s">
        <v>1564</v>
      </c>
    </row>
    <row r="3190" customFormat="false" ht="14.1" hidden="false" customHeight="true" outlineLevel="0" collapsed="false">
      <c r="A3190" s="1115" t="n">
        <v>82930</v>
      </c>
      <c r="B3190" s="1115" t="s">
        <v>167</v>
      </c>
      <c r="C3190" s="1115" t="n">
        <v>82930</v>
      </c>
      <c r="D3190" s="1115" t="s">
        <v>3080</v>
      </c>
      <c r="E3190" s="1115" t="s">
        <v>1515</v>
      </c>
      <c r="F3190" s="1115" t="n">
        <v>58700</v>
      </c>
      <c r="G3190" s="1115" t="n">
        <v>83880</v>
      </c>
      <c r="H3190" s="1115" t="s">
        <v>2167</v>
      </c>
      <c r="I3190" s="1115" t="n">
        <v>82960</v>
      </c>
      <c r="J3190" s="1115" t="s">
        <v>1564</v>
      </c>
    </row>
    <row r="3191" customFormat="false" ht="14.1" hidden="false" customHeight="true" outlineLevel="0" collapsed="false">
      <c r="A3191" s="1115" t="n">
        <v>82950</v>
      </c>
      <c r="B3191" s="1115" t="s">
        <v>167</v>
      </c>
      <c r="C3191" s="1115" t="n">
        <v>82950</v>
      </c>
      <c r="D3191" s="1115" t="s">
        <v>2656</v>
      </c>
      <c r="E3191" s="1115" t="s">
        <v>3732</v>
      </c>
      <c r="F3191" s="1115" t="n">
        <v>74640</v>
      </c>
      <c r="G3191" s="1115" t="n">
        <v>83900</v>
      </c>
      <c r="H3191" s="1115" t="s">
        <v>924</v>
      </c>
      <c r="I3191" s="1115" t="n">
        <v>82967</v>
      </c>
      <c r="J3191" s="1115" t="s">
        <v>1564</v>
      </c>
    </row>
    <row r="3192" customFormat="false" ht="14.1" hidden="false" customHeight="true" outlineLevel="0" collapsed="false">
      <c r="A3192" s="1115" t="n">
        <v>82960</v>
      </c>
      <c r="B3192" s="1115" t="s">
        <v>167</v>
      </c>
      <c r="C3192" s="1115" t="n">
        <v>82960</v>
      </c>
      <c r="D3192" s="1115" t="s">
        <v>2939</v>
      </c>
      <c r="E3192" s="1115" t="s">
        <v>3457</v>
      </c>
      <c r="F3192" s="1115" t="n">
        <v>63350</v>
      </c>
      <c r="G3192" s="1115" t="n">
        <v>83910</v>
      </c>
      <c r="H3192" s="1115" t="s">
        <v>3443</v>
      </c>
      <c r="I3192" s="1115" t="n">
        <v>82980</v>
      </c>
      <c r="J3192" s="1115" t="s">
        <v>1564</v>
      </c>
    </row>
    <row r="3193" customFormat="false" ht="14.1" hidden="false" customHeight="true" outlineLevel="0" collapsed="false">
      <c r="A3193" s="1115" t="n">
        <v>82967</v>
      </c>
      <c r="B3193" s="1115" t="s">
        <v>167</v>
      </c>
      <c r="C3193" s="1115" t="n">
        <v>82967</v>
      </c>
      <c r="D3193" s="1115" t="s">
        <v>1453</v>
      </c>
      <c r="E3193" s="1115" t="s">
        <v>1766</v>
      </c>
      <c r="F3193" s="1115" t="n">
        <v>16750</v>
      </c>
      <c r="G3193" s="1115" t="n">
        <v>83915</v>
      </c>
      <c r="H3193" s="1115" t="s">
        <v>3882</v>
      </c>
      <c r="I3193" s="1115" t="n">
        <v>82995</v>
      </c>
      <c r="J3193" s="1115" t="s">
        <v>1564</v>
      </c>
    </row>
    <row r="3194" customFormat="false" ht="14.1" hidden="false" customHeight="true" outlineLevel="0" collapsed="false">
      <c r="A3194" s="1115" t="n">
        <v>82980</v>
      </c>
      <c r="B3194" s="1115" t="s">
        <v>167</v>
      </c>
      <c r="C3194" s="1115" t="n">
        <v>82980</v>
      </c>
      <c r="D3194" s="1115" t="s">
        <v>3271</v>
      </c>
      <c r="E3194" s="1115" t="s">
        <v>3527</v>
      </c>
      <c r="F3194" s="1115" t="n">
        <v>65450</v>
      </c>
      <c r="G3194" s="1115" t="n">
        <v>83920</v>
      </c>
      <c r="H3194" s="1115" t="s">
        <v>1181</v>
      </c>
      <c r="I3194" s="1115" t="n">
        <v>82997</v>
      </c>
      <c r="J3194" s="1115" t="s">
        <v>1564</v>
      </c>
    </row>
    <row r="3195" customFormat="false" ht="14.1" hidden="false" customHeight="true" outlineLevel="0" collapsed="false">
      <c r="A3195" s="1115" t="n">
        <v>82995</v>
      </c>
      <c r="B3195" s="1115" t="s">
        <v>167</v>
      </c>
      <c r="C3195" s="1115" t="n">
        <v>82995</v>
      </c>
      <c r="D3195" s="1115" t="s">
        <v>3300</v>
      </c>
      <c r="E3195" s="1115" t="s">
        <v>1517</v>
      </c>
      <c r="F3195" s="1115" t="n">
        <v>44280</v>
      </c>
      <c r="G3195" s="1115" t="n">
        <v>83925</v>
      </c>
      <c r="H3195" s="1115" t="s">
        <v>3883</v>
      </c>
      <c r="I3195" s="1115" t="n">
        <v>83100</v>
      </c>
      <c r="J3195" s="1115" t="s">
        <v>1179</v>
      </c>
    </row>
    <row r="3196" customFormat="false" ht="14.1" hidden="false" customHeight="true" outlineLevel="0" collapsed="false">
      <c r="A3196" s="1115" t="n">
        <v>82997</v>
      </c>
      <c r="B3196" s="1115" t="s">
        <v>167</v>
      </c>
      <c r="C3196" s="1115" t="n">
        <v>82997</v>
      </c>
      <c r="D3196" s="1115" t="s">
        <v>3235</v>
      </c>
      <c r="E3196" s="1115" t="s">
        <v>612</v>
      </c>
      <c r="F3196" s="1115" t="n">
        <v>49480</v>
      </c>
      <c r="G3196" s="1115" t="n">
        <v>83930</v>
      </c>
      <c r="H3196" s="1115" t="s">
        <v>3597</v>
      </c>
      <c r="I3196" s="1115" t="n">
        <v>83130</v>
      </c>
      <c r="J3196" s="1115" t="s">
        <v>1179</v>
      </c>
    </row>
    <row r="3197" customFormat="false" ht="14.1" hidden="false" customHeight="true" outlineLevel="0" collapsed="false">
      <c r="A3197" s="1115" t="n">
        <v>83100</v>
      </c>
      <c r="B3197" s="1115" t="s">
        <v>167</v>
      </c>
      <c r="C3197" s="1115" t="n">
        <v>83100</v>
      </c>
      <c r="D3197" s="1115" t="s">
        <v>1179</v>
      </c>
      <c r="E3197" s="1115" t="s">
        <v>2855</v>
      </c>
      <c r="F3197" s="1115" t="n">
        <v>43140</v>
      </c>
      <c r="G3197" s="1115" t="n">
        <v>83940</v>
      </c>
      <c r="H3197" s="1115" t="s">
        <v>3357</v>
      </c>
      <c r="I3197" s="1115" t="n">
        <v>83140</v>
      </c>
      <c r="J3197" s="1115" t="s">
        <v>1179</v>
      </c>
    </row>
    <row r="3198" customFormat="false" ht="14.1" hidden="false" customHeight="true" outlineLevel="0" collapsed="false">
      <c r="A3198" s="1115" t="n">
        <v>83130</v>
      </c>
      <c r="B3198" s="1115" t="s">
        <v>167</v>
      </c>
      <c r="C3198" s="1115" t="n">
        <v>83130</v>
      </c>
      <c r="D3198" s="1115" t="s">
        <v>3808</v>
      </c>
      <c r="E3198" s="1115" t="s">
        <v>1519</v>
      </c>
      <c r="F3198" s="1115" t="n">
        <v>22530</v>
      </c>
      <c r="G3198" s="1115" t="n">
        <v>83950</v>
      </c>
      <c r="H3198" s="1115" t="s">
        <v>740</v>
      </c>
      <c r="I3198" s="1115" t="n">
        <v>83150</v>
      </c>
      <c r="J3198" s="1115" t="s">
        <v>1179</v>
      </c>
    </row>
    <row r="3199" customFormat="false" ht="14.1" hidden="false" customHeight="true" outlineLevel="0" collapsed="false">
      <c r="A3199" s="1115" t="n">
        <v>83140</v>
      </c>
      <c r="B3199" s="1115" t="s">
        <v>167</v>
      </c>
      <c r="C3199" s="1115" t="n">
        <v>83140</v>
      </c>
      <c r="D3199" s="1115" t="s">
        <v>3644</v>
      </c>
      <c r="E3199" s="1115" t="s">
        <v>1519</v>
      </c>
      <c r="F3199" s="1115" t="n">
        <v>22530</v>
      </c>
      <c r="G3199" s="1115" t="n">
        <v>83955</v>
      </c>
      <c r="H3199" s="1115" t="s">
        <v>2553</v>
      </c>
      <c r="I3199" s="1115" t="n">
        <v>83160</v>
      </c>
      <c r="J3199" s="1115" t="s">
        <v>1179</v>
      </c>
    </row>
    <row r="3200" customFormat="false" ht="14.1" hidden="false" customHeight="true" outlineLevel="0" collapsed="false">
      <c r="A3200" s="1115" t="n">
        <v>83150</v>
      </c>
      <c r="B3200" s="1115" t="s">
        <v>167</v>
      </c>
      <c r="C3200" s="1115" t="n">
        <v>83150</v>
      </c>
      <c r="D3200" s="1115" t="s">
        <v>3741</v>
      </c>
      <c r="E3200" s="1115" t="s">
        <v>3609</v>
      </c>
      <c r="F3200" s="1115" t="n">
        <v>68890</v>
      </c>
      <c r="G3200" s="1115" t="n">
        <v>83960</v>
      </c>
      <c r="H3200" s="1115" t="s">
        <v>2513</v>
      </c>
      <c r="I3200" s="1115" t="n">
        <v>83210</v>
      </c>
      <c r="J3200" s="1115" t="s">
        <v>1179</v>
      </c>
    </row>
    <row r="3201" customFormat="false" ht="14.1" hidden="false" customHeight="true" outlineLevel="0" collapsed="false">
      <c r="A3201" s="1115" t="n">
        <v>83160</v>
      </c>
      <c r="B3201" s="1115" t="s">
        <v>167</v>
      </c>
      <c r="C3201" s="1115" t="n">
        <v>83160</v>
      </c>
      <c r="D3201" s="1115" t="s">
        <v>3866</v>
      </c>
      <c r="E3201" s="1115" t="s">
        <v>3526</v>
      </c>
      <c r="F3201" s="1115" t="n">
        <v>65410</v>
      </c>
      <c r="G3201" s="1115" t="n">
        <v>83965</v>
      </c>
      <c r="H3201" s="1115" t="s">
        <v>3029</v>
      </c>
      <c r="I3201" s="1115" t="n">
        <v>83220</v>
      </c>
      <c r="J3201" s="1115" t="s">
        <v>1179</v>
      </c>
    </row>
    <row r="3202" customFormat="false" ht="14.1" hidden="false" customHeight="true" outlineLevel="0" collapsed="false">
      <c r="A3202" s="1115" t="n">
        <v>83210</v>
      </c>
      <c r="B3202" s="1115" t="s">
        <v>167</v>
      </c>
      <c r="C3202" s="1115" t="n">
        <v>83210</v>
      </c>
      <c r="D3202" s="1115" t="s">
        <v>3004</v>
      </c>
      <c r="E3202" s="1115" t="s">
        <v>3193</v>
      </c>
      <c r="F3202" s="1115" t="n">
        <v>54550</v>
      </c>
      <c r="G3202" s="1115" t="n">
        <v>83975</v>
      </c>
      <c r="H3202" s="1115" t="s">
        <v>3884</v>
      </c>
      <c r="I3202" s="1115" t="n">
        <v>83220</v>
      </c>
      <c r="J3202" s="1115" t="s">
        <v>1179</v>
      </c>
    </row>
    <row r="3203" customFormat="false" ht="14.1" hidden="false" customHeight="true" outlineLevel="0" collapsed="false">
      <c r="A3203" s="1115" t="n">
        <v>83220</v>
      </c>
      <c r="B3203" s="1115" t="s">
        <v>167</v>
      </c>
      <c r="C3203" s="1115" t="n">
        <v>83220</v>
      </c>
      <c r="D3203" s="1115" t="s">
        <v>3809</v>
      </c>
      <c r="E3203" s="1115" t="s">
        <v>1521</v>
      </c>
      <c r="F3203" s="1115" t="n">
        <v>38510</v>
      </c>
      <c r="G3203" s="1115" t="n">
        <v>83980</v>
      </c>
      <c r="H3203" s="1115" t="s">
        <v>2653</v>
      </c>
      <c r="I3203" s="1115" t="n">
        <v>83235</v>
      </c>
      <c r="J3203" s="1115" t="s">
        <v>1179</v>
      </c>
    </row>
    <row r="3204" customFormat="false" ht="14.1" hidden="false" customHeight="true" outlineLevel="0" collapsed="false">
      <c r="A3204" s="1115" t="n">
        <v>83220</v>
      </c>
      <c r="B3204" s="1115" t="s">
        <v>167</v>
      </c>
      <c r="C3204" s="1115" t="n">
        <v>83220</v>
      </c>
      <c r="D3204" s="1115" t="s">
        <v>1842</v>
      </c>
      <c r="E3204" s="1115" t="s">
        <v>3877</v>
      </c>
      <c r="F3204" s="1115" t="n">
        <v>83710</v>
      </c>
      <c r="G3204" s="1115" t="n">
        <v>83985</v>
      </c>
      <c r="H3204" s="1115" t="s">
        <v>3885</v>
      </c>
      <c r="I3204" s="1115" t="n">
        <v>83250</v>
      </c>
      <c r="J3204" s="1115" t="s">
        <v>1179</v>
      </c>
    </row>
    <row r="3205" customFormat="false" ht="14.1" hidden="false" customHeight="true" outlineLevel="0" collapsed="false">
      <c r="A3205" s="1115" t="n">
        <v>83235</v>
      </c>
      <c r="B3205" s="1115" t="s">
        <v>167</v>
      </c>
      <c r="C3205" s="1115" t="n">
        <v>83235</v>
      </c>
      <c r="D3205" s="1115" t="s">
        <v>3694</v>
      </c>
      <c r="E3205" s="1115" t="s">
        <v>1523</v>
      </c>
      <c r="F3205" s="1115" t="n">
        <v>44200</v>
      </c>
      <c r="G3205" s="1115" t="n">
        <v>83990</v>
      </c>
      <c r="H3205" s="1115" t="s">
        <v>3155</v>
      </c>
      <c r="I3205" s="1115" t="n">
        <v>83260</v>
      </c>
      <c r="J3205" s="1115" t="s">
        <v>1179</v>
      </c>
    </row>
    <row r="3206" customFormat="false" ht="14.1" hidden="false" customHeight="true" outlineLevel="0" collapsed="false">
      <c r="A3206" s="1115" t="n">
        <v>83250</v>
      </c>
      <c r="B3206" s="1115" t="s">
        <v>167</v>
      </c>
      <c r="C3206" s="1115" t="n">
        <v>83250</v>
      </c>
      <c r="D3206" s="1115" t="s">
        <v>3725</v>
      </c>
      <c r="E3206" s="1115" t="s">
        <v>1523</v>
      </c>
      <c r="F3206" s="1115" t="n">
        <v>44220</v>
      </c>
      <c r="G3206" s="1115" t="n">
        <v>84100</v>
      </c>
      <c r="H3206" s="1115" t="s">
        <v>1638</v>
      </c>
      <c r="I3206" s="1115" t="n">
        <v>83310</v>
      </c>
      <c r="J3206" s="1115" t="s">
        <v>1179</v>
      </c>
    </row>
    <row r="3207" customFormat="false" ht="14.1" hidden="false" customHeight="true" outlineLevel="0" collapsed="false">
      <c r="A3207" s="1115" t="n">
        <v>83260</v>
      </c>
      <c r="B3207" s="1115" t="s">
        <v>167</v>
      </c>
      <c r="C3207" s="1115" t="n">
        <v>83260</v>
      </c>
      <c r="D3207" s="1115" t="s">
        <v>2888</v>
      </c>
      <c r="E3207" s="1115" t="s">
        <v>3886</v>
      </c>
      <c r="F3207" s="1115" t="n">
        <v>89330</v>
      </c>
      <c r="G3207" s="1115" t="n">
        <v>84220</v>
      </c>
      <c r="H3207" s="1115" t="s">
        <v>1638</v>
      </c>
      <c r="I3207" s="1115" t="n">
        <v>83320</v>
      </c>
      <c r="J3207" s="1115" t="s">
        <v>1179</v>
      </c>
    </row>
    <row r="3208" customFormat="false" ht="14.1" hidden="false" customHeight="true" outlineLevel="0" collapsed="false">
      <c r="A3208" s="1115" t="n">
        <v>83310</v>
      </c>
      <c r="B3208" s="1115" t="s">
        <v>167</v>
      </c>
      <c r="C3208" s="1115" t="n">
        <v>83310</v>
      </c>
      <c r="D3208" s="1115" t="s">
        <v>2533</v>
      </c>
      <c r="E3208" s="1115" t="s">
        <v>1525</v>
      </c>
      <c r="F3208" s="1115" t="n">
        <v>52830</v>
      </c>
      <c r="G3208" s="1115" t="n">
        <v>84320</v>
      </c>
      <c r="H3208" s="1115" t="s">
        <v>1638</v>
      </c>
      <c r="I3208" s="1115" t="n">
        <v>83330</v>
      </c>
      <c r="J3208" s="1115" t="s">
        <v>1179</v>
      </c>
    </row>
    <row r="3209" customFormat="false" ht="14.1" hidden="false" customHeight="true" outlineLevel="0" collapsed="false">
      <c r="A3209" s="1115" t="n">
        <v>83320</v>
      </c>
      <c r="B3209" s="1115" t="s">
        <v>167</v>
      </c>
      <c r="C3209" s="1115" t="n">
        <v>83320</v>
      </c>
      <c r="D3209" s="1115" t="s">
        <v>3729</v>
      </c>
      <c r="E3209" s="1115" t="s">
        <v>2717</v>
      </c>
      <c r="F3209" s="1115" t="n">
        <v>39920</v>
      </c>
      <c r="G3209" s="1115" t="n">
        <v>84330</v>
      </c>
      <c r="H3209" s="1115" t="s">
        <v>1638</v>
      </c>
      <c r="I3209" s="1115" t="n">
        <v>83340</v>
      </c>
      <c r="J3209" s="1115" t="s">
        <v>1179</v>
      </c>
    </row>
    <row r="3210" customFormat="false" ht="14.1" hidden="false" customHeight="true" outlineLevel="0" collapsed="false">
      <c r="A3210" s="1115" t="n">
        <v>83330</v>
      </c>
      <c r="B3210" s="1115" t="s">
        <v>167</v>
      </c>
      <c r="C3210" s="1115" t="n">
        <v>83330</v>
      </c>
      <c r="D3210" s="1115" t="s">
        <v>2133</v>
      </c>
      <c r="E3210" s="1115" t="s">
        <v>3887</v>
      </c>
      <c r="F3210" s="1115" t="n">
        <v>98720</v>
      </c>
      <c r="G3210" s="1115" t="n">
        <v>84460</v>
      </c>
      <c r="H3210" s="1115" t="s">
        <v>1638</v>
      </c>
      <c r="I3210" s="1115" t="n">
        <v>83350</v>
      </c>
      <c r="J3210" s="1115" t="s">
        <v>1179</v>
      </c>
    </row>
    <row r="3211" customFormat="false" ht="14.1" hidden="false" customHeight="true" outlineLevel="0" collapsed="false">
      <c r="A3211" s="1115" t="n">
        <v>83340</v>
      </c>
      <c r="B3211" s="1115" t="s">
        <v>167</v>
      </c>
      <c r="C3211" s="1115" t="n">
        <v>83340</v>
      </c>
      <c r="D3211" s="1115" t="s">
        <v>2125</v>
      </c>
      <c r="E3211" s="1115" t="s">
        <v>1528</v>
      </c>
      <c r="F3211" s="1115" t="n">
        <v>25410</v>
      </c>
      <c r="G3211" s="1115" t="n">
        <v>84540</v>
      </c>
      <c r="H3211" s="1115" t="s">
        <v>1638</v>
      </c>
      <c r="I3211" s="1115" t="n">
        <v>83400</v>
      </c>
      <c r="J3211" s="1115" t="s">
        <v>1179</v>
      </c>
    </row>
    <row r="3212" customFormat="false" ht="14.1" hidden="false" customHeight="true" outlineLevel="0" collapsed="false">
      <c r="A3212" s="1115" t="n">
        <v>83350</v>
      </c>
      <c r="B3212" s="1115" t="s">
        <v>167</v>
      </c>
      <c r="C3212" s="1115" t="n">
        <v>83350</v>
      </c>
      <c r="D3212" s="1115" t="s">
        <v>3733</v>
      </c>
      <c r="E3212" s="1115" t="s">
        <v>1531</v>
      </c>
      <c r="F3212" s="1115" t="n">
        <v>89800</v>
      </c>
      <c r="G3212" s="1115" t="n">
        <v>84650</v>
      </c>
      <c r="H3212" s="1115" t="s">
        <v>1638</v>
      </c>
      <c r="I3212" s="1115" t="n">
        <v>83430</v>
      </c>
      <c r="J3212" s="1115" t="s">
        <v>1179</v>
      </c>
    </row>
    <row r="3213" customFormat="false" ht="14.1" hidden="false" customHeight="true" outlineLevel="0" collapsed="false">
      <c r="A3213" s="1115" t="n">
        <v>83400</v>
      </c>
      <c r="B3213" s="1115" t="s">
        <v>167</v>
      </c>
      <c r="C3213" s="1115" t="n">
        <v>83400</v>
      </c>
      <c r="D3213" s="1115" t="s">
        <v>3870</v>
      </c>
      <c r="E3213" s="1115" t="s">
        <v>1534</v>
      </c>
      <c r="F3213" s="1115" t="n">
        <v>77600</v>
      </c>
      <c r="G3213" s="1115" t="n">
        <v>84770</v>
      </c>
      <c r="H3213" s="1115" t="s">
        <v>1638</v>
      </c>
      <c r="I3213" s="1115" t="n">
        <v>83450</v>
      </c>
      <c r="J3213" s="1115" t="s">
        <v>1179</v>
      </c>
    </row>
    <row r="3214" customFormat="false" ht="14.1" hidden="false" customHeight="true" outlineLevel="0" collapsed="false">
      <c r="A3214" s="1115" t="n">
        <v>83430</v>
      </c>
      <c r="B3214" s="1115" t="s">
        <v>167</v>
      </c>
      <c r="C3214" s="1115" t="n">
        <v>83430</v>
      </c>
      <c r="D3214" s="1115" t="s">
        <v>2818</v>
      </c>
      <c r="E3214" s="1115" t="s">
        <v>3888</v>
      </c>
      <c r="F3214" s="1115" t="n">
        <v>97920</v>
      </c>
      <c r="G3214" s="1115" t="n">
        <v>84880</v>
      </c>
      <c r="H3214" s="1115" t="s">
        <v>1638</v>
      </c>
      <c r="I3214" s="1115" t="n">
        <v>83480</v>
      </c>
      <c r="J3214" s="1115" t="s">
        <v>1179</v>
      </c>
    </row>
    <row r="3215" customFormat="false" ht="14.1" hidden="false" customHeight="true" outlineLevel="0" collapsed="false">
      <c r="A3215" s="1115" t="n">
        <v>83450</v>
      </c>
      <c r="B3215" s="1115" t="s">
        <v>167</v>
      </c>
      <c r="C3215" s="1115" t="n">
        <v>83450</v>
      </c>
      <c r="D3215" s="1115" t="s">
        <v>3872</v>
      </c>
      <c r="E3215" s="1115" t="s">
        <v>3132</v>
      </c>
      <c r="F3215" s="1115" t="n">
        <v>52590</v>
      </c>
      <c r="G3215" s="1115" t="n">
        <v>85100</v>
      </c>
      <c r="H3215" s="1115" t="s">
        <v>962</v>
      </c>
      <c r="I3215" s="1115" t="n">
        <v>83500</v>
      </c>
      <c r="J3215" s="1115" t="s">
        <v>1311</v>
      </c>
    </row>
    <row r="3216" customFormat="false" ht="14.1" hidden="false" customHeight="true" outlineLevel="0" collapsed="false">
      <c r="A3216" s="1115" t="n">
        <v>83480</v>
      </c>
      <c r="B3216" s="1115" t="s">
        <v>167</v>
      </c>
      <c r="C3216" s="1115" t="n">
        <v>83480</v>
      </c>
      <c r="D3216" s="1115" t="s">
        <v>759</v>
      </c>
      <c r="E3216" s="1115" t="s">
        <v>2077</v>
      </c>
      <c r="F3216" s="1115" t="n">
        <v>23880</v>
      </c>
      <c r="G3216" s="1115" t="n">
        <v>85110</v>
      </c>
      <c r="H3216" s="1115" t="s">
        <v>3889</v>
      </c>
      <c r="I3216" s="1115" t="n">
        <v>83520</v>
      </c>
      <c r="J3216" s="1115" t="s">
        <v>1311</v>
      </c>
    </row>
    <row r="3217" customFormat="false" ht="14.1" hidden="false" customHeight="true" outlineLevel="0" collapsed="false">
      <c r="A3217" s="1115" t="n">
        <v>83500</v>
      </c>
      <c r="B3217" s="1115" t="s">
        <v>167</v>
      </c>
      <c r="C3217" s="1115" t="n">
        <v>83500</v>
      </c>
      <c r="D3217" s="1115" t="s">
        <v>1311</v>
      </c>
      <c r="E3217" s="1115" t="s">
        <v>3768</v>
      </c>
      <c r="F3217" s="1115" t="n">
        <v>77690</v>
      </c>
      <c r="G3217" s="1115" t="n">
        <v>85120</v>
      </c>
      <c r="H3217" s="1115" t="s">
        <v>3177</v>
      </c>
      <c r="I3217" s="1115" t="n">
        <v>83540</v>
      </c>
      <c r="J3217" s="1115" t="s">
        <v>1311</v>
      </c>
    </row>
    <row r="3218" customFormat="false" ht="14.1" hidden="false" customHeight="true" outlineLevel="0" collapsed="false">
      <c r="A3218" s="1115" t="n">
        <v>83520</v>
      </c>
      <c r="B3218" s="1115" t="s">
        <v>167</v>
      </c>
      <c r="C3218" s="1115" t="n">
        <v>83520</v>
      </c>
      <c r="D3218" s="1115" t="s">
        <v>1311</v>
      </c>
      <c r="E3218" s="1115" t="s">
        <v>1883</v>
      </c>
      <c r="F3218" s="1115" t="n">
        <v>19710</v>
      </c>
      <c r="G3218" s="1115" t="n">
        <v>85140</v>
      </c>
      <c r="H3218" s="1115" t="s">
        <v>3890</v>
      </c>
      <c r="I3218" s="1115" t="n">
        <v>83620</v>
      </c>
      <c r="J3218" s="1115" t="s">
        <v>1311</v>
      </c>
    </row>
    <row r="3219" customFormat="false" ht="14.1" hidden="false" customHeight="true" outlineLevel="0" collapsed="false">
      <c r="A3219" s="1115" t="n">
        <v>83540</v>
      </c>
      <c r="B3219" s="1115" t="s">
        <v>167</v>
      </c>
      <c r="C3219" s="1115" t="n">
        <v>83540</v>
      </c>
      <c r="D3219" s="1115" t="s">
        <v>3106</v>
      </c>
      <c r="E3219" s="1115" t="s">
        <v>3891</v>
      </c>
      <c r="F3219" s="1115" t="n">
        <v>97810</v>
      </c>
      <c r="G3219" s="1115" t="n">
        <v>85150</v>
      </c>
      <c r="H3219" s="1115" t="s">
        <v>3892</v>
      </c>
      <c r="I3219" s="1115" t="n">
        <v>83630</v>
      </c>
      <c r="J3219" s="1115" t="s">
        <v>1311</v>
      </c>
    </row>
    <row r="3220" customFormat="false" ht="14.1" hidden="false" customHeight="true" outlineLevel="0" collapsed="false">
      <c r="A3220" s="1115" t="n">
        <v>83620</v>
      </c>
      <c r="B3220" s="1115" t="s">
        <v>167</v>
      </c>
      <c r="C3220" s="1115" t="n">
        <v>83620</v>
      </c>
      <c r="D3220" s="1115" t="s">
        <v>3873</v>
      </c>
      <c r="E3220" s="1115" t="s">
        <v>2917</v>
      </c>
      <c r="F3220" s="1115" t="n">
        <v>44670</v>
      </c>
      <c r="G3220" s="1115" t="n">
        <v>85160</v>
      </c>
      <c r="H3220" s="1115" t="s">
        <v>3702</v>
      </c>
      <c r="I3220" s="1115" t="n">
        <v>83660</v>
      </c>
      <c r="J3220" s="1115" t="s">
        <v>1311</v>
      </c>
    </row>
    <row r="3221" customFormat="false" ht="14.1" hidden="false" customHeight="true" outlineLevel="0" collapsed="false">
      <c r="A3221" s="1115" t="n">
        <v>83630</v>
      </c>
      <c r="B3221" s="1115" t="s">
        <v>167</v>
      </c>
      <c r="C3221" s="1115" t="n">
        <v>83630</v>
      </c>
      <c r="D3221" s="1115" t="s">
        <v>2759</v>
      </c>
      <c r="E3221" s="1115" t="s">
        <v>2326</v>
      </c>
      <c r="F3221" s="1115" t="n">
        <v>31230</v>
      </c>
      <c r="G3221" s="1115" t="n">
        <v>85180</v>
      </c>
      <c r="H3221" s="1115" t="s">
        <v>3679</v>
      </c>
      <c r="I3221" s="1115" t="n">
        <v>83700</v>
      </c>
      <c r="J3221" s="1115" t="s">
        <v>1357</v>
      </c>
    </row>
    <row r="3222" customFormat="false" ht="14.1" hidden="false" customHeight="true" outlineLevel="0" collapsed="false">
      <c r="A3222" s="1115" t="n">
        <v>83660</v>
      </c>
      <c r="B3222" s="1115" t="s">
        <v>167</v>
      </c>
      <c r="C3222" s="1115" t="n">
        <v>83660</v>
      </c>
      <c r="D3222" s="1115" t="s">
        <v>3874</v>
      </c>
      <c r="E3222" s="1115" t="s">
        <v>3893</v>
      </c>
      <c r="F3222" s="1115" t="n">
        <v>88360</v>
      </c>
      <c r="G3222" s="1115" t="n">
        <v>85185</v>
      </c>
      <c r="H3222" s="1115" t="s">
        <v>2170</v>
      </c>
      <c r="I3222" s="1115" t="n">
        <v>83710</v>
      </c>
      <c r="J3222" s="1115" t="s">
        <v>1357</v>
      </c>
    </row>
    <row r="3223" customFormat="false" ht="14.1" hidden="false" customHeight="true" outlineLevel="0" collapsed="false">
      <c r="A3223" s="1115" t="n">
        <v>83700</v>
      </c>
      <c r="B3223" s="1115" t="s">
        <v>167</v>
      </c>
      <c r="C3223" s="1115" t="n">
        <v>83700</v>
      </c>
      <c r="D3223" s="1115" t="s">
        <v>1357</v>
      </c>
      <c r="E3223" s="1115" t="s">
        <v>2414</v>
      </c>
      <c r="F3223" s="1115" t="n">
        <v>32760</v>
      </c>
      <c r="G3223" s="1115" t="n">
        <v>85200</v>
      </c>
      <c r="H3223" s="1115" t="s">
        <v>719</v>
      </c>
      <c r="I3223" s="1115" t="n">
        <v>83720</v>
      </c>
      <c r="J3223" s="1115" t="s">
        <v>1357</v>
      </c>
    </row>
    <row r="3224" customFormat="false" ht="14.1" hidden="false" customHeight="true" outlineLevel="0" collapsed="false">
      <c r="A3224" s="1115" t="n">
        <v>83710</v>
      </c>
      <c r="B3224" s="1115" t="s">
        <v>167</v>
      </c>
      <c r="C3224" s="1115" t="n">
        <v>83710</v>
      </c>
      <c r="D3224" s="1115" t="s">
        <v>3877</v>
      </c>
      <c r="E3224" s="1115" t="s">
        <v>3034</v>
      </c>
      <c r="F3224" s="1115" t="n">
        <v>49760</v>
      </c>
      <c r="G3224" s="1115" t="n">
        <v>85210</v>
      </c>
      <c r="H3224" s="1115" t="s">
        <v>2800</v>
      </c>
      <c r="I3224" s="1115" t="n">
        <v>83750</v>
      </c>
      <c r="J3224" s="1115" t="s">
        <v>1357</v>
      </c>
    </row>
    <row r="3225" customFormat="false" ht="14.1" hidden="false" customHeight="true" outlineLevel="0" collapsed="false">
      <c r="A3225" s="1115" t="n">
        <v>83720</v>
      </c>
      <c r="B3225" s="1115" t="s">
        <v>167</v>
      </c>
      <c r="C3225" s="1115" t="n">
        <v>83720</v>
      </c>
      <c r="D3225" s="1115" t="s">
        <v>2724</v>
      </c>
      <c r="E3225" s="1115" t="s">
        <v>3218</v>
      </c>
      <c r="F3225" s="1115" t="n">
        <v>54990</v>
      </c>
      <c r="G3225" s="1115" t="n">
        <v>85220</v>
      </c>
      <c r="H3225" s="1115" t="s">
        <v>3894</v>
      </c>
      <c r="I3225" s="1115" t="n">
        <v>83760</v>
      </c>
      <c r="J3225" s="1115" t="s">
        <v>1357</v>
      </c>
    </row>
    <row r="3226" customFormat="false" ht="14.1" hidden="false" customHeight="true" outlineLevel="0" collapsed="false">
      <c r="A3226" s="1115" t="n">
        <v>83750</v>
      </c>
      <c r="B3226" s="1115" t="s">
        <v>167</v>
      </c>
      <c r="C3226" s="1115" t="n">
        <v>83750</v>
      </c>
      <c r="D3226" s="1115" t="s">
        <v>3879</v>
      </c>
      <c r="E3226" s="1115" t="s">
        <v>3800</v>
      </c>
      <c r="F3226" s="1115" t="n">
        <v>79860</v>
      </c>
      <c r="G3226" s="1115" t="n">
        <v>85230</v>
      </c>
      <c r="H3226" s="1115" t="s">
        <v>3895</v>
      </c>
      <c r="I3226" s="1115" t="n">
        <v>83780</v>
      </c>
      <c r="J3226" s="1115" t="s">
        <v>1357</v>
      </c>
    </row>
    <row r="3227" customFormat="false" ht="14.1" hidden="false" customHeight="true" outlineLevel="0" collapsed="false">
      <c r="A3227" s="1115" t="n">
        <v>83760</v>
      </c>
      <c r="B3227" s="1115" t="s">
        <v>167</v>
      </c>
      <c r="C3227" s="1115" t="n">
        <v>83760</v>
      </c>
      <c r="D3227" s="1115" t="s">
        <v>3868</v>
      </c>
      <c r="E3227" s="1115" t="s">
        <v>3342</v>
      </c>
      <c r="F3227" s="1115" t="n">
        <v>59810</v>
      </c>
      <c r="G3227" s="1115" t="n">
        <v>85240</v>
      </c>
      <c r="H3227" s="1115" t="s">
        <v>3869</v>
      </c>
      <c r="I3227" s="1115" t="n">
        <v>83810</v>
      </c>
      <c r="J3227" s="1115" t="s">
        <v>1357</v>
      </c>
    </row>
    <row r="3228" customFormat="false" ht="14.1" hidden="false" customHeight="true" outlineLevel="0" collapsed="false">
      <c r="A3228" s="1115" t="n">
        <v>83780</v>
      </c>
      <c r="B3228" s="1115" t="s">
        <v>167</v>
      </c>
      <c r="C3228" s="1115" t="n">
        <v>83780</v>
      </c>
      <c r="D3228" s="1115" t="s">
        <v>1776</v>
      </c>
      <c r="E3228" s="1115" t="s">
        <v>1959</v>
      </c>
      <c r="F3228" s="1115" t="n">
        <v>21470</v>
      </c>
      <c r="G3228" s="1115" t="n">
        <v>85310</v>
      </c>
      <c r="H3228" s="1115" t="s">
        <v>1493</v>
      </c>
      <c r="I3228" s="1115" t="n">
        <v>83815</v>
      </c>
      <c r="J3228" s="1115" t="s">
        <v>1357</v>
      </c>
    </row>
    <row r="3229" customFormat="false" ht="14.1" hidden="false" customHeight="true" outlineLevel="0" collapsed="false">
      <c r="A3229" s="1115" t="n">
        <v>83810</v>
      </c>
      <c r="B3229" s="1115" t="s">
        <v>167</v>
      </c>
      <c r="C3229" s="1115" t="n">
        <v>83810</v>
      </c>
      <c r="D3229" s="1115" t="s">
        <v>2867</v>
      </c>
      <c r="E3229" s="1115" t="s">
        <v>2666</v>
      </c>
      <c r="F3229" s="1115" t="n">
        <v>38860</v>
      </c>
      <c r="G3229" s="1115" t="n">
        <v>85320</v>
      </c>
      <c r="H3229" s="1115" t="s">
        <v>3143</v>
      </c>
      <c r="I3229" s="1115" t="n">
        <v>83820</v>
      </c>
      <c r="J3229" s="1115" t="s">
        <v>1357</v>
      </c>
    </row>
    <row r="3230" customFormat="false" ht="14.1" hidden="false" customHeight="true" outlineLevel="0" collapsed="false">
      <c r="A3230" s="1115" t="n">
        <v>83815</v>
      </c>
      <c r="B3230" s="1115" t="s">
        <v>167</v>
      </c>
      <c r="C3230" s="1115" t="n">
        <v>83815</v>
      </c>
      <c r="D3230" s="1115" t="s">
        <v>1299</v>
      </c>
      <c r="E3230" s="1115" t="s">
        <v>3125</v>
      </c>
      <c r="F3230" s="1115" t="n">
        <v>52370</v>
      </c>
      <c r="G3230" s="1115" t="n">
        <v>85340</v>
      </c>
      <c r="H3230" s="1115" t="s">
        <v>2084</v>
      </c>
      <c r="I3230" s="1115" t="n">
        <v>83825</v>
      </c>
      <c r="J3230" s="1115" t="s">
        <v>1357</v>
      </c>
    </row>
    <row r="3231" customFormat="false" ht="14.1" hidden="false" customHeight="true" outlineLevel="0" collapsed="false">
      <c r="A3231" s="1115" t="n">
        <v>83820</v>
      </c>
      <c r="B3231" s="1115" t="s">
        <v>167</v>
      </c>
      <c r="C3231" s="1115" t="n">
        <v>83820</v>
      </c>
      <c r="D3231" s="1115" t="s">
        <v>3237</v>
      </c>
      <c r="E3231" s="1115" t="s">
        <v>1393</v>
      </c>
      <c r="F3231" s="1115" t="n">
        <v>7390</v>
      </c>
      <c r="G3231" s="1115" t="n">
        <v>85350</v>
      </c>
      <c r="H3231" s="1115" t="s">
        <v>3896</v>
      </c>
      <c r="I3231" s="1115" t="n">
        <v>83830</v>
      </c>
      <c r="J3231" s="1115" t="s">
        <v>1357</v>
      </c>
    </row>
    <row r="3232" customFormat="false" ht="14.1" hidden="false" customHeight="true" outlineLevel="0" collapsed="false">
      <c r="A3232" s="1115" t="n">
        <v>83825</v>
      </c>
      <c r="B3232" s="1115" t="s">
        <v>167</v>
      </c>
      <c r="C3232" s="1115" t="n">
        <v>83825</v>
      </c>
      <c r="D3232" s="1115" t="s">
        <v>2430</v>
      </c>
      <c r="E3232" s="1115" t="s">
        <v>3897</v>
      </c>
      <c r="F3232" s="1115" t="n">
        <v>98550</v>
      </c>
      <c r="G3232" s="1115" t="n">
        <v>85410</v>
      </c>
      <c r="H3232" s="1115" t="s">
        <v>1493</v>
      </c>
      <c r="I3232" s="1115" t="n">
        <v>83835</v>
      </c>
      <c r="J3232" s="1115" t="s">
        <v>1357</v>
      </c>
    </row>
    <row r="3233" customFormat="false" ht="14.1" hidden="false" customHeight="true" outlineLevel="0" collapsed="false">
      <c r="A3233" s="1115" t="n">
        <v>83830</v>
      </c>
      <c r="B3233" s="1115" t="s">
        <v>167</v>
      </c>
      <c r="C3233" s="1115" t="n">
        <v>83830</v>
      </c>
      <c r="D3233" s="1115" t="s">
        <v>1803</v>
      </c>
      <c r="E3233" s="1115" t="s">
        <v>3553</v>
      </c>
      <c r="F3233" s="1115" t="n">
        <v>66260</v>
      </c>
      <c r="G3233" s="1115" t="n">
        <v>85430</v>
      </c>
      <c r="H3233" s="1115" t="s">
        <v>2480</v>
      </c>
      <c r="I3233" s="1115" t="n">
        <v>83840</v>
      </c>
      <c r="J3233" s="1115" t="s">
        <v>1357</v>
      </c>
    </row>
    <row r="3234" customFormat="false" ht="14.1" hidden="false" customHeight="true" outlineLevel="0" collapsed="false">
      <c r="A3234" s="1115" t="n">
        <v>83835</v>
      </c>
      <c r="B3234" s="1115" t="s">
        <v>167</v>
      </c>
      <c r="C3234" s="1115" t="n">
        <v>83835</v>
      </c>
      <c r="D3234" s="1115" t="s">
        <v>3772</v>
      </c>
      <c r="E3234" s="1115" t="s">
        <v>3364</v>
      </c>
      <c r="F3234" s="1115" t="n">
        <v>61150</v>
      </c>
      <c r="G3234" s="1115" t="n">
        <v>85440</v>
      </c>
      <c r="H3234" s="1115" t="s">
        <v>3715</v>
      </c>
      <c r="I3234" s="1115" t="n">
        <v>83845</v>
      </c>
      <c r="J3234" s="1115" t="s">
        <v>1357</v>
      </c>
    </row>
    <row r="3235" customFormat="false" ht="14.1" hidden="false" customHeight="true" outlineLevel="0" collapsed="false">
      <c r="A3235" s="1115" t="n">
        <v>83840</v>
      </c>
      <c r="B3235" s="1115" t="s">
        <v>167</v>
      </c>
      <c r="C3235" s="1115" t="n">
        <v>83840</v>
      </c>
      <c r="D3235" s="1115" t="s">
        <v>3795</v>
      </c>
      <c r="E3235" s="1115" t="s">
        <v>3364</v>
      </c>
      <c r="F3235" s="1115" t="n">
        <v>61150</v>
      </c>
      <c r="G3235" s="1115" t="n">
        <v>85450</v>
      </c>
      <c r="H3235" s="1115" t="s">
        <v>2009</v>
      </c>
      <c r="I3235" s="1115" t="n">
        <v>83855</v>
      </c>
      <c r="J3235" s="1115" t="s">
        <v>1357</v>
      </c>
    </row>
    <row r="3236" customFormat="false" ht="14.1" hidden="false" customHeight="true" outlineLevel="0" collapsed="false">
      <c r="A3236" s="1115" t="n">
        <v>83845</v>
      </c>
      <c r="B3236" s="1115" t="s">
        <v>167</v>
      </c>
      <c r="C3236" s="1115" t="n">
        <v>83845</v>
      </c>
      <c r="D3236" s="1115" t="s">
        <v>3810</v>
      </c>
      <c r="E3236" s="1115" t="s">
        <v>3617</v>
      </c>
      <c r="F3236" s="1115" t="n">
        <v>69410</v>
      </c>
      <c r="G3236" s="1115" t="n">
        <v>85470</v>
      </c>
      <c r="H3236" s="1115" t="s">
        <v>2413</v>
      </c>
      <c r="I3236" s="1115" t="n">
        <v>83865</v>
      </c>
      <c r="J3236" s="1115" t="s">
        <v>924</v>
      </c>
    </row>
    <row r="3237" customFormat="false" ht="14.1" hidden="false" customHeight="true" outlineLevel="0" collapsed="false">
      <c r="A3237" s="1115" t="n">
        <v>83855</v>
      </c>
      <c r="B3237" s="1115" t="s">
        <v>167</v>
      </c>
      <c r="C3237" s="1115" t="n">
        <v>83855</v>
      </c>
      <c r="D3237" s="1115" t="s">
        <v>3151</v>
      </c>
      <c r="E3237" s="1115" t="s">
        <v>3068</v>
      </c>
      <c r="F3237" s="1115" t="n">
        <v>51380</v>
      </c>
      <c r="G3237" s="1115" t="n">
        <v>85500</v>
      </c>
      <c r="H3237" s="1115" t="s">
        <v>1268</v>
      </c>
      <c r="I3237" s="1115" t="n">
        <v>83870</v>
      </c>
      <c r="J3237" s="1115" t="s">
        <v>924</v>
      </c>
    </row>
    <row r="3238" customFormat="false" ht="14.1" hidden="false" customHeight="true" outlineLevel="0" collapsed="false">
      <c r="A3238" s="1115" t="n">
        <v>83865</v>
      </c>
      <c r="B3238" s="1115" t="s">
        <v>167</v>
      </c>
      <c r="C3238" s="1115" t="n">
        <v>83865</v>
      </c>
      <c r="D3238" s="1115" t="s">
        <v>3881</v>
      </c>
      <c r="E3238" s="1115" t="s">
        <v>3619</v>
      </c>
      <c r="F3238" s="1115" t="n">
        <v>69420</v>
      </c>
      <c r="G3238" s="1115" t="n">
        <v>85530</v>
      </c>
      <c r="H3238" s="1115" t="s">
        <v>1312</v>
      </c>
      <c r="I3238" s="1115" t="n">
        <v>83875</v>
      </c>
      <c r="J3238" s="1115" t="s">
        <v>924</v>
      </c>
    </row>
    <row r="3239" customFormat="false" ht="14.1" hidden="false" customHeight="true" outlineLevel="0" collapsed="false">
      <c r="A3239" s="1115" t="n">
        <v>83870</v>
      </c>
      <c r="B3239" s="1115" t="s">
        <v>167</v>
      </c>
      <c r="C3239" s="1115" t="n">
        <v>83870</v>
      </c>
      <c r="D3239" s="1115" t="s">
        <v>3605</v>
      </c>
      <c r="E3239" s="1115" t="s">
        <v>1854</v>
      </c>
      <c r="F3239" s="1115" t="n">
        <v>19250</v>
      </c>
      <c r="G3239" s="1115" t="n">
        <v>85540</v>
      </c>
      <c r="H3239" s="1115" t="s">
        <v>1268</v>
      </c>
      <c r="I3239" s="1115" t="n">
        <v>83880</v>
      </c>
      <c r="J3239" s="1115" t="s">
        <v>924</v>
      </c>
    </row>
    <row r="3240" customFormat="false" ht="14.1" hidden="false" customHeight="true" outlineLevel="0" collapsed="false">
      <c r="A3240" s="1115" t="n">
        <v>83875</v>
      </c>
      <c r="B3240" s="1115" t="s">
        <v>167</v>
      </c>
      <c r="C3240" s="1115" t="n">
        <v>83875</v>
      </c>
      <c r="D3240" s="1115" t="s">
        <v>3545</v>
      </c>
      <c r="E3240" s="1115" t="s">
        <v>2872</v>
      </c>
      <c r="F3240" s="1115" t="n">
        <v>43620</v>
      </c>
      <c r="G3240" s="1115" t="n">
        <v>85560</v>
      </c>
      <c r="H3240" s="1115" t="s">
        <v>798</v>
      </c>
      <c r="I3240" s="1115" t="n">
        <v>83900</v>
      </c>
      <c r="J3240" s="1115" t="s">
        <v>924</v>
      </c>
    </row>
    <row r="3241" customFormat="false" ht="14.1" hidden="false" customHeight="true" outlineLevel="0" collapsed="false">
      <c r="A3241" s="1115" t="n">
        <v>83880</v>
      </c>
      <c r="B3241" s="1115" t="s">
        <v>167</v>
      </c>
      <c r="C3241" s="1115" t="n">
        <v>83880</v>
      </c>
      <c r="D3241" s="1115" t="s">
        <v>2167</v>
      </c>
      <c r="E3241" s="1115" t="s">
        <v>1537</v>
      </c>
      <c r="F3241" s="1115" t="n">
        <v>19700</v>
      </c>
      <c r="G3241" s="1115" t="n">
        <v>85580</v>
      </c>
      <c r="H3241" s="1115" t="s">
        <v>2292</v>
      </c>
      <c r="I3241" s="1115" t="n">
        <v>83910</v>
      </c>
      <c r="J3241" s="1115" t="s">
        <v>924</v>
      </c>
    </row>
    <row r="3242" customFormat="false" ht="14.1" hidden="false" customHeight="true" outlineLevel="0" collapsed="false">
      <c r="A3242" s="1115" t="n">
        <v>83900</v>
      </c>
      <c r="B3242" s="1115" t="s">
        <v>167</v>
      </c>
      <c r="C3242" s="1115" t="n">
        <v>83900</v>
      </c>
      <c r="D3242" s="1115" t="s">
        <v>924</v>
      </c>
      <c r="E3242" s="1115" t="s">
        <v>3898</v>
      </c>
      <c r="F3242" s="1115" t="n">
        <v>99740</v>
      </c>
      <c r="G3242" s="1115" t="n">
        <v>85620</v>
      </c>
      <c r="H3242" s="1115" t="s">
        <v>3818</v>
      </c>
      <c r="I3242" s="1115" t="n">
        <v>83915</v>
      </c>
      <c r="J3242" s="1115" t="s">
        <v>924</v>
      </c>
    </row>
    <row r="3243" customFormat="false" ht="14.1" hidden="false" customHeight="true" outlineLevel="0" collapsed="false">
      <c r="A3243" s="1115" t="n">
        <v>83910</v>
      </c>
      <c r="B3243" s="1115" t="s">
        <v>167</v>
      </c>
      <c r="C3243" s="1115" t="n">
        <v>83910</v>
      </c>
      <c r="D3243" s="1115" t="s">
        <v>3443</v>
      </c>
      <c r="E3243" s="1115" t="s">
        <v>3653</v>
      </c>
      <c r="F3243" s="1115" t="n">
        <v>71570</v>
      </c>
      <c r="G3243" s="1115" t="n">
        <v>85630</v>
      </c>
      <c r="H3243" s="1115" t="s">
        <v>3819</v>
      </c>
      <c r="I3243" s="1115" t="n">
        <v>83920</v>
      </c>
      <c r="J3243" s="1115" t="s">
        <v>924</v>
      </c>
    </row>
    <row r="3244" customFormat="false" ht="14.1" hidden="false" customHeight="true" outlineLevel="0" collapsed="false">
      <c r="A3244" s="1115" t="n">
        <v>83915</v>
      </c>
      <c r="B3244" s="1115" t="s">
        <v>167</v>
      </c>
      <c r="C3244" s="1115" t="n">
        <v>83915</v>
      </c>
      <c r="D3244" s="1115" t="s">
        <v>3882</v>
      </c>
      <c r="E3244" s="1115" t="s">
        <v>3695</v>
      </c>
      <c r="F3244" s="1115" t="n">
        <v>73230</v>
      </c>
      <c r="G3244" s="1115" t="n">
        <v>85640</v>
      </c>
      <c r="H3244" s="1115" t="s">
        <v>3118</v>
      </c>
      <c r="I3244" s="1115" t="n">
        <v>83925</v>
      </c>
      <c r="J3244" s="1115" t="s">
        <v>924</v>
      </c>
    </row>
    <row r="3245" customFormat="false" ht="14.1" hidden="false" customHeight="true" outlineLevel="0" collapsed="false">
      <c r="A3245" s="1115" t="n">
        <v>83920</v>
      </c>
      <c r="B3245" s="1115" t="s">
        <v>167</v>
      </c>
      <c r="C3245" s="1115" t="n">
        <v>83920</v>
      </c>
      <c r="D3245" s="1115" t="s">
        <v>1181</v>
      </c>
      <c r="E3245" s="1115" t="s">
        <v>3130</v>
      </c>
      <c r="F3245" s="1115" t="n">
        <v>52520</v>
      </c>
      <c r="G3245" s="1115" t="n">
        <v>85660</v>
      </c>
      <c r="H3245" s="1115" t="s">
        <v>3767</v>
      </c>
      <c r="I3245" s="1115" t="n">
        <v>83930</v>
      </c>
      <c r="J3245" s="1115" t="s">
        <v>924</v>
      </c>
    </row>
    <row r="3246" customFormat="false" ht="14.1" hidden="false" customHeight="true" outlineLevel="0" collapsed="false">
      <c r="A3246" s="1115" t="n">
        <v>83925</v>
      </c>
      <c r="B3246" s="1115" t="s">
        <v>167</v>
      </c>
      <c r="C3246" s="1115" t="n">
        <v>83925</v>
      </c>
      <c r="D3246" s="1115" t="s">
        <v>3883</v>
      </c>
      <c r="E3246" s="1115" t="s">
        <v>3230</v>
      </c>
      <c r="F3246" s="1115" t="n">
        <v>56310</v>
      </c>
      <c r="G3246" s="1115" t="n">
        <v>85710</v>
      </c>
      <c r="H3246" s="1115" t="s">
        <v>3491</v>
      </c>
      <c r="I3246" s="1115" t="n">
        <v>83940</v>
      </c>
      <c r="J3246" s="1115" t="s">
        <v>924</v>
      </c>
    </row>
    <row r="3247" customFormat="false" ht="14.1" hidden="false" customHeight="true" outlineLevel="0" collapsed="false">
      <c r="A3247" s="1115" t="n">
        <v>83930</v>
      </c>
      <c r="B3247" s="1115" t="s">
        <v>167</v>
      </c>
      <c r="C3247" s="1115" t="n">
        <v>83930</v>
      </c>
      <c r="D3247" s="1115" t="s">
        <v>3597</v>
      </c>
      <c r="E3247" s="1115" t="s">
        <v>3899</v>
      </c>
      <c r="F3247" s="1115" t="n">
        <v>97950</v>
      </c>
      <c r="G3247" s="1115" t="n">
        <v>85730</v>
      </c>
      <c r="H3247" s="1115" t="s">
        <v>3900</v>
      </c>
      <c r="I3247" s="1115" t="n">
        <v>83950</v>
      </c>
      <c r="J3247" s="1115" t="s">
        <v>924</v>
      </c>
    </row>
    <row r="3248" customFormat="false" ht="14.1" hidden="false" customHeight="true" outlineLevel="0" collapsed="false">
      <c r="A3248" s="1115" t="n">
        <v>83940</v>
      </c>
      <c r="B3248" s="1115" t="s">
        <v>167</v>
      </c>
      <c r="C3248" s="1115" t="n">
        <v>83940</v>
      </c>
      <c r="D3248" s="1115" t="s">
        <v>3357</v>
      </c>
      <c r="E3248" s="1115" t="s">
        <v>3280</v>
      </c>
      <c r="F3248" s="1115" t="n">
        <v>58360</v>
      </c>
      <c r="G3248" s="1115" t="n">
        <v>85800</v>
      </c>
      <c r="H3248" s="1115" t="s">
        <v>802</v>
      </c>
      <c r="I3248" s="1115" t="n">
        <v>83955</v>
      </c>
      <c r="J3248" s="1115" t="s">
        <v>924</v>
      </c>
    </row>
    <row r="3249" customFormat="false" ht="14.1" hidden="false" customHeight="true" outlineLevel="0" collapsed="false">
      <c r="A3249" s="1115" t="n">
        <v>83950</v>
      </c>
      <c r="B3249" s="1115" t="s">
        <v>167</v>
      </c>
      <c r="C3249" s="1115" t="n">
        <v>83950</v>
      </c>
      <c r="D3249" s="1115" t="s">
        <v>740</v>
      </c>
      <c r="E3249" s="1115" t="s">
        <v>2790</v>
      </c>
      <c r="F3249" s="1115" t="n">
        <v>41560</v>
      </c>
      <c r="G3249" s="1115" t="n">
        <v>85820</v>
      </c>
      <c r="H3249" s="1115" t="s">
        <v>3397</v>
      </c>
      <c r="I3249" s="1115" t="n">
        <v>83960</v>
      </c>
      <c r="J3249" s="1115" t="s">
        <v>924</v>
      </c>
    </row>
    <row r="3250" customFormat="false" ht="14.1" hidden="false" customHeight="true" outlineLevel="0" collapsed="false">
      <c r="A3250" s="1115" t="n">
        <v>83955</v>
      </c>
      <c r="B3250" s="1115" t="s">
        <v>167</v>
      </c>
      <c r="C3250" s="1115" t="n">
        <v>83955</v>
      </c>
      <c r="D3250" s="1115" t="s">
        <v>2553</v>
      </c>
      <c r="E3250" s="1115" t="s">
        <v>3901</v>
      </c>
      <c r="F3250" s="1115" t="n">
        <v>93870</v>
      </c>
      <c r="G3250" s="1115" t="n">
        <v>85840</v>
      </c>
      <c r="H3250" s="1115" t="s">
        <v>2710</v>
      </c>
      <c r="I3250" s="1115" t="n">
        <v>83965</v>
      </c>
      <c r="J3250" s="1115" t="s">
        <v>924</v>
      </c>
    </row>
    <row r="3251" customFormat="false" ht="14.1" hidden="false" customHeight="true" outlineLevel="0" collapsed="false">
      <c r="A3251" s="1115" t="n">
        <v>83960</v>
      </c>
      <c r="B3251" s="1115" t="s">
        <v>167</v>
      </c>
      <c r="C3251" s="1115" t="n">
        <v>83960</v>
      </c>
      <c r="D3251" s="1115" t="s">
        <v>2513</v>
      </c>
      <c r="E3251" s="1115" t="s">
        <v>1539</v>
      </c>
      <c r="F3251" s="1115" t="n">
        <v>27800</v>
      </c>
      <c r="G3251" s="1115" t="n">
        <v>85860</v>
      </c>
      <c r="H3251" s="1115" t="s">
        <v>2689</v>
      </c>
      <c r="I3251" s="1115" t="n">
        <v>83975</v>
      </c>
      <c r="J3251" s="1115" t="s">
        <v>924</v>
      </c>
    </row>
    <row r="3252" customFormat="false" ht="14.1" hidden="false" customHeight="true" outlineLevel="0" collapsed="false">
      <c r="A3252" s="1115" t="n">
        <v>83965</v>
      </c>
      <c r="B3252" s="1115" t="s">
        <v>167</v>
      </c>
      <c r="C3252" s="1115" t="n">
        <v>83965</v>
      </c>
      <c r="D3252" s="1115" t="s">
        <v>3029</v>
      </c>
      <c r="E3252" s="1115" t="s">
        <v>1269</v>
      </c>
      <c r="F3252" s="1115" t="n">
        <v>4740</v>
      </c>
      <c r="G3252" s="1115" t="n">
        <v>85880</v>
      </c>
      <c r="H3252" s="1115" t="s">
        <v>2171</v>
      </c>
      <c r="I3252" s="1115" t="n">
        <v>83980</v>
      </c>
      <c r="J3252" s="1115" t="s">
        <v>924</v>
      </c>
    </row>
    <row r="3253" customFormat="false" ht="14.1" hidden="false" customHeight="true" outlineLevel="0" collapsed="false">
      <c r="A3253" s="1115" t="n">
        <v>83975</v>
      </c>
      <c r="B3253" s="1115" t="s">
        <v>167</v>
      </c>
      <c r="C3253" s="1115" t="n">
        <v>83975</v>
      </c>
      <c r="D3253" s="1115" t="s">
        <v>3884</v>
      </c>
      <c r="E3253" s="1115" t="s">
        <v>2796</v>
      </c>
      <c r="F3253" s="1115" t="n">
        <v>41680</v>
      </c>
      <c r="G3253" s="1115" t="n">
        <v>85900</v>
      </c>
      <c r="H3253" s="1115" t="s">
        <v>1431</v>
      </c>
      <c r="I3253" s="1115" t="n">
        <v>83985</v>
      </c>
      <c r="J3253" s="1115" t="s">
        <v>924</v>
      </c>
    </row>
    <row r="3254" customFormat="false" ht="14.1" hidden="false" customHeight="true" outlineLevel="0" collapsed="false">
      <c r="A3254" s="1115" t="n">
        <v>83980</v>
      </c>
      <c r="B3254" s="1115" t="s">
        <v>167</v>
      </c>
      <c r="C3254" s="1115" t="n">
        <v>83980</v>
      </c>
      <c r="D3254" s="1115" t="s">
        <v>2653</v>
      </c>
      <c r="E3254" s="1115" t="s">
        <v>3902</v>
      </c>
      <c r="F3254" s="1115" t="n">
        <v>91640</v>
      </c>
      <c r="G3254" s="1115" t="n">
        <v>85920</v>
      </c>
      <c r="H3254" s="1115" t="s">
        <v>3903</v>
      </c>
      <c r="I3254" s="1115" t="n">
        <v>83990</v>
      </c>
      <c r="J3254" s="1115" t="s">
        <v>924</v>
      </c>
    </row>
    <row r="3255" customFormat="false" ht="14.1" hidden="false" customHeight="true" outlineLevel="0" collapsed="false">
      <c r="A3255" s="1115" t="n">
        <v>83985</v>
      </c>
      <c r="B3255" s="1115" t="s">
        <v>167</v>
      </c>
      <c r="C3255" s="1115" t="n">
        <v>83985</v>
      </c>
      <c r="D3255" s="1115" t="s">
        <v>3885</v>
      </c>
      <c r="E3255" s="1115" t="s">
        <v>1884</v>
      </c>
      <c r="F3255" s="1115" t="n">
        <v>19730</v>
      </c>
      <c r="G3255" s="1115" t="n">
        <v>85930</v>
      </c>
      <c r="H3255" s="1115" t="s">
        <v>2215</v>
      </c>
      <c r="I3255" s="1115" t="n">
        <v>84100</v>
      </c>
      <c r="J3255" s="1115" t="s">
        <v>1638</v>
      </c>
    </row>
    <row r="3256" customFormat="false" ht="14.1" hidden="false" customHeight="true" outlineLevel="0" collapsed="false">
      <c r="A3256" s="1115" t="n">
        <v>83990</v>
      </c>
      <c r="B3256" s="1115" t="s">
        <v>167</v>
      </c>
      <c r="C3256" s="1115" t="n">
        <v>83990</v>
      </c>
      <c r="D3256" s="1115" t="s">
        <v>3155</v>
      </c>
      <c r="E3256" s="1115" t="s">
        <v>3429</v>
      </c>
      <c r="F3256" s="1115" t="n">
        <v>62570</v>
      </c>
      <c r="G3256" s="1115" t="n">
        <v>85940</v>
      </c>
      <c r="H3256" s="1115" t="s">
        <v>3777</v>
      </c>
      <c r="I3256" s="1115" t="n">
        <v>84220</v>
      </c>
      <c r="J3256" s="1115" t="s">
        <v>1638</v>
      </c>
    </row>
    <row r="3257" customFormat="false" ht="14.1" hidden="false" customHeight="true" outlineLevel="0" collapsed="false">
      <c r="A3257" s="1115" t="n">
        <v>84100</v>
      </c>
      <c r="B3257" s="1115" t="s">
        <v>169</v>
      </c>
      <c r="C3257" s="1115" t="n">
        <v>84100</v>
      </c>
      <c r="D3257" s="1115" t="s">
        <v>1638</v>
      </c>
      <c r="E3257" s="1115" t="s">
        <v>3582</v>
      </c>
      <c r="F3257" s="1115" t="n">
        <v>66760</v>
      </c>
      <c r="G3257" s="1115" t="n">
        <v>85960</v>
      </c>
      <c r="H3257" s="1115" t="s">
        <v>2983</v>
      </c>
      <c r="I3257" s="1115" t="n">
        <v>84320</v>
      </c>
      <c r="J3257" s="1115" t="s">
        <v>1638</v>
      </c>
    </row>
    <row r="3258" customFormat="false" ht="14.1" hidden="false" customHeight="true" outlineLevel="0" collapsed="false">
      <c r="A3258" s="1115" t="n">
        <v>84220</v>
      </c>
      <c r="B3258" s="1115" t="s">
        <v>169</v>
      </c>
      <c r="C3258" s="1115" t="n">
        <v>84220</v>
      </c>
      <c r="D3258" s="1115" t="s">
        <v>1638</v>
      </c>
      <c r="E3258" s="1115" t="s">
        <v>3335</v>
      </c>
      <c r="F3258" s="1115" t="n">
        <v>59310</v>
      </c>
      <c r="G3258" s="1115" t="n">
        <v>85980</v>
      </c>
      <c r="H3258" s="1115" t="s">
        <v>2836</v>
      </c>
      <c r="I3258" s="1115" t="n">
        <v>84330</v>
      </c>
      <c r="J3258" s="1115" t="s">
        <v>1638</v>
      </c>
    </row>
    <row r="3259" customFormat="false" ht="14.1" hidden="false" customHeight="true" outlineLevel="0" collapsed="false">
      <c r="A3259" s="1115" t="n">
        <v>84320</v>
      </c>
      <c r="B3259" s="1115" t="s">
        <v>169</v>
      </c>
      <c r="C3259" s="1115" t="n">
        <v>84320</v>
      </c>
      <c r="D3259" s="1115" t="s">
        <v>1638</v>
      </c>
      <c r="E3259" s="1115" t="s">
        <v>1541</v>
      </c>
      <c r="F3259" s="1115" t="n">
        <v>25630</v>
      </c>
      <c r="G3259" s="1115" t="n">
        <v>86100</v>
      </c>
      <c r="H3259" s="1115" t="s">
        <v>1388</v>
      </c>
      <c r="I3259" s="1115" t="n">
        <v>84460</v>
      </c>
      <c r="J3259" s="1115" t="s">
        <v>1638</v>
      </c>
    </row>
    <row r="3260" customFormat="false" ht="14.1" hidden="false" customHeight="true" outlineLevel="0" collapsed="false">
      <c r="A3260" s="1115" t="n">
        <v>84330</v>
      </c>
      <c r="B3260" s="1115" t="s">
        <v>169</v>
      </c>
      <c r="C3260" s="1115" t="n">
        <v>84330</v>
      </c>
      <c r="D3260" s="1115" t="s">
        <v>1638</v>
      </c>
      <c r="E3260" s="1115" t="s">
        <v>3904</v>
      </c>
      <c r="F3260" s="1115" t="n">
        <v>91760</v>
      </c>
      <c r="G3260" s="1115" t="n">
        <v>86110</v>
      </c>
      <c r="H3260" s="1115" t="s">
        <v>3490</v>
      </c>
      <c r="I3260" s="1115" t="n">
        <v>84540</v>
      </c>
      <c r="J3260" s="1115" t="s">
        <v>1638</v>
      </c>
    </row>
    <row r="3261" customFormat="false" ht="14.1" hidden="false" customHeight="true" outlineLevel="0" collapsed="false">
      <c r="A3261" s="1115" t="n">
        <v>84460</v>
      </c>
      <c r="B3261" s="1115" t="s">
        <v>169</v>
      </c>
      <c r="C3261" s="1115" t="n">
        <v>84460</v>
      </c>
      <c r="D3261" s="1115" t="s">
        <v>1638</v>
      </c>
      <c r="E3261" s="1115" t="s">
        <v>2643</v>
      </c>
      <c r="F3261" s="1115" t="n">
        <v>38580</v>
      </c>
      <c r="G3261" s="1115" t="n">
        <v>86120</v>
      </c>
      <c r="H3261" s="1115" t="s">
        <v>3392</v>
      </c>
      <c r="I3261" s="1115" t="n">
        <v>84650</v>
      </c>
      <c r="J3261" s="1115" t="s">
        <v>1638</v>
      </c>
    </row>
    <row r="3262" customFormat="false" ht="14.1" hidden="false" customHeight="true" outlineLevel="0" collapsed="false">
      <c r="A3262" s="1115" t="n">
        <v>84540</v>
      </c>
      <c r="B3262" s="1115" t="s">
        <v>169</v>
      </c>
      <c r="C3262" s="1115" t="n">
        <v>84540</v>
      </c>
      <c r="D3262" s="1115" t="s">
        <v>1638</v>
      </c>
      <c r="E3262" s="1115" t="s">
        <v>3684</v>
      </c>
      <c r="F3262" s="1115" t="n">
        <v>72550</v>
      </c>
      <c r="G3262" s="1115" t="n">
        <v>86130</v>
      </c>
      <c r="H3262" s="1115" t="s">
        <v>3001</v>
      </c>
      <c r="I3262" s="1115" t="n">
        <v>84770</v>
      </c>
      <c r="J3262" s="1115" t="s">
        <v>1638</v>
      </c>
    </row>
    <row r="3263" customFormat="false" ht="14.1" hidden="false" customHeight="true" outlineLevel="0" collapsed="false">
      <c r="A3263" s="1115" t="n">
        <v>84650</v>
      </c>
      <c r="B3263" s="1115" t="s">
        <v>169</v>
      </c>
      <c r="C3263" s="1115" t="n">
        <v>84650</v>
      </c>
      <c r="D3263" s="1115" t="s">
        <v>1638</v>
      </c>
      <c r="E3263" s="1115" t="s">
        <v>3683</v>
      </c>
      <c r="F3263" s="1115" t="n">
        <v>72530</v>
      </c>
      <c r="G3263" s="1115" t="n">
        <v>86140</v>
      </c>
      <c r="H3263" s="1115" t="s">
        <v>3604</v>
      </c>
      <c r="I3263" s="1115" t="n">
        <v>84880</v>
      </c>
      <c r="J3263" s="1115" t="s">
        <v>1638</v>
      </c>
    </row>
    <row r="3264" customFormat="false" ht="14.1" hidden="false" customHeight="true" outlineLevel="0" collapsed="false">
      <c r="A3264" s="1115" t="n">
        <v>84770</v>
      </c>
      <c r="B3264" s="1115" t="s">
        <v>169</v>
      </c>
      <c r="C3264" s="1115" t="n">
        <v>84770</v>
      </c>
      <c r="D3264" s="1115" t="s">
        <v>1638</v>
      </c>
      <c r="E3264" s="1115" t="s">
        <v>3848</v>
      </c>
      <c r="F3264" s="1115" t="n">
        <v>82550</v>
      </c>
      <c r="G3264" s="1115" t="n">
        <v>86160</v>
      </c>
      <c r="H3264" s="1115" t="s">
        <v>3587</v>
      </c>
      <c r="I3264" s="1115" t="n">
        <v>85100</v>
      </c>
      <c r="J3264" s="1115" t="s">
        <v>1638</v>
      </c>
    </row>
    <row r="3265" customFormat="false" ht="14.1" hidden="false" customHeight="true" outlineLevel="0" collapsed="false">
      <c r="A3265" s="1115" t="n">
        <v>84880</v>
      </c>
      <c r="B3265" s="1115" t="s">
        <v>169</v>
      </c>
      <c r="C3265" s="1115" t="n">
        <v>84880</v>
      </c>
      <c r="D3265" s="1115" t="s">
        <v>1638</v>
      </c>
      <c r="E3265" s="1115" t="s">
        <v>3707</v>
      </c>
      <c r="F3265" s="1115" t="n">
        <v>73770</v>
      </c>
      <c r="G3265" s="1115" t="n">
        <v>86170</v>
      </c>
      <c r="H3265" s="1115" t="s">
        <v>3905</v>
      </c>
      <c r="I3265" s="1115" t="n">
        <v>85110</v>
      </c>
      <c r="J3265" s="1115" t="s">
        <v>1638</v>
      </c>
    </row>
    <row r="3266" customFormat="false" ht="14.1" hidden="false" customHeight="true" outlineLevel="0" collapsed="false">
      <c r="A3266" s="1115" t="n">
        <v>85100</v>
      </c>
      <c r="B3266" s="1115" t="s">
        <v>169</v>
      </c>
      <c r="C3266" s="1115" t="n">
        <v>85100</v>
      </c>
      <c r="D3266" s="1115" t="s">
        <v>962</v>
      </c>
      <c r="E3266" s="1115" t="s">
        <v>3796</v>
      </c>
      <c r="F3266" s="1115" t="n">
        <v>79720</v>
      </c>
      <c r="G3266" s="1115" t="n">
        <v>86210</v>
      </c>
      <c r="H3266" s="1115" t="s">
        <v>3555</v>
      </c>
      <c r="I3266" s="1115" t="n">
        <v>85120</v>
      </c>
      <c r="J3266" s="1115" t="s">
        <v>1638</v>
      </c>
    </row>
    <row r="3267" customFormat="false" ht="14.1" hidden="false" customHeight="true" outlineLevel="0" collapsed="false">
      <c r="A3267" s="1115" t="n">
        <v>85110</v>
      </c>
      <c r="B3267" s="1115" t="s">
        <v>169</v>
      </c>
      <c r="C3267" s="1115" t="n">
        <v>85110</v>
      </c>
      <c r="D3267" s="1115" t="s">
        <v>3889</v>
      </c>
      <c r="E3267" s="1115" t="s">
        <v>3906</v>
      </c>
      <c r="F3267" s="1115" t="n">
        <v>93950</v>
      </c>
      <c r="G3267" s="1115" t="n">
        <v>86220</v>
      </c>
      <c r="H3267" s="1115" t="s">
        <v>1225</v>
      </c>
      <c r="I3267" s="1115" t="n">
        <v>85140</v>
      </c>
      <c r="J3267" s="1115" t="s">
        <v>1638</v>
      </c>
    </row>
    <row r="3268" customFormat="false" ht="14.1" hidden="false" customHeight="true" outlineLevel="0" collapsed="false">
      <c r="A3268" s="1115" t="n">
        <v>85120</v>
      </c>
      <c r="B3268" s="1115" t="s">
        <v>169</v>
      </c>
      <c r="C3268" s="1115" t="n">
        <v>85120</v>
      </c>
      <c r="D3268" s="1115" t="s">
        <v>3177</v>
      </c>
      <c r="E3268" s="1115" t="s">
        <v>2739</v>
      </c>
      <c r="F3268" s="1115" t="n">
        <v>40900</v>
      </c>
      <c r="G3268" s="1115" t="n">
        <v>86230</v>
      </c>
      <c r="H3268" s="1115" t="s">
        <v>3907</v>
      </c>
      <c r="I3268" s="1115" t="n">
        <v>85150</v>
      </c>
      <c r="J3268" s="1115" t="s">
        <v>1638</v>
      </c>
    </row>
    <row r="3269" customFormat="false" ht="14.1" hidden="false" customHeight="true" outlineLevel="0" collapsed="false">
      <c r="A3269" s="1115" t="n">
        <v>85140</v>
      </c>
      <c r="B3269" s="1115" t="s">
        <v>169</v>
      </c>
      <c r="C3269" s="1115" t="n">
        <v>85140</v>
      </c>
      <c r="D3269" s="1115" t="s">
        <v>3890</v>
      </c>
      <c r="E3269" s="1115" t="s">
        <v>1261</v>
      </c>
      <c r="F3269" s="1115" t="n">
        <v>4630</v>
      </c>
      <c r="G3269" s="1115" t="n">
        <v>86240</v>
      </c>
      <c r="H3269" s="1115" t="s">
        <v>3654</v>
      </c>
      <c r="I3269" s="1115" t="n">
        <v>85160</v>
      </c>
      <c r="J3269" s="1115" t="s">
        <v>1638</v>
      </c>
    </row>
    <row r="3270" customFormat="false" ht="14.1" hidden="false" customHeight="true" outlineLevel="0" collapsed="false">
      <c r="A3270" s="1115" t="n">
        <v>85150</v>
      </c>
      <c r="B3270" s="1115" t="s">
        <v>169</v>
      </c>
      <c r="C3270" s="1115" t="n">
        <v>85150</v>
      </c>
      <c r="D3270" s="1115" t="s">
        <v>3892</v>
      </c>
      <c r="E3270" s="1115" t="s">
        <v>2610</v>
      </c>
      <c r="F3270" s="1115" t="n">
        <v>37700</v>
      </c>
      <c r="G3270" s="1115" t="n">
        <v>86300</v>
      </c>
      <c r="H3270" s="1115" t="s">
        <v>1303</v>
      </c>
      <c r="I3270" s="1115" t="n">
        <v>85180</v>
      </c>
      <c r="J3270" s="1115" t="s">
        <v>1638</v>
      </c>
    </row>
    <row r="3271" customFormat="false" ht="14.1" hidden="false" customHeight="true" outlineLevel="0" collapsed="false">
      <c r="A3271" s="1115" t="n">
        <v>85160</v>
      </c>
      <c r="B3271" s="1115" t="s">
        <v>169</v>
      </c>
      <c r="C3271" s="1115" t="n">
        <v>85160</v>
      </c>
      <c r="D3271" s="1115" t="s">
        <v>3702</v>
      </c>
      <c r="E3271" s="1115" t="s">
        <v>3438</v>
      </c>
      <c r="F3271" s="1115" t="n">
        <v>62880</v>
      </c>
      <c r="G3271" s="1115" t="n">
        <v>86310</v>
      </c>
      <c r="H3271" s="1115" t="s">
        <v>3427</v>
      </c>
      <c r="I3271" s="1115" t="n">
        <v>85185</v>
      </c>
      <c r="J3271" s="1115" t="s">
        <v>1638</v>
      </c>
    </row>
    <row r="3272" customFormat="false" ht="14.1" hidden="false" customHeight="true" outlineLevel="0" collapsed="false">
      <c r="A3272" s="1115" t="n">
        <v>85180</v>
      </c>
      <c r="B3272" s="1115" t="s">
        <v>169</v>
      </c>
      <c r="C3272" s="1115" t="n">
        <v>85180</v>
      </c>
      <c r="D3272" s="1115" t="s">
        <v>3679</v>
      </c>
      <c r="E3272" s="1115" t="s">
        <v>3203</v>
      </c>
      <c r="F3272" s="1115" t="n">
        <v>54780</v>
      </c>
      <c r="G3272" s="1115" t="n">
        <v>86350</v>
      </c>
      <c r="H3272" s="1115" t="s">
        <v>2423</v>
      </c>
      <c r="I3272" s="1115" t="n">
        <v>85200</v>
      </c>
      <c r="J3272" s="1115" t="s">
        <v>719</v>
      </c>
    </row>
    <row r="3273" customFormat="false" ht="14.1" hidden="false" customHeight="true" outlineLevel="0" collapsed="false">
      <c r="A3273" s="1115" t="n">
        <v>85185</v>
      </c>
      <c r="B3273" s="1115" t="s">
        <v>169</v>
      </c>
      <c r="C3273" s="1115" t="n">
        <v>85185</v>
      </c>
      <c r="D3273" s="1115" t="s">
        <v>2170</v>
      </c>
      <c r="E3273" s="1115" t="s">
        <v>3908</v>
      </c>
      <c r="F3273" s="1115" t="n">
        <v>97755</v>
      </c>
      <c r="G3273" s="1115" t="n">
        <v>86360</v>
      </c>
      <c r="H3273" s="1115" t="s">
        <v>1930</v>
      </c>
      <c r="I3273" s="1115" t="n">
        <v>85210</v>
      </c>
      <c r="J3273" s="1115" t="s">
        <v>719</v>
      </c>
    </row>
    <row r="3274" customFormat="false" ht="14.1" hidden="false" customHeight="true" outlineLevel="0" collapsed="false">
      <c r="A3274" s="1115" t="n">
        <v>85200</v>
      </c>
      <c r="B3274" s="1115" t="s">
        <v>169</v>
      </c>
      <c r="C3274" s="1115" t="n">
        <v>85200</v>
      </c>
      <c r="D3274" s="1115" t="s">
        <v>719</v>
      </c>
      <c r="E3274" s="1115" t="s">
        <v>3366</v>
      </c>
      <c r="F3274" s="1115" t="n">
        <v>61170</v>
      </c>
      <c r="G3274" s="1115" t="n">
        <v>86400</v>
      </c>
      <c r="H3274" s="1115" t="s">
        <v>1617</v>
      </c>
      <c r="I3274" s="1115" t="n">
        <v>85220</v>
      </c>
      <c r="J3274" s="1115" t="s">
        <v>719</v>
      </c>
    </row>
    <row r="3275" customFormat="false" ht="14.1" hidden="false" customHeight="true" outlineLevel="0" collapsed="false">
      <c r="A3275" s="1115" t="n">
        <v>85210</v>
      </c>
      <c r="B3275" s="1115" t="s">
        <v>169</v>
      </c>
      <c r="C3275" s="1115" t="n">
        <v>85210</v>
      </c>
      <c r="D3275" s="1115" t="s">
        <v>2800</v>
      </c>
      <c r="E3275" s="1115" t="s">
        <v>943</v>
      </c>
      <c r="F3275" s="1115" t="n">
        <v>1150</v>
      </c>
      <c r="G3275" s="1115" t="n">
        <v>86440</v>
      </c>
      <c r="H3275" s="1115" t="s">
        <v>2892</v>
      </c>
      <c r="I3275" s="1115" t="n">
        <v>85230</v>
      </c>
      <c r="J3275" s="1115" t="s">
        <v>719</v>
      </c>
    </row>
    <row r="3276" customFormat="false" ht="14.1" hidden="false" customHeight="true" outlineLevel="0" collapsed="false">
      <c r="A3276" s="1115" t="n">
        <v>85220</v>
      </c>
      <c r="B3276" s="1115" t="s">
        <v>169</v>
      </c>
      <c r="C3276" s="1115" t="n">
        <v>85220</v>
      </c>
      <c r="D3276" s="1115" t="s">
        <v>3894</v>
      </c>
      <c r="E3276" s="1115" t="s">
        <v>3543</v>
      </c>
      <c r="F3276" s="1115" t="n">
        <v>65970</v>
      </c>
      <c r="G3276" s="1115" t="n">
        <v>86460</v>
      </c>
      <c r="H3276" s="1115" t="s">
        <v>886</v>
      </c>
      <c r="I3276" s="1115" t="n">
        <v>85240</v>
      </c>
      <c r="J3276" s="1115" t="s">
        <v>719</v>
      </c>
    </row>
    <row r="3277" customFormat="false" ht="14.1" hidden="false" customHeight="true" outlineLevel="0" collapsed="false">
      <c r="A3277" s="1115" t="n">
        <v>85230</v>
      </c>
      <c r="B3277" s="1115" t="s">
        <v>169</v>
      </c>
      <c r="C3277" s="1115" t="n">
        <v>85230</v>
      </c>
      <c r="D3277" s="1115" t="s">
        <v>3895</v>
      </c>
      <c r="E3277" s="1115" t="s">
        <v>3540</v>
      </c>
      <c r="F3277" s="1115" t="n">
        <v>65930</v>
      </c>
      <c r="G3277" s="1115" t="n">
        <v>86470</v>
      </c>
      <c r="H3277" s="1115" t="s">
        <v>3051</v>
      </c>
      <c r="I3277" s="1115" t="n">
        <v>85310</v>
      </c>
      <c r="J3277" s="1115" t="s">
        <v>1493</v>
      </c>
    </row>
    <row r="3278" customFormat="false" ht="14.1" hidden="false" customHeight="true" outlineLevel="0" collapsed="false">
      <c r="A3278" s="1115" t="n">
        <v>85240</v>
      </c>
      <c r="B3278" s="1115" t="s">
        <v>169</v>
      </c>
      <c r="C3278" s="1115" t="n">
        <v>85240</v>
      </c>
      <c r="D3278" s="1115" t="s">
        <v>3869</v>
      </c>
      <c r="E3278" s="1115" t="s">
        <v>2593</v>
      </c>
      <c r="F3278" s="1115" t="n">
        <v>37360</v>
      </c>
      <c r="G3278" s="1115" t="n">
        <v>86480</v>
      </c>
      <c r="H3278" s="1115" t="s">
        <v>2243</v>
      </c>
      <c r="I3278" s="1115" t="n">
        <v>85320</v>
      </c>
      <c r="J3278" s="1115" t="s">
        <v>1493</v>
      </c>
    </row>
    <row r="3279" customFormat="false" ht="14.1" hidden="false" customHeight="true" outlineLevel="0" collapsed="false">
      <c r="A3279" s="1115" t="n">
        <v>85310</v>
      </c>
      <c r="B3279" s="1115" t="s">
        <v>164</v>
      </c>
      <c r="C3279" s="1115" t="n">
        <v>85310</v>
      </c>
      <c r="D3279" s="1115" t="s">
        <v>1493</v>
      </c>
      <c r="E3279" s="1115" t="s">
        <v>2264</v>
      </c>
      <c r="F3279" s="1115" t="n">
        <v>29570</v>
      </c>
      <c r="G3279" s="1115" t="n">
        <v>86510</v>
      </c>
      <c r="H3279" s="1115" t="s">
        <v>3156</v>
      </c>
      <c r="I3279" s="1115" t="n">
        <v>85340</v>
      </c>
      <c r="J3279" s="1115" t="s">
        <v>1493</v>
      </c>
    </row>
    <row r="3280" customFormat="false" ht="14.1" hidden="false" customHeight="true" outlineLevel="0" collapsed="false">
      <c r="A3280" s="1115" t="n">
        <v>85320</v>
      </c>
      <c r="B3280" s="1115" t="s">
        <v>164</v>
      </c>
      <c r="C3280" s="1115" t="n">
        <v>85320</v>
      </c>
      <c r="D3280" s="1115" t="s">
        <v>3143</v>
      </c>
      <c r="E3280" s="1115" t="s">
        <v>2145</v>
      </c>
      <c r="F3280" s="1115" t="n">
        <v>25900</v>
      </c>
      <c r="G3280" s="1115" t="n">
        <v>86530</v>
      </c>
      <c r="H3280" s="1115" t="s">
        <v>898</v>
      </c>
      <c r="I3280" s="1115" t="n">
        <v>85350</v>
      </c>
      <c r="J3280" s="1115" t="s">
        <v>1493</v>
      </c>
    </row>
    <row r="3281" customFormat="false" ht="14.1" hidden="false" customHeight="true" outlineLevel="0" collapsed="false">
      <c r="A3281" s="1115" t="n">
        <v>85340</v>
      </c>
      <c r="B3281" s="1115" t="s">
        <v>164</v>
      </c>
      <c r="C3281" s="1115" t="n">
        <v>85340</v>
      </c>
      <c r="D3281" s="1115" t="s">
        <v>2084</v>
      </c>
      <c r="E3281" s="1115" t="s">
        <v>3909</v>
      </c>
      <c r="F3281" s="1115" t="n">
        <v>97430</v>
      </c>
      <c r="G3281" s="1115" t="n">
        <v>86550</v>
      </c>
      <c r="H3281" s="1115" t="s">
        <v>3185</v>
      </c>
      <c r="I3281" s="1115" t="n">
        <v>85410</v>
      </c>
      <c r="J3281" s="1115" t="s">
        <v>1493</v>
      </c>
    </row>
    <row r="3282" customFormat="false" ht="14.1" hidden="false" customHeight="true" outlineLevel="0" collapsed="false">
      <c r="A3282" s="1115" t="n">
        <v>85350</v>
      </c>
      <c r="B3282" s="1115" t="s">
        <v>164</v>
      </c>
      <c r="C3282" s="1115" t="n">
        <v>85350</v>
      </c>
      <c r="D3282" s="1115" t="s">
        <v>3896</v>
      </c>
      <c r="E3282" s="1115" t="s">
        <v>2632</v>
      </c>
      <c r="F3282" s="1115" t="n">
        <v>38340</v>
      </c>
      <c r="G3282" s="1115" t="n">
        <v>86600</v>
      </c>
      <c r="H3282" s="1115" t="s">
        <v>804</v>
      </c>
      <c r="I3282" s="1115" t="n">
        <v>85430</v>
      </c>
      <c r="J3282" s="1115" t="s">
        <v>1493</v>
      </c>
    </row>
    <row r="3283" customFormat="false" ht="14.1" hidden="false" customHeight="true" outlineLevel="0" collapsed="false">
      <c r="A3283" s="1115" t="n">
        <v>85410</v>
      </c>
      <c r="B3283" s="1115" t="s">
        <v>164</v>
      </c>
      <c r="C3283" s="1115" t="n">
        <v>85410</v>
      </c>
      <c r="D3283" s="1115" t="s">
        <v>1493</v>
      </c>
      <c r="E3283" s="1115" t="s">
        <v>1972</v>
      </c>
      <c r="F3283" s="1115" t="n">
        <v>21555</v>
      </c>
      <c r="G3283" s="1115" t="n">
        <v>86610</v>
      </c>
      <c r="H3283" s="1115" t="s">
        <v>1805</v>
      </c>
      <c r="I3283" s="1115" t="n">
        <v>85440</v>
      </c>
      <c r="J3283" s="1115" t="s">
        <v>1493</v>
      </c>
    </row>
    <row r="3284" customFormat="false" ht="14.1" hidden="false" customHeight="true" outlineLevel="0" collapsed="false">
      <c r="A3284" s="1115" t="n">
        <v>85430</v>
      </c>
      <c r="B3284" s="1115" t="s">
        <v>164</v>
      </c>
      <c r="C3284" s="1115" t="n">
        <v>85430</v>
      </c>
      <c r="D3284" s="1115" t="s">
        <v>2480</v>
      </c>
      <c r="E3284" s="1115" t="s">
        <v>3189</v>
      </c>
      <c r="F3284" s="1115" t="n">
        <v>54500</v>
      </c>
      <c r="G3284" s="1115" t="n">
        <v>86630</v>
      </c>
      <c r="H3284" s="1115" t="s">
        <v>795</v>
      </c>
      <c r="I3284" s="1115" t="n">
        <v>85450</v>
      </c>
      <c r="J3284" s="1115" t="s">
        <v>1493</v>
      </c>
    </row>
    <row r="3285" customFormat="false" ht="14.1" hidden="false" customHeight="true" outlineLevel="0" collapsed="false">
      <c r="A3285" s="1115" t="n">
        <v>85440</v>
      </c>
      <c r="B3285" s="1115" t="s">
        <v>164</v>
      </c>
      <c r="C3285" s="1115" t="n">
        <v>85440</v>
      </c>
      <c r="D3285" s="1115" t="s">
        <v>3715</v>
      </c>
      <c r="E3285" s="1115" t="s">
        <v>3057</v>
      </c>
      <c r="F3285" s="1115" t="n">
        <v>51260</v>
      </c>
      <c r="G3285" s="1115" t="n">
        <v>86650</v>
      </c>
      <c r="H3285" s="1115" t="s">
        <v>2795</v>
      </c>
      <c r="I3285" s="1115" t="n">
        <v>85470</v>
      </c>
      <c r="J3285" s="1115" t="s">
        <v>1493</v>
      </c>
    </row>
    <row r="3286" customFormat="false" ht="14.1" hidden="false" customHeight="true" outlineLevel="0" collapsed="false">
      <c r="A3286" s="1115" t="n">
        <v>85450</v>
      </c>
      <c r="B3286" s="1115" t="s">
        <v>164</v>
      </c>
      <c r="C3286" s="1115" t="n">
        <v>85450</v>
      </c>
      <c r="D3286" s="1115" t="s">
        <v>2009</v>
      </c>
      <c r="E3286" s="1115" t="s">
        <v>3698</v>
      </c>
      <c r="F3286" s="1115" t="n">
        <v>73310</v>
      </c>
      <c r="G3286" s="1115" t="n">
        <v>86660</v>
      </c>
      <c r="H3286" s="1115" t="s">
        <v>2029</v>
      </c>
      <c r="I3286" s="1115" t="n">
        <v>85500</v>
      </c>
      <c r="J3286" s="1115" t="s">
        <v>1268</v>
      </c>
    </row>
    <row r="3287" customFormat="false" ht="14.1" hidden="false" customHeight="true" outlineLevel="0" collapsed="false">
      <c r="A3287" s="1115" t="n">
        <v>85470</v>
      </c>
      <c r="B3287" s="1115" t="s">
        <v>164</v>
      </c>
      <c r="C3287" s="1115" t="n">
        <v>85470</v>
      </c>
      <c r="D3287" s="1115" t="s">
        <v>2413</v>
      </c>
      <c r="E3287" s="1115" t="s">
        <v>2918</v>
      </c>
      <c r="F3287" s="1115" t="n">
        <v>44710</v>
      </c>
      <c r="G3287" s="1115" t="n">
        <v>86680</v>
      </c>
      <c r="H3287" s="1115" t="s">
        <v>3910</v>
      </c>
      <c r="I3287" s="1115" t="n">
        <v>85530</v>
      </c>
      <c r="J3287" s="1115" t="s">
        <v>1268</v>
      </c>
    </row>
    <row r="3288" customFormat="false" ht="14.1" hidden="false" customHeight="true" outlineLevel="0" collapsed="false">
      <c r="A3288" s="1115" t="n">
        <v>85500</v>
      </c>
      <c r="B3288" s="1115" t="s">
        <v>164</v>
      </c>
      <c r="C3288" s="1115" t="n">
        <v>85500</v>
      </c>
      <c r="D3288" s="1115" t="s">
        <v>1268</v>
      </c>
      <c r="E3288" s="1115" t="s">
        <v>3911</v>
      </c>
      <c r="F3288" s="1115" t="n">
        <v>95260</v>
      </c>
      <c r="G3288" s="1115" t="n">
        <v>86690</v>
      </c>
      <c r="H3288" s="1115" t="s">
        <v>2271</v>
      </c>
      <c r="I3288" s="1115" t="n">
        <v>85540</v>
      </c>
      <c r="J3288" s="1115" t="s">
        <v>1268</v>
      </c>
    </row>
    <row r="3289" customFormat="false" ht="14.1" hidden="false" customHeight="true" outlineLevel="0" collapsed="false">
      <c r="A3289" s="1115" t="n">
        <v>85530</v>
      </c>
      <c r="B3289" s="1115" t="s">
        <v>164</v>
      </c>
      <c r="C3289" s="1115" t="n">
        <v>85530</v>
      </c>
      <c r="D3289" s="1115" t="s">
        <v>1312</v>
      </c>
      <c r="E3289" s="1115" t="s">
        <v>3563</v>
      </c>
      <c r="F3289" s="1115" t="n">
        <v>66350</v>
      </c>
      <c r="G3289" s="1115" t="n">
        <v>86710</v>
      </c>
      <c r="H3289" s="1115" t="s">
        <v>1143</v>
      </c>
      <c r="I3289" s="1115" t="n">
        <v>85560</v>
      </c>
      <c r="J3289" s="1115" t="s">
        <v>1268</v>
      </c>
    </row>
    <row r="3290" customFormat="false" ht="14.1" hidden="false" customHeight="true" outlineLevel="0" collapsed="false">
      <c r="A3290" s="1115" t="n">
        <v>85540</v>
      </c>
      <c r="B3290" s="1115" t="s">
        <v>164</v>
      </c>
      <c r="C3290" s="1115" t="n">
        <v>85540</v>
      </c>
      <c r="D3290" s="1115" t="s">
        <v>1268</v>
      </c>
      <c r="E3290" s="1115" t="s">
        <v>3690</v>
      </c>
      <c r="F3290" s="1115" t="n">
        <v>73130</v>
      </c>
      <c r="G3290" s="1115" t="n">
        <v>86715</v>
      </c>
      <c r="H3290" s="1115" t="s">
        <v>3726</v>
      </c>
      <c r="I3290" s="1115" t="n">
        <v>85580</v>
      </c>
      <c r="J3290" s="1115" t="s">
        <v>1268</v>
      </c>
    </row>
    <row r="3291" customFormat="false" ht="14.1" hidden="false" customHeight="true" outlineLevel="0" collapsed="false">
      <c r="A3291" s="1115" t="n">
        <v>85560</v>
      </c>
      <c r="B3291" s="1115" t="s">
        <v>164</v>
      </c>
      <c r="C3291" s="1115" t="n">
        <v>85560</v>
      </c>
      <c r="D3291" s="1115" t="s">
        <v>798</v>
      </c>
      <c r="E3291" s="1115" t="s">
        <v>3912</v>
      </c>
      <c r="F3291" s="1115" t="n">
        <v>93130</v>
      </c>
      <c r="G3291" s="1115" t="n">
        <v>86750</v>
      </c>
      <c r="H3291" s="1115" t="s">
        <v>3830</v>
      </c>
      <c r="I3291" s="1115" t="n">
        <v>85620</v>
      </c>
      <c r="J3291" s="1115" t="s">
        <v>1268</v>
      </c>
    </row>
    <row r="3292" customFormat="false" ht="14.1" hidden="false" customHeight="true" outlineLevel="0" collapsed="false">
      <c r="A3292" s="1115" t="n">
        <v>85580</v>
      </c>
      <c r="B3292" s="1115" t="s">
        <v>164</v>
      </c>
      <c r="C3292" s="1115" t="n">
        <v>85580</v>
      </c>
      <c r="D3292" s="1115" t="s">
        <v>2292</v>
      </c>
      <c r="E3292" s="1115" t="s">
        <v>1543</v>
      </c>
      <c r="F3292" s="1115" t="n">
        <v>54920</v>
      </c>
      <c r="G3292" s="1115" t="n">
        <v>86760</v>
      </c>
      <c r="H3292" s="1115" t="s">
        <v>3192</v>
      </c>
      <c r="I3292" s="1115" t="n">
        <v>85630</v>
      </c>
      <c r="J3292" s="1115" t="s">
        <v>1268</v>
      </c>
    </row>
    <row r="3293" customFormat="false" ht="14.1" hidden="false" customHeight="true" outlineLevel="0" collapsed="false">
      <c r="A3293" s="1115" t="n">
        <v>85620</v>
      </c>
      <c r="B3293" s="1115" t="s">
        <v>164</v>
      </c>
      <c r="C3293" s="1115" t="n">
        <v>85620</v>
      </c>
      <c r="D3293" s="1115" t="s">
        <v>3818</v>
      </c>
      <c r="E3293" s="1115" t="s">
        <v>3459</v>
      </c>
      <c r="F3293" s="1115" t="n">
        <v>63370</v>
      </c>
      <c r="G3293" s="1115" t="n">
        <v>86770</v>
      </c>
      <c r="H3293" s="1115" t="s">
        <v>3059</v>
      </c>
      <c r="I3293" s="1115" t="n">
        <v>85640</v>
      </c>
      <c r="J3293" s="1115" t="s">
        <v>1268</v>
      </c>
    </row>
    <row r="3294" customFormat="false" ht="14.1" hidden="false" customHeight="true" outlineLevel="0" collapsed="false">
      <c r="A3294" s="1115" t="n">
        <v>85630</v>
      </c>
      <c r="B3294" s="1115" t="s">
        <v>164</v>
      </c>
      <c r="C3294" s="1115" t="n">
        <v>85630</v>
      </c>
      <c r="D3294" s="1115" t="s">
        <v>3819</v>
      </c>
      <c r="E3294" s="1115" t="s">
        <v>1545</v>
      </c>
      <c r="F3294" s="1115" t="n">
        <v>93400</v>
      </c>
      <c r="G3294" s="1115" t="n">
        <v>86790</v>
      </c>
      <c r="H3294" s="1115" t="s">
        <v>3913</v>
      </c>
      <c r="I3294" s="1115" t="n">
        <v>85660</v>
      </c>
      <c r="J3294" s="1115" t="s">
        <v>1268</v>
      </c>
    </row>
    <row r="3295" customFormat="false" ht="14.1" hidden="false" customHeight="true" outlineLevel="0" collapsed="false">
      <c r="A3295" s="1115" t="n">
        <v>85640</v>
      </c>
      <c r="B3295" s="1115" t="s">
        <v>164</v>
      </c>
      <c r="C3295" s="1115" t="n">
        <v>85640</v>
      </c>
      <c r="D3295" s="1115" t="s">
        <v>3118</v>
      </c>
      <c r="E3295" s="1115" t="s">
        <v>3367</v>
      </c>
      <c r="F3295" s="1115" t="n">
        <v>61290</v>
      </c>
      <c r="G3295" s="1115" t="n">
        <v>86800</v>
      </c>
      <c r="H3295" s="1115" t="s">
        <v>3657</v>
      </c>
      <c r="I3295" s="1115" t="n">
        <v>85710</v>
      </c>
      <c r="J3295" s="1115" t="s">
        <v>802</v>
      </c>
    </row>
    <row r="3296" customFormat="false" ht="14.1" hidden="false" customHeight="true" outlineLevel="0" collapsed="false">
      <c r="A3296" s="1115" t="n">
        <v>85660</v>
      </c>
      <c r="B3296" s="1115" t="s">
        <v>169</v>
      </c>
      <c r="C3296" s="1115" t="n">
        <v>85660</v>
      </c>
      <c r="D3296" s="1115" t="s">
        <v>3767</v>
      </c>
      <c r="E3296" s="1115" t="s">
        <v>1546</v>
      </c>
      <c r="F3296" s="1115" t="n">
        <v>23310</v>
      </c>
      <c r="G3296" s="1115" t="n">
        <v>86810</v>
      </c>
      <c r="H3296" s="1115" t="s">
        <v>1390</v>
      </c>
      <c r="I3296" s="1115" t="n">
        <v>85730</v>
      </c>
      <c r="J3296" s="1115" t="s">
        <v>802</v>
      </c>
    </row>
    <row r="3297" customFormat="false" ht="14.1" hidden="false" customHeight="true" outlineLevel="0" collapsed="false">
      <c r="A3297" s="1115" t="n">
        <v>85710</v>
      </c>
      <c r="B3297" s="1115" t="s">
        <v>169</v>
      </c>
      <c r="C3297" s="1115" t="n">
        <v>85710</v>
      </c>
      <c r="D3297" s="1115" t="s">
        <v>3491</v>
      </c>
      <c r="E3297" s="1115" t="s">
        <v>3914</v>
      </c>
      <c r="F3297" s="1115" t="n">
        <v>89660</v>
      </c>
      <c r="G3297" s="1115" t="n">
        <v>86820</v>
      </c>
      <c r="H3297" s="1115" t="s">
        <v>2883</v>
      </c>
      <c r="I3297" s="1115" t="n">
        <v>85800</v>
      </c>
      <c r="J3297" s="1115" t="s">
        <v>802</v>
      </c>
    </row>
    <row r="3298" customFormat="false" ht="14.1" hidden="false" customHeight="true" outlineLevel="0" collapsed="false">
      <c r="A3298" s="1115" t="n">
        <v>85730</v>
      </c>
      <c r="B3298" s="1115" t="s">
        <v>169</v>
      </c>
      <c r="C3298" s="1115" t="n">
        <v>85730</v>
      </c>
      <c r="D3298" s="1115" t="s">
        <v>3900</v>
      </c>
      <c r="E3298" s="1115" t="s">
        <v>2980</v>
      </c>
      <c r="F3298" s="1115" t="n">
        <v>47250</v>
      </c>
      <c r="G3298" s="1115" t="n">
        <v>86840</v>
      </c>
      <c r="H3298" s="1115" t="s">
        <v>2819</v>
      </c>
      <c r="I3298" s="1115" t="n">
        <v>85820</v>
      </c>
      <c r="J3298" s="1115" t="s">
        <v>802</v>
      </c>
    </row>
    <row r="3299" customFormat="false" ht="14.1" hidden="false" customHeight="true" outlineLevel="0" collapsed="false">
      <c r="A3299" s="1115" t="n">
        <v>85800</v>
      </c>
      <c r="B3299" s="1115" t="s">
        <v>169</v>
      </c>
      <c r="C3299" s="1115" t="n">
        <v>85800</v>
      </c>
      <c r="D3299" s="1115" t="s">
        <v>802</v>
      </c>
      <c r="E3299" s="1115" t="s">
        <v>2875</v>
      </c>
      <c r="F3299" s="1115" t="n">
        <v>43680</v>
      </c>
      <c r="G3299" s="1115" t="n">
        <v>86850</v>
      </c>
      <c r="H3299" s="1115" t="s">
        <v>1689</v>
      </c>
      <c r="I3299" s="1115" t="n">
        <v>85840</v>
      </c>
      <c r="J3299" s="1115" t="s">
        <v>802</v>
      </c>
    </row>
    <row r="3300" customFormat="false" ht="14.1" hidden="false" customHeight="true" outlineLevel="0" collapsed="false">
      <c r="A3300" s="1115" t="n">
        <v>85820</v>
      </c>
      <c r="B3300" s="1115" t="s">
        <v>169</v>
      </c>
      <c r="C3300" s="1115" t="n">
        <v>85820</v>
      </c>
      <c r="D3300" s="1115" t="s">
        <v>3397</v>
      </c>
      <c r="E3300" s="1115" t="s">
        <v>3915</v>
      </c>
      <c r="F3300" s="1115" t="n">
        <v>93880</v>
      </c>
      <c r="G3300" s="1115" t="n">
        <v>86870</v>
      </c>
      <c r="H3300" s="1115" t="s">
        <v>3916</v>
      </c>
      <c r="I3300" s="1115" t="n">
        <v>85860</v>
      </c>
      <c r="J3300" s="1115" t="s">
        <v>802</v>
      </c>
    </row>
    <row r="3301" customFormat="false" ht="14.1" hidden="false" customHeight="true" outlineLevel="0" collapsed="false">
      <c r="A3301" s="1115" t="n">
        <v>85840</v>
      </c>
      <c r="B3301" s="1115" t="s">
        <v>169</v>
      </c>
      <c r="C3301" s="1115" t="n">
        <v>85840</v>
      </c>
      <c r="D3301" s="1115" t="s">
        <v>2710</v>
      </c>
      <c r="E3301" s="1115" t="s">
        <v>3658</v>
      </c>
      <c r="F3301" s="1115" t="n">
        <v>71640</v>
      </c>
      <c r="G3301" s="1115" t="n">
        <v>86900</v>
      </c>
      <c r="H3301" s="1115" t="s">
        <v>3652</v>
      </c>
      <c r="I3301" s="1115" t="n">
        <v>85880</v>
      </c>
      <c r="J3301" s="1115" t="s">
        <v>802</v>
      </c>
    </row>
    <row r="3302" customFormat="false" ht="14.1" hidden="false" customHeight="true" outlineLevel="0" collapsed="false">
      <c r="A3302" s="1115" t="n">
        <v>85860</v>
      </c>
      <c r="B3302" s="1115" t="s">
        <v>169</v>
      </c>
      <c r="C3302" s="1115" t="n">
        <v>85860</v>
      </c>
      <c r="D3302" s="1115" t="s">
        <v>2689</v>
      </c>
      <c r="E3302" s="1115" t="s">
        <v>1227</v>
      </c>
      <c r="F3302" s="1115" t="n">
        <v>4240</v>
      </c>
      <c r="G3302" s="1115" t="n">
        <v>86920</v>
      </c>
      <c r="H3302" s="1115" t="s">
        <v>2755</v>
      </c>
      <c r="I3302" s="1115" t="n">
        <v>85900</v>
      </c>
      <c r="J3302" s="1115" t="s">
        <v>1431</v>
      </c>
    </row>
    <row r="3303" customFormat="false" ht="14.1" hidden="false" customHeight="true" outlineLevel="0" collapsed="false">
      <c r="A3303" s="1115" t="n">
        <v>85880</v>
      </c>
      <c r="B3303" s="1115" t="s">
        <v>169</v>
      </c>
      <c r="C3303" s="1115" t="n">
        <v>85880</v>
      </c>
      <c r="D3303" s="1115" t="s">
        <v>2171</v>
      </c>
      <c r="E3303" s="1115" t="s">
        <v>3895</v>
      </c>
      <c r="F3303" s="1115" t="n">
        <v>85230</v>
      </c>
      <c r="G3303" s="1115" t="n">
        <v>86970</v>
      </c>
      <c r="H3303" s="1115" t="s">
        <v>3917</v>
      </c>
      <c r="I3303" s="1115" t="n">
        <v>85920</v>
      </c>
      <c r="J3303" s="1115" t="s">
        <v>1431</v>
      </c>
    </row>
    <row r="3304" customFormat="false" ht="14.1" hidden="false" customHeight="true" outlineLevel="0" collapsed="false">
      <c r="A3304" s="1115" t="n">
        <v>85900</v>
      </c>
      <c r="B3304" s="1115" t="s">
        <v>164</v>
      </c>
      <c r="C3304" s="1115" t="n">
        <v>85900</v>
      </c>
      <c r="D3304" s="1115" t="s">
        <v>1431</v>
      </c>
      <c r="E3304" s="1115" t="s">
        <v>2521</v>
      </c>
      <c r="F3304" s="1115" t="n">
        <v>35420</v>
      </c>
      <c r="G3304" s="1115" t="n">
        <v>86980</v>
      </c>
      <c r="H3304" s="1115" t="s">
        <v>3918</v>
      </c>
      <c r="I3304" s="1115" t="n">
        <v>85930</v>
      </c>
      <c r="J3304" s="1115" t="s">
        <v>1431</v>
      </c>
    </row>
    <row r="3305" customFormat="false" ht="14.1" hidden="false" customHeight="true" outlineLevel="0" collapsed="false">
      <c r="A3305" s="1115" t="n">
        <v>85920</v>
      </c>
      <c r="B3305" s="1115" t="s">
        <v>169</v>
      </c>
      <c r="C3305" s="1115" t="n">
        <v>85920</v>
      </c>
      <c r="D3305" s="1115" t="s">
        <v>3903</v>
      </c>
      <c r="E3305" s="1115" t="s">
        <v>1547</v>
      </c>
      <c r="F3305" s="1115" t="n">
        <v>31300</v>
      </c>
      <c r="G3305" s="1115" t="n">
        <v>87007</v>
      </c>
      <c r="H3305" s="1115" t="s">
        <v>168</v>
      </c>
      <c r="I3305" s="1115" t="n">
        <v>85940</v>
      </c>
      <c r="J3305" s="1115" t="s">
        <v>1431</v>
      </c>
    </row>
    <row r="3306" customFormat="false" ht="14.1" hidden="false" customHeight="true" outlineLevel="0" collapsed="false">
      <c r="A3306" s="1115" t="n">
        <v>85930</v>
      </c>
      <c r="B3306" s="1115" t="s">
        <v>169</v>
      </c>
      <c r="C3306" s="1115" t="n">
        <v>85930</v>
      </c>
      <c r="D3306" s="1115" t="s">
        <v>2215</v>
      </c>
      <c r="E3306" s="1115" t="s">
        <v>2334</v>
      </c>
      <c r="F3306" s="1115" t="n">
        <v>31320</v>
      </c>
      <c r="G3306" s="1115" t="n">
        <v>87100</v>
      </c>
      <c r="H3306" s="1115" t="s">
        <v>168</v>
      </c>
      <c r="I3306" s="1115" t="n">
        <v>85960</v>
      </c>
      <c r="J3306" s="1115" t="s">
        <v>1431</v>
      </c>
    </row>
    <row r="3307" customFormat="false" ht="14.1" hidden="false" customHeight="true" outlineLevel="0" collapsed="false">
      <c r="A3307" s="1115" t="n">
        <v>85940</v>
      </c>
      <c r="B3307" s="1115" t="s">
        <v>169</v>
      </c>
      <c r="C3307" s="1115" t="n">
        <v>85940</v>
      </c>
      <c r="D3307" s="1115" t="s">
        <v>3777</v>
      </c>
      <c r="E3307" s="1115" t="s">
        <v>2400</v>
      </c>
      <c r="F3307" s="1115" t="n">
        <v>32450</v>
      </c>
      <c r="G3307" s="1115" t="n">
        <v>87140</v>
      </c>
      <c r="H3307" s="1115" t="s">
        <v>168</v>
      </c>
      <c r="I3307" s="1115" t="n">
        <v>85980</v>
      </c>
      <c r="J3307" s="1115" t="s">
        <v>1431</v>
      </c>
    </row>
    <row r="3308" customFormat="false" ht="14.1" hidden="false" customHeight="true" outlineLevel="0" collapsed="false">
      <c r="A3308" s="1115" t="n">
        <v>85960</v>
      </c>
      <c r="B3308" s="1115" t="s">
        <v>169</v>
      </c>
      <c r="C3308" s="1115" t="n">
        <v>85960</v>
      </c>
      <c r="D3308" s="1115" t="s">
        <v>2983</v>
      </c>
      <c r="E3308" s="1115" t="s">
        <v>1880</v>
      </c>
      <c r="F3308" s="1115" t="n">
        <v>19660</v>
      </c>
      <c r="G3308" s="1115" t="n">
        <v>87150</v>
      </c>
      <c r="H3308" s="1115" t="s">
        <v>168</v>
      </c>
      <c r="I3308" s="1115" t="n">
        <v>86100</v>
      </c>
      <c r="J3308" s="1115" t="s">
        <v>1388</v>
      </c>
    </row>
    <row r="3309" customFormat="false" ht="14.1" hidden="false" customHeight="true" outlineLevel="0" collapsed="false">
      <c r="A3309" s="1115" t="n">
        <v>85980</v>
      </c>
      <c r="B3309" s="1115" t="s">
        <v>169</v>
      </c>
      <c r="C3309" s="1115" t="n">
        <v>85980</v>
      </c>
      <c r="D3309" s="1115" t="s">
        <v>2836</v>
      </c>
      <c r="E3309" s="1115" t="s">
        <v>1893</v>
      </c>
      <c r="F3309" s="1115" t="n">
        <v>19910</v>
      </c>
      <c r="G3309" s="1115" t="n">
        <v>87200</v>
      </c>
      <c r="H3309" s="1115" t="s">
        <v>168</v>
      </c>
      <c r="I3309" s="1115" t="n">
        <v>86110</v>
      </c>
      <c r="J3309" s="1115" t="s">
        <v>1388</v>
      </c>
    </row>
    <row r="3310" customFormat="false" ht="14.1" hidden="false" customHeight="true" outlineLevel="0" collapsed="false">
      <c r="A3310" s="1115" t="n">
        <v>86100</v>
      </c>
      <c r="B3310" s="1115" t="s">
        <v>169</v>
      </c>
      <c r="C3310" s="1115" t="n">
        <v>86100</v>
      </c>
      <c r="D3310" s="1115" t="s">
        <v>1388</v>
      </c>
      <c r="E3310" s="1115" t="s">
        <v>2543</v>
      </c>
      <c r="F3310" s="1115" t="n">
        <v>35930</v>
      </c>
      <c r="G3310" s="1115" t="n">
        <v>87300</v>
      </c>
      <c r="H3310" s="1115" t="s">
        <v>168</v>
      </c>
      <c r="I3310" s="1115" t="n">
        <v>86120</v>
      </c>
      <c r="J3310" s="1115" t="s">
        <v>1388</v>
      </c>
    </row>
    <row r="3311" customFormat="false" ht="14.1" hidden="false" customHeight="true" outlineLevel="0" collapsed="false">
      <c r="A3311" s="1115" t="n">
        <v>86110</v>
      </c>
      <c r="B3311" s="1115" t="s">
        <v>169</v>
      </c>
      <c r="C3311" s="1115" t="n">
        <v>86110</v>
      </c>
      <c r="D3311" s="1115" t="s">
        <v>3490</v>
      </c>
      <c r="E3311" s="1115" t="s">
        <v>1550</v>
      </c>
      <c r="F3311" s="1115" t="n">
        <v>10600</v>
      </c>
      <c r="G3311" s="1115" t="n">
        <v>87400</v>
      </c>
      <c r="H3311" s="1115" t="s">
        <v>168</v>
      </c>
      <c r="I3311" s="1115" t="n">
        <v>86130</v>
      </c>
      <c r="J3311" s="1115" t="s">
        <v>1388</v>
      </c>
    </row>
    <row r="3312" customFormat="false" ht="14.1" hidden="false" customHeight="true" outlineLevel="0" collapsed="false">
      <c r="A3312" s="1115" t="n">
        <v>86120</v>
      </c>
      <c r="B3312" s="1115" t="s">
        <v>169</v>
      </c>
      <c r="C3312" s="1115" t="n">
        <v>86120</v>
      </c>
      <c r="D3312" s="1115" t="s">
        <v>3392</v>
      </c>
      <c r="E3312" s="1115" t="s">
        <v>1550</v>
      </c>
      <c r="F3312" s="1115" t="n">
        <v>10650</v>
      </c>
      <c r="G3312" s="1115" t="n">
        <v>87500</v>
      </c>
      <c r="H3312" s="1115" t="s">
        <v>168</v>
      </c>
      <c r="I3312" s="1115" t="n">
        <v>86140</v>
      </c>
      <c r="J3312" s="1115" t="s">
        <v>1388</v>
      </c>
    </row>
    <row r="3313" customFormat="false" ht="14.1" hidden="false" customHeight="true" outlineLevel="0" collapsed="false">
      <c r="A3313" s="1115" t="n">
        <v>86130</v>
      </c>
      <c r="B3313" s="1115" t="s">
        <v>169</v>
      </c>
      <c r="C3313" s="1115" t="n">
        <v>86130</v>
      </c>
      <c r="D3313" s="1115" t="s">
        <v>3001</v>
      </c>
      <c r="E3313" s="1115" t="s">
        <v>161</v>
      </c>
      <c r="F3313" s="1115" t="n">
        <v>33100</v>
      </c>
      <c r="G3313" s="1115" t="n">
        <v>87600</v>
      </c>
      <c r="H3313" s="1115" t="s">
        <v>168</v>
      </c>
      <c r="I3313" s="1115" t="n">
        <v>86160</v>
      </c>
      <c r="J3313" s="1115" t="s">
        <v>1388</v>
      </c>
    </row>
    <row r="3314" customFormat="false" ht="14.1" hidden="false" customHeight="true" outlineLevel="0" collapsed="false">
      <c r="A3314" s="1115" t="n">
        <v>86140</v>
      </c>
      <c r="B3314" s="1115" t="s">
        <v>169</v>
      </c>
      <c r="C3314" s="1115" t="n">
        <v>86140</v>
      </c>
      <c r="D3314" s="1115" t="s">
        <v>3604</v>
      </c>
      <c r="E3314" s="1115" t="s">
        <v>161</v>
      </c>
      <c r="F3314" s="1115" t="n">
        <v>33100</v>
      </c>
      <c r="G3314" s="1115" t="n">
        <v>87830</v>
      </c>
      <c r="H3314" s="1115" t="s">
        <v>3285</v>
      </c>
      <c r="I3314" s="1115" t="n">
        <v>86170</v>
      </c>
      <c r="J3314" s="1115" t="s">
        <v>1388</v>
      </c>
    </row>
    <row r="3315" customFormat="false" ht="14.1" hidden="false" customHeight="true" outlineLevel="0" collapsed="false">
      <c r="A3315" s="1115" t="n">
        <v>86160</v>
      </c>
      <c r="B3315" s="1115" t="s">
        <v>169</v>
      </c>
      <c r="C3315" s="1115" t="n">
        <v>86160</v>
      </c>
      <c r="D3315" s="1115" t="s">
        <v>3587</v>
      </c>
      <c r="E3315" s="1115" t="s">
        <v>161</v>
      </c>
      <c r="F3315" s="1115" t="n">
        <v>33100</v>
      </c>
      <c r="G3315" s="1115" t="n">
        <v>87850</v>
      </c>
      <c r="H3315" s="1115" t="s">
        <v>3483</v>
      </c>
      <c r="I3315" s="1115" t="n">
        <v>86210</v>
      </c>
      <c r="J3315" s="1115" t="s">
        <v>1303</v>
      </c>
    </row>
    <row r="3316" customFormat="false" ht="14.1" hidden="false" customHeight="true" outlineLevel="0" collapsed="false">
      <c r="A3316" s="1115" t="n">
        <v>86170</v>
      </c>
      <c r="B3316" s="1115" t="s">
        <v>169</v>
      </c>
      <c r="C3316" s="1115" t="n">
        <v>86170</v>
      </c>
      <c r="D3316" s="1115" t="s">
        <v>3905</v>
      </c>
      <c r="E3316" s="1115" t="s">
        <v>161</v>
      </c>
      <c r="F3316" s="1115" t="n">
        <v>33180</v>
      </c>
      <c r="G3316" s="1115" t="n">
        <v>87870</v>
      </c>
      <c r="H3316" s="1115" t="s">
        <v>2026</v>
      </c>
      <c r="I3316" s="1115" t="n">
        <v>86220</v>
      </c>
      <c r="J3316" s="1115" t="s">
        <v>1225</v>
      </c>
    </row>
    <row r="3317" customFormat="false" ht="14.1" hidden="false" customHeight="true" outlineLevel="0" collapsed="false">
      <c r="A3317" s="1115" t="n">
        <v>86210</v>
      </c>
      <c r="B3317" s="1115" t="s">
        <v>169</v>
      </c>
      <c r="C3317" s="1115" t="n">
        <v>86210</v>
      </c>
      <c r="D3317" s="1115" t="s">
        <v>3555</v>
      </c>
      <c r="E3317" s="1115" t="s">
        <v>161</v>
      </c>
      <c r="F3317" s="1115" t="n">
        <v>33200</v>
      </c>
      <c r="G3317" s="1115" t="n">
        <v>88110</v>
      </c>
      <c r="H3317" s="1115" t="s">
        <v>2558</v>
      </c>
      <c r="I3317" s="1115" t="n">
        <v>86230</v>
      </c>
      <c r="J3317" s="1115" t="s">
        <v>1225</v>
      </c>
    </row>
    <row r="3318" customFormat="false" ht="14.1" hidden="false" customHeight="true" outlineLevel="0" collapsed="false">
      <c r="A3318" s="1115" t="n">
        <v>86220</v>
      </c>
      <c r="B3318" s="1115" t="s">
        <v>169</v>
      </c>
      <c r="C3318" s="1115" t="n">
        <v>86220</v>
      </c>
      <c r="D3318" s="1115" t="s">
        <v>1225</v>
      </c>
      <c r="E3318" s="1115" t="s">
        <v>161</v>
      </c>
      <c r="F3318" s="1115" t="n">
        <v>33210</v>
      </c>
      <c r="G3318" s="1115" t="n">
        <v>88120</v>
      </c>
      <c r="H3318" s="1115" t="s">
        <v>3919</v>
      </c>
      <c r="I3318" s="1115" t="n">
        <v>86240</v>
      </c>
      <c r="J3318" s="1115" t="s">
        <v>1225</v>
      </c>
    </row>
    <row r="3319" customFormat="false" ht="14.1" hidden="false" customHeight="true" outlineLevel="0" collapsed="false">
      <c r="A3319" s="1115" t="n">
        <v>86230</v>
      </c>
      <c r="B3319" s="1115" t="s">
        <v>169</v>
      </c>
      <c r="C3319" s="1115" t="n">
        <v>86230</v>
      </c>
      <c r="D3319" s="1115" t="s">
        <v>3907</v>
      </c>
      <c r="E3319" s="1115" t="s">
        <v>161</v>
      </c>
      <c r="F3319" s="1115" t="n">
        <v>33230</v>
      </c>
      <c r="G3319" s="1115" t="n">
        <v>88200</v>
      </c>
      <c r="H3319" s="1115" t="s">
        <v>3422</v>
      </c>
      <c r="I3319" s="1115" t="n">
        <v>86300</v>
      </c>
      <c r="J3319" s="1115" t="s">
        <v>1303</v>
      </c>
    </row>
    <row r="3320" customFormat="false" ht="14.1" hidden="false" customHeight="true" outlineLevel="0" collapsed="false">
      <c r="A3320" s="1115" t="n">
        <v>86240</v>
      </c>
      <c r="B3320" s="1115" t="s">
        <v>169</v>
      </c>
      <c r="C3320" s="1115" t="n">
        <v>86240</v>
      </c>
      <c r="D3320" s="1115" t="s">
        <v>3654</v>
      </c>
      <c r="E3320" s="1115" t="s">
        <v>161</v>
      </c>
      <c r="F3320" s="1115" t="n">
        <v>33240</v>
      </c>
      <c r="G3320" s="1115" t="n">
        <v>88210</v>
      </c>
      <c r="H3320" s="1115" t="s">
        <v>3920</v>
      </c>
      <c r="I3320" s="1115" t="n">
        <v>86310</v>
      </c>
      <c r="J3320" s="1115" t="s">
        <v>1303</v>
      </c>
    </row>
    <row r="3321" customFormat="false" ht="14.1" hidden="false" customHeight="true" outlineLevel="0" collapsed="false">
      <c r="A3321" s="1115" t="n">
        <v>86300</v>
      </c>
      <c r="B3321" s="1115" t="s">
        <v>169</v>
      </c>
      <c r="C3321" s="1115" t="n">
        <v>86300</v>
      </c>
      <c r="D3321" s="1115" t="s">
        <v>1303</v>
      </c>
      <c r="E3321" s="1115" t="s">
        <v>161</v>
      </c>
      <c r="F3321" s="1115" t="n">
        <v>33250</v>
      </c>
      <c r="G3321" s="1115" t="n">
        <v>88250</v>
      </c>
      <c r="H3321" s="1115" t="s">
        <v>2793</v>
      </c>
      <c r="I3321" s="1115" t="n">
        <v>86350</v>
      </c>
      <c r="J3321" s="1115" t="s">
        <v>1303</v>
      </c>
    </row>
    <row r="3322" customFormat="false" ht="14.1" hidden="false" customHeight="true" outlineLevel="0" collapsed="false">
      <c r="A3322" s="1115" t="n">
        <v>86310</v>
      </c>
      <c r="B3322" s="1115" t="s">
        <v>169</v>
      </c>
      <c r="C3322" s="1115" t="n">
        <v>86310</v>
      </c>
      <c r="D3322" s="1115" t="s">
        <v>3427</v>
      </c>
      <c r="E3322" s="1115" t="s">
        <v>161</v>
      </c>
      <c r="F3322" s="1115" t="n">
        <v>33270</v>
      </c>
      <c r="G3322" s="1115" t="n">
        <v>88260</v>
      </c>
      <c r="H3322" s="1115" t="s">
        <v>3786</v>
      </c>
      <c r="I3322" s="1115" t="n">
        <v>86360</v>
      </c>
      <c r="J3322" s="1115" t="s">
        <v>1617</v>
      </c>
    </row>
    <row r="3323" customFormat="false" ht="14.1" hidden="false" customHeight="true" outlineLevel="0" collapsed="false">
      <c r="A3323" s="1115" t="n">
        <v>86350</v>
      </c>
      <c r="B3323" s="1115" t="s">
        <v>169</v>
      </c>
      <c r="C3323" s="1115" t="n">
        <v>86350</v>
      </c>
      <c r="D3323" s="1115" t="s">
        <v>2423</v>
      </c>
      <c r="E3323" s="1115" t="s">
        <v>161</v>
      </c>
      <c r="F3323" s="1115" t="n">
        <v>33300</v>
      </c>
      <c r="G3323" s="1115" t="n">
        <v>88270</v>
      </c>
      <c r="H3323" s="1115" t="s">
        <v>1628</v>
      </c>
      <c r="I3323" s="1115" t="n">
        <v>86400</v>
      </c>
      <c r="J3323" s="1115" t="s">
        <v>1617</v>
      </c>
    </row>
    <row r="3324" customFormat="false" ht="14.1" hidden="false" customHeight="true" outlineLevel="0" collapsed="false">
      <c r="A3324" s="1115" t="n">
        <v>86360</v>
      </c>
      <c r="B3324" s="1115" t="s">
        <v>169</v>
      </c>
      <c r="C3324" s="1115" t="n">
        <v>86360</v>
      </c>
      <c r="D3324" s="1115" t="s">
        <v>1930</v>
      </c>
      <c r="E3324" s="1115" t="s">
        <v>161</v>
      </c>
      <c r="F3324" s="1115" t="n">
        <v>33310</v>
      </c>
      <c r="G3324" s="1115" t="n">
        <v>88280</v>
      </c>
      <c r="H3324" s="1115" t="s">
        <v>2803</v>
      </c>
      <c r="I3324" s="1115" t="n">
        <v>86440</v>
      </c>
      <c r="J3324" s="1115" t="s">
        <v>1617</v>
      </c>
    </row>
    <row r="3325" customFormat="false" ht="14.1" hidden="false" customHeight="true" outlineLevel="0" collapsed="false">
      <c r="A3325" s="1115" t="n">
        <v>86400</v>
      </c>
      <c r="B3325" s="1115" t="s">
        <v>169</v>
      </c>
      <c r="C3325" s="1115" t="n">
        <v>86400</v>
      </c>
      <c r="D3325" s="1115" t="s">
        <v>1617</v>
      </c>
      <c r="E3325" s="1115" t="s">
        <v>161</v>
      </c>
      <c r="F3325" s="1115" t="n">
        <v>33330</v>
      </c>
      <c r="G3325" s="1115" t="n">
        <v>88290</v>
      </c>
      <c r="H3325" s="1115" t="s">
        <v>3394</v>
      </c>
      <c r="I3325" s="1115" t="n">
        <v>86460</v>
      </c>
      <c r="J3325" s="1115" t="s">
        <v>1617</v>
      </c>
    </row>
    <row r="3326" customFormat="false" ht="14.1" hidden="false" customHeight="true" outlineLevel="0" collapsed="false">
      <c r="A3326" s="1115" t="n">
        <v>86440</v>
      </c>
      <c r="B3326" s="1115" t="s">
        <v>169</v>
      </c>
      <c r="C3326" s="1115" t="n">
        <v>86440</v>
      </c>
      <c r="D3326" s="1115" t="s">
        <v>2892</v>
      </c>
      <c r="E3326" s="1115" t="s">
        <v>161</v>
      </c>
      <c r="F3326" s="1115" t="n">
        <v>33340</v>
      </c>
      <c r="G3326" s="1115" t="n">
        <v>88300</v>
      </c>
      <c r="H3326" s="1115" t="s">
        <v>1316</v>
      </c>
      <c r="I3326" s="1115" t="n">
        <v>86470</v>
      </c>
      <c r="J3326" s="1115" t="s">
        <v>1617</v>
      </c>
    </row>
    <row r="3327" customFormat="false" ht="14.1" hidden="false" customHeight="true" outlineLevel="0" collapsed="false">
      <c r="A3327" s="1115" t="n">
        <v>86460</v>
      </c>
      <c r="B3327" s="1115" t="s">
        <v>169</v>
      </c>
      <c r="C3327" s="1115" t="n">
        <v>86460</v>
      </c>
      <c r="D3327" s="1115" t="s">
        <v>886</v>
      </c>
      <c r="E3327" s="1115" t="s">
        <v>161</v>
      </c>
      <c r="F3327" s="1115" t="n">
        <v>33410</v>
      </c>
      <c r="G3327" s="1115" t="n">
        <v>88310</v>
      </c>
      <c r="H3327" s="1115" t="s">
        <v>3160</v>
      </c>
      <c r="I3327" s="1115" t="n">
        <v>86480</v>
      </c>
      <c r="J3327" s="1115" t="s">
        <v>804</v>
      </c>
    </row>
    <row r="3328" customFormat="false" ht="14.1" hidden="false" customHeight="true" outlineLevel="0" collapsed="false">
      <c r="A3328" s="1115" t="n">
        <v>86470</v>
      </c>
      <c r="B3328" s="1115" t="s">
        <v>169</v>
      </c>
      <c r="C3328" s="1115" t="n">
        <v>86470</v>
      </c>
      <c r="D3328" s="1115" t="s">
        <v>3051</v>
      </c>
      <c r="E3328" s="1115" t="s">
        <v>161</v>
      </c>
      <c r="F3328" s="1115" t="n">
        <v>33420</v>
      </c>
      <c r="G3328" s="1115" t="n">
        <v>88320</v>
      </c>
      <c r="H3328" s="1115" t="s">
        <v>1319</v>
      </c>
      <c r="I3328" s="1115" t="n">
        <v>86510</v>
      </c>
      <c r="J3328" s="1115" t="s">
        <v>804</v>
      </c>
    </row>
    <row r="3329" customFormat="false" ht="14.1" hidden="false" customHeight="true" outlineLevel="0" collapsed="false">
      <c r="A3329" s="1115" t="n">
        <v>86480</v>
      </c>
      <c r="B3329" s="1115" t="s">
        <v>169</v>
      </c>
      <c r="C3329" s="1115" t="n">
        <v>86480</v>
      </c>
      <c r="D3329" s="1115" t="s">
        <v>2243</v>
      </c>
      <c r="E3329" s="1115" t="s">
        <v>161</v>
      </c>
      <c r="F3329" s="1115" t="n">
        <v>33500</v>
      </c>
      <c r="G3329" s="1115" t="n">
        <v>88340</v>
      </c>
      <c r="H3329" s="1115" t="s">
        <v>3120</v>
      </c>
      <c r="I3329" s="1115" t="n">
        <v>86530</v>
      </c>
      <c r="J3329" s="1115" t="s">
        <v>804</v>
      </c>
    </row>
    <row r="3330" customFormat="false" ht="14.1" hidden="false" customHeight="true" outlineLevel="0" collapsed="false">
      <c r="A3330" s="1115" t="n">
        <v>86510</v>
      </c>
      <c r="B3330" s="1115" t="s">
        <v>169</v>
      </c>
      <c r="C3330" s="1115" t="n">
        <v>86510</v>
      </c>
      <c r="D3330" s="1115" t="s">
        <v>3156</v>
      </c>
      <c r="E3330" s="1115" t="s">
        <v>161</v>
      </c>
      <c r="F3330" s="1115" t="n">
        <v>33520</v>
      </c>
      <c r="G3330" s="1115" t="n">
        <v>88350</v>
      </c>
      <c r="H3330" s="1115" t="s">
        <v>2449</v>
      </c>
      <c r="I3330" s="1115" t="n">
        <v>86550</v>
      </c>
      <c r="J3330" s="1115" t="s">
        <v>804</v>
      </c>
    </row>
    <row r="3331" customFormat="false" ht="14.1" hidden="false" customHeight="true" outlineLevel="0" collapsed="false">
      <c r="A3331" s="1115" t="n">
        <v>86530</v>
      </c>
      <c r="B3331" s="1115" t="s">
        <v>169</v>
      </c>
      <c r="C3331" s="1115" t="n">
        <v>86530</v>
      </c>
      <c r="D3331" s="1115" t="s">
        <v>898</v>
      </c>
      <c r="E3331" s="1115" t="s">
        <v>161</v>
      </c>
      <c r="F3331" s="1115" t="n">
        <v>33530</v>
      </c>
      <c r="G3331" s="1115" t="n">
        <v>88360</v>
      </c>
      <c r="H3331" s="1115" t="s">
        <v>3893</v>
      </c>
      <c r="I3331" s="1115" t="n">
        <v>86600</v>
      </c>
      <c r="J3331" s="1115" t="s">
        <v>804</v>
      </c>
    </row>
    <row r="3332" customFormat="false" ht="14.1" hidden="false" customHeight="true" outlineLevel="0" collapsed="false">
      <c r="A3332" s="1115" t="n">
        <v>86550</v>
      </c>
      <c r="B3332" s="1115" t="s">
        <v>169</v>
      </c>
      <c r="C3332" s="1115" t="n">
        <v>86550</v>
      </c>
      <c r="D3332" s="1115" t="s">
        <v>3185</v>
      </c>
      <c r="E3332" s="1115" t="s">
        <v>161</v>
      </c>
      <c r="F3332" s="1115" t="n">
        <v>33540</v>
      </c>
      <c r="G3332" s="1115" t="n">
        <v>88380</v>
      </c>
      <c r="H3332" s="1115" t="s">
        <v>3187</v>
      </c>
      <c r="I3332" s="1115" t="n">
        <v>86610</v>
      </c>
      <c r="J3332" s="1115" t="s">
        <v>804</v>
      </c>
    </row>
    <row r="3333" customFormat="false" ht="14.1" hidden="false" customHeight="true" outlineLevel="0" collapsed="false">
      <c r="A3333" s="1115" t="n">
        <v>86600</v>
      </c>
      <c r="B3333" s="1115" t="s">
        <v>169</v>
      </c>
      <c r="C3333" s="1115" t="n">
        <v>86600</v>
      </c>
      <c r="D3333" s="1115" t="s">
        <v>804</v>
      </c>
      <c r="E3333" s="1115" t="s">
        <v>161</v>
      </c>
      <c r="F3333" s="1115" t="n">
        <v>33560</v>
      </c>
      <c r="G3333" s="1115" t="n">
        <v>88400</v>
      </c>
      <c r="H3333" s="1115" t="s">
        <v>1442</v>
      </c>
      <c r="I3333" s="1115" t="n">
        <v>86630</v>
      </c>
      <c r="J3333" s="1115" t="s">
        <v>804</v>
      </c>
    </row>
    <row r="3334" customFormat="false" ht="14.1" hidden="false" customHeight="true" outlineLevel="0" collapsed="false">
      <c r="A3334" s="1115" t="n">
        <v>86610</v>
      </c>
      <c r="B3334" s="1115" t="s">
        <v>169</v>
      </c>
      <c r="C3334" s="1115" t="n">
        <v>86610</v>
      </c>
      <c r="D3334" s="1115" t="s">
        <v>1805</v>
      </c>
      <c r="E3334" s="1115" t="s">
        <v>161</v>
      </c>
      <c r="F3334" s="1115" t="n">
        <v>33580</v>
      </c>
      <c r="G3334" s="1115" t="n">
        <v>88420</v>
      </c>
      <c r="H3334" s="1115" t="s">
        <v>3921</v>
      </c>
      <c r="I3334" s="1115" t="n">
        <v>86650</v>
      </c>
      <c r="J3334" s="1115" t="s">
        <v>804</v>
      </c>
    </row>
    <row r="3335" customFormat="false" ht="14.1" hidden="false" customHeight="true" outlineLevel="0" collapsed="false">
      <c r="A3335" s="1115" t="n">
        <v>86630</v>
      </c>
      <c r="B3335" s="1115" t="s">
        <v>169</v>
      </c>
      <c r="C3335" s="1115" t="n">
        <v>86630</v>
      </c>
      <c r="D3335" s="1115" t="s">
        <v>795</v>
      </c>
      <c r="E3335" s="1115" t="s">
        <v>161</v>
      </c>
      <c r="F3335" s="1115" t="n">
        <v>33610</v>
      </c>
      <c r="G3335" s="1115" t="n">
        <v>88440</v>
      </c>
      <c r="H3335" s="1115" t="s">
        <v>2016</v>
      </c>
      <c r="I3335" s="1115" t="n">
        <v>86660</v>
      </c>
      <c r="J3335" s="1115" t="s">
        <v>804</v>
      </c>
    </row>
    <row r="3336" customFormat="false" ht="14.1" hidden="false" customHeight="true" outlineLevel="0" collapsed="false">
      <c r="A3336" s="1115" t="n">
        <v>86650</v>
      </c>
      <c r="B3336" s="1115" t="s">
        <v>169</v>
      </c>
      <c r="C3336" s="1115" t="n">
        <v>86650</v>
      </c>
      <c r="D3336" s="1115" t="s">
        <v>2795</v>
      </c>
      <c r="E3336" s="1115" t="s">
        <v>161</v>
      </c>
      <c r="F3336" s="1115" t="n">
        <v>33680</v>
      </c>
      <c r="G3336" s="1115" t="n">
        <v>88460</v>
      </c>
      <c r="H3336" s="1115" t="s">
        <v>1696</v>
      </c>
      <c r="I3336" s="1115" t="n">
        <v>86680</v>
      </c>
      <c r="J3336" s="1115" t="s">
        <v>804</v>
      </c>
    </row>
    <row r="3337" customFormat="false" ht="14.1" hidden="false" customHeight="true" outlineLevel="0" collapsed="false">
      <c r="A3337" s="1115" t="n">
        <v>86660</v>
      </c>
      <c r="B3337" s="1115" t="s">
        <v>169</v>
      </c>
      <c r="C3337" s="1115" t="n">
        <v>86660</v>
      </c>
      <c r="D3337" s="1115" t="s">
        <v>2029</v>
      </c>
      <c r="E3337" s="1115" t="s">
        <v>161</v>
      </c>
      <c r="F3337" s="1115" t="n">
        <v>33700</v>
      </c>
      <c r="G3337" s="1115" t="n">
        <v>88470</v>
      </c>
      <c r="H3337" s="1115" t="s">
        <v>2544</v>
      </c>
      <c r="I3337" s="1115" t="n">
        <v>86690</v>
      </c>
      <c r="J3337" s="1115" t="s">
        <v>804</v>
      </c>
    </row>
    <row r="3338" customFormat="false" ht="14.1" hidden="false" customHeight="true" outlineLevel="0" collapsed="false">
      <c r="A3338" s="1115" t="n">
        <v>86680</v>
      </c>
      <c r="B3338" s="1115" t="s">
        <v>169</v>
      </c>
      <c r="C3338" s="1115" t="n">
        <v>86680</v>
      </c>
      <c r="D3338" s="1115" t="s">
        <v>3910</v>
      </c>
      <c r="E3338" s="1115" t="s">
        <v>161</v>
      </c>
      <c r="F3338" s="1115" t="n">
        <v>33710</v>
      </c>
      <c r="G3338" s="1115" t="n">
        <v>88490</v>
      </c>
      <c r="H3338" s="1115" t="s">
        <v>3595</v>
      </c>
      <c r="I3338" s="1115" t="n">
        <v>86710</v>
      </c>
      <c r="J3338" s="1115" t="s">
        <v>1143</v>
      </c>
    </row>
    <row r="3339" customFormat="false" ht="14.1" hidden="false" customHeight="true" outlineLevel="0" collapsed="false">
      <c r="A3339" s="1115" t="n">
        <v>86690</v>
      </c>
      <c r="B3339" s="1115" t="s">
        <v>169</v>
      </c>
      <c r="C3339" s="1115" t="n">
        <v>86690</v>
      </c>
      <c r="D3339" s="1115" t="s">
        <v>2271</v>
      </c>
      <c r="E3339" s="1115" t="s">
        <v>161</v>
      </c>
      <c r="F3339" s="1115" t="n">
        <v>33720</v>
      </c>
      <c r="G3339" s="1115" t="n">
        <v>88530</v>
      </c>
      <c r="H3339" s="1115" t="s">
        <v>3439</v>
      </c>
      <c r="I3339" s="1115" t="n">
        <v>86715</v>
      </c>
      <c r="J3339" s="1115" t="s">
        <v>1143</v>
      </c>
    </row>
    <row r="3340" customFormat="false" ht="14.1" hidden="false" customHeight="true" outlineLevel="0" collapsed="false">
      <c r="A3340" s="1115" t="n">
        <v>86710</v>
      </c>
      <c r="B3340" s="1115" t="s">
        <v>169</v>
      </c>
      <c r="C3340" s="1115" t="n">
        <v>86710</v>
      </c>
      <c r="D3340" s="1115" t="s">
        <v>1143</v>
      </c>
      <c r="E3340" s="1115" t="s">
        <v>161</v>
      </c>
      <c r="F3340" s="1115" t="n">
        <v>33730</v>
      </c>
      <c r="G3340" s="1115" t="n">
        <v>88600</v>
      </c>
      <c r="H3340" s="1115" t="s">
        <v>1511</v>
      </c>
      <c r="I3340" s="1115" t="n">
        <v>86750</v>
      </c>
      <c r="J3340" s="1115" t="s">
        <v>1143</v>
      </c>
    </row>
    <row r="3341" customFormat="false" ht="14.1" hidden="false" customHeight="true" outlineLevel="0" collapsed="false">
      <c r="A3341" s="1115" t="n">
        <v>86715</v>
      </c>
      <c r="B3341" s="1115" t="s">
        <v>169</v>
      </c>
      <c r="C3341" s="1115" t="n">
        <v>86715</v>
      </c>
      <c r="D3341" s="1115" t="s">
        <v>3726</v>
      </c>
      <c r="E3341" s="1115" t="s">
        <v>161</v>
      </c>
      <c r="F3341" s="1115" t="n">
        <v>33800</v>
      </c>
      <c r="G3341" s="1115" t="n">
        <v>88610</v>
      </c>
      <c r="H3341" s="1115" t="s">
        <v>3922</v>
      </c>
      <c r="I3341" s="1115" t="n">
        <v>86760</v>
      </c>
      <c r="J3341" s="1115" t="s">
        <v>1143</v>
      </c>
    </row>
    <row r="3342" customFormat="false" ht="14.1" hidden="false" customHeight="true" outlineLevel="0" collapsed="false">
      <c r="A3342" s="1115" t="n">
        <v>86750</v>
      </c>
      <c r="B3342" s="1115" t="s">
        <v>169</v>
      </c>
      <c r="C3342" s="1115" t="n">
        <v>86750</v>
      </c>
      <c r="D3342" s="1115" t="s">
        <v>3830</v>
      </c>
      <c r="E3342" s="1115" t="s">
        <v>161</v>
      </c>
      <c r="F3342" s="1115" t="n">
        <v>33820</v>
      </c>
      <c r="G3342" s="1115" t="n">
        <v>88615</v>
      </c>
      <c r="H3342" s="1115" t="s">
        <v>3923</v>
      </c>
      <c r="I3342" s="1115" t="n">
        <v>86770</v>
      </c>
      <c r="J3342" s="1115" t="s">
        <v>1143</v>
      </c>
    </row>
    <row r="3343" customFormat="false" ht="14.1" hidden="false" customHeight="true" outlineLevel="0" collapsed="false">
      <c r="A3343" s="1115" t="n">
        <v>86760</v>
      </c>
      <c r="B3343" s="1115" t="s">
        <v>169</v>
      </c>
      <c r="C3343" s="1115" t="n">
        <v>86760</v>
      </c>
      <c r="D3343" s="1115" t="s">
        <v>3192</v>
      </c>
      <c r="E3343" s="1115" t="s">
        <v>161</v>
      </c>
      <c r="F3343" s="1115" t="n">
        <v>33840</v>
      </c>
      <c r="G3343" s="1115" t="n">
        <v>88640</v>
      </c>
      <c r="H3343" s="1115" t="s">
        <v>3405</v>
      </c>
      <c r="I3343" s="1115" t="n">
        <v>86790</v>
      </c>
      <c r="J3343" s="1115" t="s">
        <v>1143</v>
      </c>
    </row>
    <row r="3344" customFormat="false" ht="14.1" hidden="false" customHeight="true" outlineLevel="0" collapsed="false">
      <c r="A3344" s="1115" t="n">
        <v>86770</v>
      </c>
      <c r="B3344" s="1115" t="s">
        <v>169</v>
      </c>
      <c r="C3344" s="1115" t="n">
        <v>86770</v>
      </c>
      <c r="D3344" s="1115" t="s">
        <v>3059</v>
      </c>
      <c r="E3344" s="1115" t="s">
        <v>161</v>
      </c>
      <c r="F3344" s="1115" t="n">
        <v>33850</v>
      </c>
      <c r="G3344" s="1115" t="n">
        <v>88650</v>
      </c>
      <c r="H3344" s="1115" t="s">
        <v>2226</v>
      </c>
      <c r="I3344" s="1115" t="n">
        <v>86800</v>
      </c>
      <c r="J3344" s="1115" t="s">
        <v>1390</v>
      </c>
    </row>
    <row r="3345" customFormat="false" ht="14.1" hidden="false" customHeight="true" outlineLevel="0" collapsed="false">
      <c r="A3345" s="1115" t="n">
        <v>86790</v>
      </c>
      <c r="B3345" s="1115" t="s">
        <v>169</v>
      </c>
      <c r="C3345" s="1115" t="n">
        <v>86790</v>
      </c>
      <c r="D3345" s="1115" t="s">
        <v>3913</v>
      </c>
      <c r="E3345" s="1115" t="s">
        <v>161</v>
      </c>
      <c r="F3345" s="1115" t="n">
        <v>33900</v>
      </c>
      <c r="G3345" s="1115" t="n">
        <v>88670</v>
      </c>
      <c r="H3345" s="1115" t="s">
        <v>2065</v>
      </c>
      <c r="I3345" s="1115" t="n">
        <v>86810</v>
      </c>
      <c r="J3345" s="1115" t="s">
        <v>1390</v>
      </c>
    </row>
    <row r="3346" customFormat="false" ht="14.1" hidden="false" customHeight="true" outlineLevel="0" collapsed="false">
      <c r="A3346" s="1115" t="n">
        <v>86800</v>
      </c>
      <c r="B3346" s="1115" t="s">
        <v>169</v>
      </c>
      <c r="C3346" s="1115" t="n">
        <v>86800</v>
      </c>
      <c r="D3346" s="1115" t="s">
        <v>3657</v>
      </c>
      <c r="E3346" s="1115" t="s">
        <v>2831</v>
      </c>
      <c r="F3346" s="1115" t="n">
        <v>42610</v>
      </c>
      <c r="G3346" s="1115" t="n">
        <v>88690</v>
      </c>
      <c r="H3346" s="1115" t="s">
        <v>3103</v>
      </c>
      <c r="I3346" s="1115" t="n">
        <v>86820</v>
      </c>
      <c r="J3346" s="1115" t="s">
        <v>1390</v>
      </c>
    </row>
    <row r="3347" customFormat="false" ht="14.1" hidden="false" customHeight="true" outlineLevel="0" collapsed="false">
      <c r="A3347" s="1115" t="n">
        <v>86810</v>
      </c>
      <c r="B3347" s="1115" t="s">
        <v>169</v>
      </c>
      <c r="C3347" s="1115" t="n">
        <v>86810</v>
      </c>
      <c r="D3347" s="1115" t="s">
        <v>1390</v>
      </c>
      <c r="E3347" s="1115" t="s">
        <v>3924</v>
      </c>
      <c r="F3347" s="1115" t="n">
        <v>99640</v>
      </c>
      <c r="G3347" s="1115" t="n">
        <v>88730</v>
      </c>
      <c r="H3347" s="1115" t="s">
        <v>3925</v>
      </c>
      <c r="I3347" s="1115" t="n">
        <v>86840</v>
      </c>
      <c r="J3347" s="1115" t="s">
        <v>1390</v>
      </c>
    </row>
    <row r="3348" customFormat="false" ht="14.1" hidden="false" customHeight="true" outlineLevel="0" collapsed="false">
      <c r="A3348" s="1115" t="n">
        <v>86820</v>
      </c>
      <c r="B3348" s="1115" t="s">
        <v>169</v>
      </c>
      <c r="C3348" s="1115" t="n">
        <v>86820</v>
      </c>
      <c r="D3348" s="1115" t="s">
        <v>2883</v>
      </c>
      <c r="E3348" s="1115" t="s">
        <v>3288</v>
      </c>
      <c r="F3348" s="1115" t="n">
        <v>58460</v>
      </c>
      <c r="G3348" s="1115" t="n">
        <v>88810</v>
      </c>
      <c r="H3348" s="1115" t="s">
        <v>3764</v>
      </c>
      <c r="I3348" s="1115" t="n">
        <v>86850</v>
      </c>
      <c r="J3348" s="1115" t="s">
        <v>1390</v>
      </c>
    </row>
    <row r="3349" customFormat="false" ht="14.1" hidden="false" customHeight="true" outlineLevel="0" collapsed="false">
      <c r="A3349" s="1115" t="n">
        <v>86840</v>
      </c>
      <c r="B3349" s="1115" t="s">
        <v>169</v>
      </c>
      <c r="C3349" s="1115" t="n">
        <v>86840</v>
      </c>
      <c r="D3349" s="1115" t="s">
        <v>2819</v>
      </c>
      <c r="E3349" s="1115" t="s">
        <v>3179</v>
      </c>
      <c r="F3349" s="1115" t="n">
        <v>54380</v>
      </c>
      <c r="G3349" s="1115" t="n">
        <v>88820</v>
      </c>
      <c r="H3349" s="1115" t="s">
        <v>2306</v>
      </c>
      <c r="I3349" s="1115" t="n">
        <v>86870</v>
      </c>
      <c r="J3349" s="1115" t="s">
        <v>1390</v>
      </c>
    </row>
    <row r="3350" customFormat="false" ht="14.1" hidden="false" customHeight="true" outlineLevel="0" collapsed="false">
      <c r="A3350" s="1115" t="n">
        <v>86850</v>
      </c>
      <c r="B3350" s="1115" t="s">
        <v>169</v>
      </c>
      <c r="C3350" s="1115" t="n">
        <v>86850</v>
      </c>
      <c r="D3350" s="1115" t="s">
        <v>1689</v>
      </c>
      <c r="E3350" s="1115" t="s">
        <v>3926</v>
      </c>
      <c r="F3350" s="1115" t="n">
        <v>99695</v>
      </c>
      <c r="G3350" s="1115" t="n">
        <v>88840</v>
      </c>
      <c r="H3350" s="1115" t="s">
        <v>2747</v>
      </c>
      <c r="I3350" s="1115" t="n">
        <v>86900</v>
      </c>
      <c r="J3350" s="1115" t="s">
        <v>1390</v>
      </c>
    </row>
    <row r="3351" customFormat="false" ht="14.1" hidden="false" customHeight="true" outlineLevel="0" collapsed="false">
      <c r="A3351" s="1115" t="n">
        <v>86870</v>
      </c>
      <c r="B3351" s="1115" t="s">
        <v>169</v>
      </c>
      <c r="C3351" s="1115" t="n">
        <v>86870</v>
      </c>
      <c r="D3351" s="1115" t="s">
        <v>3916</v>
      </c>
      <c r="E3351" s="1115" t="s">
        <v>2767</v>
      </c>
      <c r="F3351" s="1115" t="n">
        <v>41395</v>
      </c>
      <c r="G3351" s="1115" t="n">
        <v>88850</v>
      </c>
      <c r="H3351" s="1115" t="s">
        <v>2189</v>
      </c>
      <c r="I3351" s="1115" t="n">
        <v>86920</v>
      </c>
      <c r="J3351" s="1115" t="s">
        <v>1390</v>
      </c>
    </row>
    <row r="3352" customFormat="false" ht="14.1" hidden="false" customHeight="true" outlineLevel="0" collapsed="false">
      <c r="A3352" s="1115" t="n">
        <v>86900</v>
      </c>
      <c r="B3352" s="1115" t="s">
        <v>169</v>
      </c>
      <c r="C3352" s="1115" t="n">
        <v>86900</v>
      </c>
      <c r="D3352" s="1115" t="s">
        <v>3652</v>
      </c>
      <c r="E3352" s="1115" t="s">
        <v>3927</v>
      </c>
      <c r="F3352" s="1115" t="n">
        <v>91240</v>
      </c>
      <c r="G3352" s="1115" t="n">
        <v>88900</v>
      </c>
      <c r="H3352" s="1115" t="s">
        <v>1117</v>
      </c>
      <c r="I3352" s="1115" t="n">
        <v>86970</v>
      </c>
      <c r="J3352" s="1115" t="s">
        <v>1390</v>
      </c>
    </row>
    <row r="3353" customFormat="false" ht="14.1" hidden="false" customHeight="true" outlineLevel="0" collapsed="false">
      <c r="A3353" s="1115" t="n">
        <v>86920</v>
      </c>
      <c r="B3353" s="1115" t="s">
        <v>169</v>
      </c>
      <c r="C3353" s="1115" t="n">
        <v>86920</v>
      </c>
      <c r="D3353" s="1115" t="s">
        <v>2755</v>
      </c>
      <c r="E3353" s="1115" t="s">
        <v>3928</v>
      </c>
      <c r="F3353" s="1115" t="n">
        <v>97280</v>
      </c>
      <c r="G3353" s="1115" t="n">
        <v>88930</v>
      </c>
      <c r="H3353" s="1115" t="s">
        <v>2956</v>
      </c>
      <c r="I3353" s="1115" t="n">
        <v>86980</v>
      </c>
      <c r="J3353" s="1115" t="s">
        <v>1390</v>
      </c>
    </row>
    <row r="3354" customFormat="false" ht="14.1" hidden="false" customHeight="true" outlineLevel="0" collapsed="false">
      <c r="A3354" s="1115" t="n">
        <v>86970</v>
      </c>
      <c r="B3354" s="1115" t="s">
        <v>169</v>
      </c>
      <c r="C3354" s="1115" t="n">
        <v>86970</v>
      </c>
      <c r="D3354" s="1115" t="s">
        <v>3917</v>
      </c>
      <c r="E3354" s="1115" t="s">
        <v>2627</v>
      </c>
      <c r="F3354" s="1115" t="n">
        <v>38260</v>
      </c>
      <c r="G3354" s="1115" t="n">
        <v>89110</v>
      </c>
      <c r="H3354" s="1115" t="s">
        <v>3929</v>
      </c>
      <c r="I3354" s="1115" t="n">
        <v>87007</v>
      </c>
      <c r="J3354" s="1115" t="s">
        <v>168</v>
      </c>
    </row>
    <row r="3355" customFormat="false" ht="14.1" hidden="false" customHeight="true" outlineLevel="0" collapsed="false">
      <c r="A3355" s="1115" t="n">
        <v>86980</v>
      </c>
      <c r="B3355" s="1115" t="s">
        <v>169</v>
      </c>
      <c r="C3355" s="1115" t="n">
        <v>86980</v>
      </c>
      <c r="D3355" s="1115" t="s">
        <v>3918</v>
      </c>
      <c r="E3355" s="1115" t="s">
        <v>3930</v>
      </c>
      <c r="F3355" s="1115" t="n">
        <v>98350</v>
      </c>
      <c r="G3355" s="1115" t="n">
        <v>89120</v>
      </c>
      <c r="H3355" s="1115" t="s">
        <v>2208</v>
      </c>
      <c r="I3355" s="1115" t="n">
        <v>87100</v>
      </c>
      <c r="J3355" s="1115" t="s">
        <v>168</v>
      </c>
    </row>
    <row r="3356" customFormat="false" ht="14.1" hidden="false" customHeight="true" outlineLevel="0" collapsed="false">
      <c r="A3356" s="1115" t="n">
        <v>87007</v>
      </c>
      <c r="B3356" s="1115" t="s">
        <v>168</v>
      </c>
      <c r="C3356" s="1115" t="n">
        <v>87007</v>
      </c>
      <c r="D3356" s="1115" t="s">
        <v>168</v>
      </c>
      <c r="E3356" s="1115" t="s">
        <v>3931</v>
      </c>
      <c r="F3356" s="1115" t="n">
        <v>95940</v>
      </c>
      <c r="G3356" s="1115" t="n">
        <v>89130</v>
      </c>
      <c r="H3356" s="1115" t="s">
        <v>3932</v>
      </c>
      <c r="I3356" s="1115" t="n">
        <v>87140</v>
      </c>
      <c r="J3356" s="1115" t="s">
        <v>168</v>
      </c>
    </row>
    <row r="3357" customFormat="false" ht="14.1" hidden="false" customHeight="true" outlineLevel="0" collapsed="false">
      <c r="A3357" s="1115" t="n">
        <v>87100</v>
      </c>
      <c r="B3357" s="1115" t="s">
        <v>168</v>
      </c>
      <c r="C3357" s="1115" t="n">
        <v>87100</v>
      </c>
      <c r="D3357" s="1115" t="s">
        <v>168</v>
      </c>
      <c r="E3357" s="1115" t="s">
        <v>3671</v>
      </c>
      <c r="F3357" s="1115" t="n">
        <v>71880</v>
      </c>
      <c r="G3357" s="1115" t="n">
        <v>89140</v>
      </c>
      <c r="H3357" s="1115" t="s">
        <v>2614</v>
      </c>
      <c r="I3357" s="1115" t="n">
        <v>87150</v>
      </c>
      <c r="J3357" s="1115" t="s">
        <v>168</v>
      </c>
    </row>
    <row r="3358" customFormat="false" ht="14.1" hidden="false" customHeight="true" outlineLevel="0" collapsed="false">
      <c r="A3358" s="1115" t="n">
        <v>87140</v>
      </c>
      <c r="B3358" s="1115" t="s">
        <v>168</v>
      </c>
      <c r="C3358" s="1115" t="n">
        <v>87140</v>
      </c>
      <c r="D3358" s="1115" t="s">
        <v>168</v>
      </c>
      <c r="E3358" s="1115" t="s">
        <v>3340</v>
      </c>
      <c r="F3358" s="1115" t="n">
        <v>59610</v>
      </c>
      <c r="G3358" s="1115" t="n">
        <v>89150</v>
      </c>
      <c r="H3358" s="1115" t="s">
        <v>2942</v>
      </c>
      <c r="I3358" s="1115" t="n">
        <v>87200</v>
      </c>
      <c r="J3358" s="1115" t="s">
        <v>168</v>
      </c>
    </row>
    <row r="3359" customFormat="false" ht="14.1" hidden="false" customHeight="true" outlineLevel="0" collapsed="false">
      <c r="A3359" s="1115" t="n">
        <v>87150</v>
      </c>
      <c r="B3359" s="1115" t="s">
        <v>168</v>
      </c>
      <c r="C3359" s="1115" t="n">
        <v>87150</v>
      </c>
      <c r="D3359" s="1115" t="s">
        <v>168</v>
      </c>
      <c r="E3359" s="1115" t="s">
        <v>2615</v>
      </c>
      <c r="F3359" s="1115" t="n">
        <v>37770</v>
      </c>
      <c r="G3359" s="1115" t="n">
        <v>89200</v>
      </c>
      <c r="H3359" s="1115" t="s">
        <v>1382</v>
      </c>
      <c r="I3359" s="1115" t="n">
        <v>87300</v>
      </c>
      <c r="J3359" s="1115" t="s">
        <v>168</v>
      </c>
    </row>
    <row r="3360" customFormat="false" ht="14.1" hidden="false" customHeight="true" outlineLevel="0" collapsed="false">
      <c r="A3360" s="1115" t="n">
        <v>87200</v>
      </c>
      <c r="B3360" s="1115" t="s">
        <v>168</v>
      </c>
      <c r="C3360" s="1115" t="n">
        <v>87200</v>
      </c>
      <c r="D3360" s="1115" t="s">
        <v>168</v>
      </c>
      <c r="E3360" s="1115" t="s">
        <v>2854</v>
      </c>
      <c r="F3360" s="1115" t="n">
        <v>43130</v>
      </c>
      <c r="G3360" s="1115" t="n">
        <v>89210</v>
      </c>
      <c r="H3360" s="1115" t="s">
        <v>3637</v>
      </c>
      <c r="I3360" s="1115" t="n">
        <v>87400</v>
      </c>
      <c r="J3360" s="1115" t="s">
        <v>168</v>
      </c>
    </row>
    <row r="3361" customFormat="false" ht="14.1" hidden="false" customHeight="true" outlineLevel="0" collapsed="false">
      <c r="A3361" s="1115" t="n">
        <v>87300</v>
      </c>
      <c r="B3361" s="1115" t="s">
        <v>168</v>
      </c>
      <c r="C3361" s="1115" t="n">
        <v>87300</v>
      </c>
      <c r="D3361" s="1115" t="s">
        <v>168</v>
      </c>
      <c r="E3361" s="1115" t="s">
        <v>1556</v>
      </c>
      <c r="F3361" s="1115" t="n">
        <v>21450</v>
      </c>
      <c r="G3361" s="1115" t="n">
        <v>89230</v>
      </c>
      <c r="H3361" s="1115" t="s">
        <v>3585</v>
      </c>
      <c r="I3361" s="1115" t="n">
        <v>87500</v>
      </c>
      <c r="J3361" s="1115" t="s">
        <v>168</v>
      </c>
    </row>
    <row r="3362" customFormat="false" ht="14.1" hidden="false" customHeight="true" outlineLevel="0" collapsed="false">
      <c r="A3362" s="1115" t="n">
        <v>87400</v>
      </c>
      <c r="B3362" s="1115" t="s">
        <v>168</v>
      </c>
      <c r="C3362" s="1115" t="n">
        <v>87400</v>
      </c>
      <c r="D3362" s="1115" t="s">
        <v>168</v>
      </c>
      <c r="E3362" s="1115" t="s">
        <v>3430</v>
      </c>
      <c r="F3362" s="1115" t="n">
        <v>62610</v>
      </c>
      <c r="G3362" s="1115" t="n">
        <v>89250</v>
      </c>
      <c r="H3362" s="1115" t="s">
        <v>3444</v>
      </c>
      <c r="I3362" s="1115" t="n">
        <v>87600</v>
      </c>
      <c r="J3362" s="1115" t="s">
        <v>168</v>
      </c>
    </row>
    <row r="3363" customFormat="false" ht="14.1" hidden="false" customHeight="true" outlineLevel="0" collapsed="false">
      <c r="A3363" s="1115" t="n">
        <v>87500</v>
      </c>
      <c r="B3363" s="1115" t="s">
        <v>168</v>
      </c>
      <c r="C3363" s="1115" t="n">
        <v>87500</v>
      </c>
      <c r="D3363" s="1115" t="s">
        <v>168</v>
      </c>
      <c r="E3363" s="1115" t="s">
        <v>3601</v>
      </c>
      <c r="F3363" s="1115" t="n">
        <v>68420</v>
      </c>
      <c r="G3363" s="1115" t="n">
        <v>89310</v>
      </c>
      <c r="H3363" s="1115" t="s">
        <v>3661</v>
      </c>
      <c r="I3363" s="1115" t="n">
        <v>87830</v>
      </c>
      <c r="J3363" s="1115" t="s">
        <v>168</v>
      </c>
    </row>
    <row r="3364" customFormat="false" ht="14.1" hidden="false" customHeight="true" outlineLevel="0" collapsed="false">
      <c r="A3364" s="1115" t="n">
        <v>87600</v>
      </c>
      <c r="B3364" s="1115" t="s">
        <v>168</v>
      </c>
      <c r="C3364" s="1115" t="n">
        <v>87600</v>
      </c>
      <c r="D3364" s="1115" t="s">
        <v>168</v>
      </c>
      <c r="E3364" s="1115" t="s">
        <v>2770</v>
      </c>
      <c r="F3364" s="1115" t="n">
        <v>41420</v>
      </c>
      <c r="G3364" s="1115" t="n">
        <v>89320</v>
      </c>
      <c r="H3364" s="1115" t="s">
        <v>2027</v>
      </c>
      <c r="I3364" s="1115" t="n">
        <v>87850</v>
      </c>
      <c r="J3364" s="1115" t="s">
        <v>168</v>
      </c>
    </row>
    <row r="3365" customFormat="false" ht="14.1" hidden="false" customHeight="true" outlineLevel="0" collapsed="false">
      <c r="A3365" s="1115" t="n">
        <v>87830</v>
      </c>
      <c r="B3365" s="1115" t="s">
        <v>168</v>
      </c>
      <c r="C3365" s="1115" t="n">
        <v>87830</v>
      </c>
      <c r="D3365" s="1115" t="s">
        <v>3285</v>
      </c>
      <c r="E3365" s="1115" t="s">
        <v>1723</v>
      </c>
      <c r="F3365" s="1115" t="n">
        <v>16240</v>
      </c>
      <c r="G3365" s="1115" t="n">
        <v>89330</v>
      </c>
      <c r="H3365" s="1115" t="s">
        <v>3886</v>
      </c>
      <c r="I3365" s="1115" t="n">
        <v>87870</v>
      </c>
      <c r="J3365" s="1115" t="s">
        <v>168</v>
      </c>
    </row>
    <row r="3366" customFormat="false" ht="14.1" hidden="false" customHeight="true" outlineLevel="0" collapsed="false">
      <c r="A3366" s="1115" t="n">
        <v>87850</v>
      </c>
      <c r="B3366" s="1115" t="s">
        <v>168</v>
      </c>
      <c r="C3366" s="1115" t="n">
        <v>87850</v>
      </c>
      <c r="D3366" s="1115" t="s">
        <v>3483</v>
      </c>
      <c r="E3366" s="1115" t="s">
        <v>3016</v>
      </c>
      <c r="F3366" s="1115" t="n">
        <v>49300</v>
      </c>
      <c r="G3366" s="1115" t="n">
        <v>89350</v>
      </c>
      <c r="H3366" s="1115" t="s">
        <v>3078</v>
      </c>
      <c r="I3366" s="1115" t="n">
        <v>88110</v>
      </c>
      <c r="J3366" s="1115" t="s">
        <v>1511</v>
      </c>
    </row>
    <row r="3367" customFormat="false" ht="14.1" hidden="false" customHeight="true" outlineLevel="0" collapsed="false">
      <c r="A3367" s="1115" t="n">
        <v>87870</v>
      </c>
      <c r="B3367" s="1115" t="s">
        <v>168</v>
      </c>
      <c r="C3367" s="1115" t="n">
        <v>87870</v>
      </c>
      <c r="D3367" s="1115" t="s">
        <v>2026</v>
      </c>
      <c r="E3367" s="1115" t="s">
        <v>3933</v>
      </c>
      <c r="F3367" s="1115" t="n">
        <v>92910</v>
      </c>
      <c r="G3367" s="1115" t="n">
        <v>89400</v>
      </c>
      <c r="H3367" s="1115" t="s">
        <v>863</v>
      </c>
      <c r="I3367" s="1115" t="n">
        <v>88120</v>
      </c>
      <c r="J3367" s="1115" t="s">
        <v>1511</v>
      </c>
    </row>
    <row r="3368" customFormat="false" ht="14.1" hidden="false" customHeight="true" outlineLevel="0" collapsed="false">
      <c r="A3368" s="1115" t="n">
        <v>88110</v>
      </c>
      <c r="B3368" s="1115" t="s">
        <v>168</v>
      </c>
      <c r="C3368" s="1115" t="n">
        <v>88110</v>
      </c>
      <c r="D3368" s="1115" t="s">
        <v>2558</v>
      </c>
      <c r="E3368" s="1115" t="s">
        <v>3663</v>
      </c>
      <c r="F3368" s="1115" t="n">
        <v>71740</v>
      </c>
      <c r="G3368" s="1115" t="n">
        <v>89430</v>
      </c>
      <c r="H3368" s="1115" t="s">
        <v>1742</v>
      </c>
      <c r="I3368" s="1115" t="n">
        <v>88200</v>
      </c>
      <c r="J3368" s="1115" t="s">
        <v>1511</v>
      </c>
    </row>
    <row r="3369" customFormat="false" ht="14.1" hidden="false" customHeight="true" outlineLevel="0" collapsed="false">
      <c r="A3369" s="1115" t="n">
        <v>88120</v>
      </c>
      <c r="B3369" s="1115" t="s">
        <v>168</v>
      </c>
      <c r="C3369" s="1115" t="n">
        <v>88120</v>
      </c>
      <c r="D3369" s="1115" t="s">
        <v>3919</v>
      </c>
      <c r="E3369" s="1115" t="s">
        <v>3331</v>
      </c>
      <c r="F3369" s="1115" t="n">
        <v>58960</v>
      </c>
      <c r="G3369" s="1115" t="n">
        <v>89440</v>
      </c>
      <c r="H3369" s="1115" t="s">
        <v>3801</v>
      </c>
      <c r="I3369" s="1115" t="n">
        <v>88210</v>
      </c>
      <c r="J3369" s="1115" t="s">
        <v>1511</v>
      </c>
    </row>
    <row r="3370" customFormat="false" ht="14.1" hidden="false" customHeight="true" outlineLevel="0" collapsed="false">
      <c r="A3370" s="1115" t="n">
        <v>88200</v>
      </c>
      <c r="B3370" s="1115" t="s">
        <v>168</v>
      </c>
      <c r="C3370" s="1115" t="n">
        <v>88200</v>
      </c>
      <c r="D3370" s="1115" t="s">
        <v>3422</v>
      </c>
      <c r="E3370" s="1115" t="s">
        <v>3606</v>
      </c>
      <c r="F3370" s="1115" t="n">
        <v>68700</v>
      </c>
      <c r="G3370" s="1115" t="n">
        <v>89520</v>
      </c>
      <c r="H3370" s="1115" t="s">
        <v>2785</v>
      </c>
      <c r="I3370" s="1115" t="n">
        <v>88250</v>
      </c>
      <c r="J3370" s="1115" t="s">
        <v>1511</v>
      </c>
    </row>
    <row r="3371" customFormat="false" ht="14.1" hidden="false" customHeight="true" outlineLevel="0" collapsed="false">
      <c r="A3371" s="1115" t="n">
        <v>88210</v>
      </c>
      <c r="B3371" s="1115" t="s">
        <v>168</v>
      </c>
      <c r="C3371" s="1115" t="n">
        <v>88210</v>
      </c>
      <c r="D3371" s="1115" t="s">
        <v>3920</v>
      </c>
      <c r="E3371" s="1115" t="s">
        <v>3934</v>
      </c>
      <c r="F3371" s="1115" t="n">
        <v>93780</v>
      </c>
      <c r="G3371" s="1115" t="n">
        <v>89530</v>
      </c>
      <c r="H3371" s="1115" t="s">
        <v>1929</v>
      </c>
      <c r="I3371" s="1115" t="n">
        <v>88260</v>
      </c>
      <c r="J3371" s="1115" t="s">
        <v>1511</v>
      </c>
    </row>
    <row r="3372" customFormat="false" ht="14.1" hidden="false" customHeight="true" outlineLevel="0" collapsed="false">
      <c r="A3372" s="1115" t="n">
        <v>88250</v>
      </c>
      <c r="B3372" s="1115" t="s">
        <v>168</v>
      </c>
      <c r="C3372" s="1115" t="n">
        <v>88250</v>
      </c>
      <c r="D3372" s="1115" t="s">
        <v>2793</v>
      </c>
      <c r="E3372" s="1115" t="s">
        <v>1936</v>
      </c>
      <c r="F3372" s="1115" t="n">
        <v>21190</v>
      </c>
      <c r="G3372" s="1115" t="n">
        <v>89540</v>
      </c>
      <c r="H3372" s="1115" t="s">
        <v>3205</v>
      </c>
      <c r="I3372" s="1115" t="n">
        <v>88270</v>
      </c>
      <c r="J3372" s="1115" t="s">
        <v>1511</v>
      </c>
    </row>
    <row r="3373" customFormat="false" ht="14.1" hidden="false" customHeight="true" outlineLevel="0" collapsed="false">
      <c r="A3373" s="1115" t="n">
        <v>88260</v>
      </c>
      <c r="B3373" s="1115" t="s">
        <v>168</v>
      </c>
      <c r="C3373" s="1115" t="n">
        <v>88260</v>
      </c>
      <c r="D3373" s="1115" t="s">
        <v>3786</v>
      </c>
      <c r="E3373" s="1115" t="s">
        <v>2115</v>
      </c>
      <c r="F3373" s="1115" t="n">
        <v>25570</v>
      </c>
      <c r="G3373" s="1115" t="n">
        <v>89560</v>
      </c>
      <c r="H3373" s="1115" t="s">
        <v>2249</v>
      </c>
      <c r="I3373" s="1115" t="n">
        <v>88280</v>
      </c>
      <c r="J3373" s="1115" t="s">
        <v>1511</v>
      </c>
    </row>
    <row r="3374" customFormat="false" ht="14.1" hidden="false" customHeight="true" outlineLevel="0" collapsed="false">
      <c r="A3374" s="1115" t="n">
        <v>88270</v>
      </c>
      <c r="B3374" s="1115" t="s">
        <v>168</v>
      </c>
      <c r="C3374" s="1115" t="n">
        <v>88270</v>
      </c>
      <c r="D3374" s="1115" t="s">
        <v>1628</v>
      </c>
      <c r="E3374" s="1115" t="s">
        <v>2403</v>
      </c>
      <c r="F3374" s="1115" t="n">
        <v>32550</v>
      </c>
      <c r="G3374" s="1115" t="n">
        <v>89600</v>
      </c>
      <c r="H3374" s="1115" t="s">
        <v>3935</v>
      </c>
      <c r="I3374" s="1115" t="n">
        <v>88290</v>
      </c>
      <c r="J3374" s="1115" t="s">
        <v>1511</v>
      </c>
    </row>
    <row r="3375" customFormat="false" ht="14.1" hidden="false" customHeight="true" outlineLevel="0" collapsed="false">
      <c r="A3375" s="1115" t="n">
        <v>88280</v>
      </c>
      <c r="B3375" s="1115" t="s">
        <v>168</v>
      </c>
      <c r="C3375" s="1115" t="n">
        <v>88280</v>
      </c>
      <c r="D3375" s="1115" t="s">
        <v>2803</v>
      </c>
      <c r="E3375" s="1115" t="s">
        <v>3305</v>
      </c>
      <c r="F3375" s="1115" t="n">
        <v>58610</v>
      </c>
      <c r="G3375" s="1115" t="n">
        <v>89605</v>
      </c>
      <c r="H3375" s="1115" t="s">
        <v>3849</v>
      </c>
      <c r="I3375" s="1115" t="n">
        <v>88300</v>
      </c>
      <c r="J3375" s="1115" t="s">
        <v>1316</v>
      </c>
    </row>
    <row r="3376" customFormat="false" ht="14.1" hidden="false" customHeight="true" outlineLevel="0" collapsed="false">
      <c r="A3376" s="1115" t="n">
        <v>88290</v>
      </c>
      <c r="B3376" s="1115" t="s">
        <v>168</v>
      </c>
      <c r="C3376" s="1115" t="n">
        <v>88290</v>
      </c>
      <c r="D3376" s="1115" t="s">
        <v>3394</v>
      </c>
      <c r="E3376" s="1115" t="s">
        <v>3206</v>
      </c>
      <c r="F3376" s="1115" t="n">
        <v>54840</v>
      </c>
      <c r="G3376" s="1115" t="n">
        <v>89610</v>
      </c>
      <c r="H3376" s="1115" t="s">
        <v>2038</v>
      </c>
      <c r="I3376" s="1115" t="n">
        <v>88310</v>
      </c>
      <c r="J3376" s="1115" t="s">
        <v>1316</v>
      </c>
    </row>
    <row r="3377" customFormat="false" ht="14.1" hidden="false" customHeight="true" outlineLevel="0" collapsed="false">
      <c r="A3377" s="1115" t="n">
        <v>88300</v>
      </c>
      <c r="B3377" s="1115" t="s">
        <v>168</v>
      </c>
      <c r="C3377" s="1115" t="n">
        <v>88300</v>
      </c>
      <c r="D3377" s="1115" t="s">
        <v>1316</v>
      </c>
      <c r="E3377" s="1115" t="s">
        <v>3936</v>
      </c>
      <c r="F3377" s="1115" t="n">
        <v>91950</v>
      </c>
      <c r="G3377" s="1115" t="n">
        <v>89620</v>
      </c>
      <c r="H3377" s="1115" t="s">
        <v>3593</v>
      </c>
      <c r="I3377" s="1115" t="n">
        <v>88320</v>
      </c>
      <c r="J3377" s="1115" t="s">
        <v>1316</v>
      </c>
    </row>
    <row r="3378" customFormat="false" ht="14.1" hidden="false" customHeight="true" outlineLevel="0" collapsed="false">
      <c r="A3378" s="1115" t="n">
        <v>88310</v>
      </c>
      <c r="B3378" s="1115" t="s">
        <v>168</v>
      </c>
      <c r="C3378" s="1115" t="n">
        <v>88310</v>
      </c>
      <c r="D3378" s="1115" t="s">
        <v>3160</v>
      </c>
      <c r="E3378" s="1115" t="s">
        <v>1566</v>
      </c>
      <c r="F3378" s="1115" t="n">
        <v>10520</v>
      </c>
      <c r="G3378" s="1115" t="n">
        <v>89630</v>
      </c>
      <c r="H3378" s="1115" t="s">
        <v>2837</v>
      </c>
      <c r="I3378" s="1115" t="n">
        <v>88340</v>
      </c>
      <c r="J3378" s="1115" t="s">
        <v>1587</v>
      </c>
    </row>
    <row r="3379" customFormat="false" ht="14.1" hidden="false" customHeight="true" outlineLevel="0" collapsed="false">
      <c r="A3379" s="1115" t="n">
        <v>88320</v>
      </c>
      <c r="B3379" s="1115" t="s">
        <v>168</v>
      </c>
      <c r="C3379" s="1115" t="n">
        <v>88320</v>
      </c>
      <c r="D3379" s="1115" t="s">
        <v>1319</v>
      </c>
      <c r="E3379" s="1115" t="s">
        <v>1756</v>
      </c>
      <c r="F3379" s="1115" t="n">
        <v>16630</v>
      </c>
      <c r="G3379" s="1115" t="n">
        <v>89640</v>
      </c>
      <c r="H3379" s="1115" t="s">
        <v>3538</v>
      </c>
      <c r="I3379" s="1115" t="n">
        <v>88350</v>
      </c>
      <c r="J3379" s="1115" t="s">
        <v>1587</v>
      </c>
    </row>
    <row r="3380" customFormat="false" ht="14.1" hidden="false" customHeight="true" outlineLevel="0" collapsed="false">
      <c r="A3380" s="1115" t="n">
        <v>88340</v>
      </c>
      <c r="B3380" s="1115" t="s">
        <v>168</v>
      </c>
      <c r="C3380" s="1115" t="n">
        <v>88340</v>
      </c>
      <c r="D3380" s="1115" t="s">
        <v>3120</v>
      </c>
      <c r="E3380" s="1115" t="s">
        <v>3937</v>
      </c>
      <c r="F3380" s="1115" t="n">
        <v>97615</v>
      </c>
      <c r="G3380" s="1115" t="n">
        <v>89660</v>
      </c>
      <c r="H3380" s="1115" t="s">
        <v>3914</v>
      </c>
      <c r="I3380" s="1115" t="n">
        <v>88360</v>
      </c>
      <c r="J3380" s="1115" t="s">
        <v>1587</v>
      </c>
    </row>
    <row r="3381" customFormat="false" ht="14.1" hidden="false" customHeight="true" outlineLevel="0" collapsed="false">
      <c r="A3381" s="1115" t="n">
        <v>88350</v>
      </c>
      <c r="B3381" s="1115" t="s">
        <v>168</v>
      </c>
      <c r="C3381" s="1115" t="n">
        <v>88350</v>
      </c>
      <c r="D3381" s="1115" t="s">
        <v>2449</v>
      </c>
      <c r="E3381" s="1115" t="s">
        <v>3938</v>
      </c>
      <c r="F3381" s="1115" t="n">
        <v>99150</v>
      </c>
      <c r="G3381" s="1115" t="n">
        <v>89670</v>
      </c>
      <c r="H3381" s="1115" t="s">
        <v>3373</v>
      </c>
      <c r="I3381" s="1115" t="n">
        <v>88380</v>
      </c>
      <c r="J3381" s="1115" t="s">
        <v>1587</v>
      </c>
    </row>
    <row r="3382" customFormat="false" ht="14.1" hidden="false" customHeight="true" outlineLevel="0" collapsed="false">
      <c r="A3382" s="1115" t="n">
        <v>88360</v>
      </c>
      <c r="B3382" s="1115" t="s">
        <v>168</v>
      </c>
      <c r="C3382" s="1115" t="n">
        <v>88360</v>
      </c>
      <c r="D3382" s="1115" t="s">
        <v>3893</v>
      </c>
      <c r="E3382" s="1115" t="s">
        <v>3939</v>
      </c>
      <c r="F3382" s="1115" t="n">
        <v>99280</v>
      </c>
      <c r="G3382" s="1115" t="n">
        <v>89680</v>
      </c>
      <c r="H3382" s="1115" t="s">
        <v>3940</v>
      </c>
      <c r="I3382" s="1115" t="n">
        <v>88400</v>
      </c>
      <c r="J3382" s="1115" t="s">
        <v>1442</v>
      </c>
    </row>
    <row r="3383" customFormat="false" ht="14.1" hidden="false" customHeight="true" outlineLevel="0" collapsed="false">
      <c r="A3383" s="1115" t="n">
        <v>88380</v>
      </c>
      <c r="B3383" s="1115" t="s">
        <v>168</v>
      </c>
      <c r="C3383" s="1115" t="n">
        <v>88380</v>
      </c>
      <c r="D3383" s="1115" t="s">
        <v>3187</v>
      </c>
      <c r="E3383" s="1115" t="s">
        <v>2348</v>
      </c>
      <c r="F3383" s="1115" t="n">
        <v>31490</v>
      </c>
      <c r="G3383" s="1115" t="n">
        <v>89730</v>
      </c>
      <c r="H3383" s="1115" t="s">
        <v>722</v>
      </c>
      <c r="I3383" s="1115" t="n">
        <v>88420</v>
      </c>
      <c r="J3383" s="1115" t="s">
        <v>1442</v>
      </c>
    </row>
    <row r="3384" customFormat="false" ht="14.1" hidden="false" customHeight="true" outlineLevel="0" collapsed="false">
      <c r="A3384" s="1115" t="n">
        <v>88400</v>
      </c>
      <c r="B3384" s="1115" t="s">
        <v>168</v>
      </c>
      <c r="C3384" s="1115" t="n">
        <v>88400</v>
      </c>
      <c r="D3384" s="1115" t="s">
        <v>1442</v>
      </c>
      <c r="E3384" s="1115" t="s">
        <v>2633</v>
      </c>
      <c r="F3384" s="1115" t="n">
        <v>38370</v>
      </c>
      <c r="G3384" s="1115" t="n">
        <v>89740</v>
      </c>
      <c r="H3384" s="1115" t="s">
        <v>2401</v>
      </c>
      <c r="I3384" s="1115" t="n">
        <v>88440</v>
      </c>
      <c r="J3384" s="1115" t="s">
        <v>1442</v>
      </c>
    </row>
    <row r="3385" customFormat="false" ht="14.1" hidden="false" customHeight="true" outlineLevel="0" collapsed="false">
      <c r="A3385" s="1115" t="n">
        <v>88420</v>
      </c>
      <c r="B3385" s="1115" t="s">
        <v>168</v>
      </c>
      <c r="C3385" s="1115" t="n">
        <v>88420</v>
      </c>
      <c r="D3385" s="1115" t="s">
        <v>3921</v>
      </c>
      <c r="E3385" s="1115" t="s">
        <v>3567</v>
      </c>
      <c r="F3385" s="1115" t="n">
        <v>66440</v>
      </c>
      <c r="G3385" s="1115" t="n">
        <v>89750</v>
      </c>
      <c r="H3385" s="1115" t="s">
        <v>1288</v>
      </c>
      <c r="I3385" s="1115" t="n">
        <v>88460</v>
      </c>
      <c r="J3385" s="1115" t="s">
        <v>1442</v>
      </c>
    </row>
    <row r="3386" customFormat="false" ht="14.1" hidden="false" customHeight="true" outlineLevel="0" collapsed="false">
      <c r="A3386" s="1115" t="n">
        <v>88440</v>
      </c>
      <c r="B3386" s="1115" t="s">
        <v>168</v>
      </c>
      <c r="C3386" s="1115" t="n">
        <v>88440</v>
      </c>
      <c r="D3386" s="1115" t="s">
        <v>2016</v>
      </c>
      <c r="E3386" s="1115" t="s">
        <v>1601</v>
      </c>
      <c r="F3386" s="1115" t="n">
        <v>12400</v>
      </c>
      <c r="G3386" s="1115" t="n">
        <v>89760</v>
      </c>
      <c r="H3386" s="1115" t="s">
        <v>3576</v>
      </c>
      <c r="I3386" s="1115" t="n">
        <v>88470</v>
      </c>
      <c r="J3386" s="1115" t="s">
        <v>1442</v>
      </c>
    </row>
    <row r="3387" customFormat="false" ht="14.1" hidden="false" customHeight="true" outlineLevel="0" collapsed="false">
      <c r="A3387" s="1115" t="n">
        <v>88460</v>
      </c>
      <c r="B3387" s="1115" t="s">
        <v>168</v>
      </c>
      <c r="C3387" s="1115" t="n">
        <v>88460</v>
      </c>
      <c r="D3387" s="1115" t="s">
        <v>1696</v>
      </c>
      <c r="E3387" s="1115" t="s">
        <v>1174</v>
      </c>
      <c r="F3387" s="1115" t="n">
        <v>3220</v>
      </c>
      <c r="G3387" s="1115" t="n">
        <v>89770</v>
      </c>
      <c r="H3387" s="1115" t="s">
        <v>3525</v>
      </c>
      <c r="I3387" s="1115" t="n">
        <v>88490</v>
      </c>
      <c r="J3387" s="1115" t="s">
        <v>1442</v>
      </c>
    </row>
    <row r="3388" customFormat="false" ht="14.1" hidden="false" customHeight="true" outlineLevel="0" collapsed="false">
      <c r="A3388" s="1115" t="n">
        <v>88470</v>
      </c>
      <c r="B3388" s="1115" t="s">
        <v>168</v>
      </c>
      <c r="C3388" s="1115" t="n">
        <v>88470</v>
      </c>
      <c r="D3388" s="1115" t="s">
        <v>2544</v>
      </c>
      <c r="E3388" s="1115" t="s">
        <v>3852</v>
      </c>
      <c r="F3388" s="1115" t="n">
        <v>82635</v>
      </c>
      <c r="G3388" s="1115" t="n">
        <v>89780</v>
      </c>
      <c r="H3388" s="1115" t="s">
        <v>2139</v>
      </c>
      <c r="I3388" s="1115" t="n">
        <v>88530</v>
      </c>
      <c r="J3388" s="1115" t="s">
        <v>1442</v>
      </c>
    </row>
    <row r="3389" customFormat="false" ht="14.1" hidden="false" customHeight="true" outlineLevel="0" collapsed="false">
      <c r="A3389" s="1115" t="n">
        <v>88490</v>
      </c>
      <c r="B3389" s="1115" t="s">
        <v>168</v>
      </c>
      <c r="C3389" s="1115" t="n">
        <v>88490</v>
      </c>
      <c r="D3389" s="1115" t="s">
        <v>3595</v>
      </c>
      <c r="E3389" s="1115" t="s">
        <v>1559</v>
      </c>
      <c r="F3389" s="1115" t="n">
        <v>72210</v>
      </c>
      <c r="G3389" s="1115" t="n">
        <v>89790</v>
      </c>
      <c r="H3389" s="1115" t="s">
        <v>2582</v>
      </c>
      <c r="I3389" s="1115" t="n">
        <v>88600</v>
      </c>
      <c r="J3389" s="1115" t="s">
        <v>1511</v>
      </c>
    </row>
    <row r="3390" customFormat="false" ht="14.1" hidden="false" customHeight="true" outlineLevel="0" collapsed="false">
      <c r="A3390" s="1115" t="n">
        <v>88530</v>
      </c>
      <c r="B3390" s="1115" t="s">
        <v>168</v>
      </c>
      <c r="C3390" s="1115" t="n">
        <v>88530</v>
      </c>
      <c r="D3390" s="1115" t="s">
        <v>3439</v>
      </c>
      <c r="E3390" s="1115" t="s">
        <v>1562</v>
      </c>
      <c r="F3390" s="1115" t="n">
        <v>95300</v>
      </c>
      <c r="G3390" s="1115" t="n">
        <v>89800</v>
      </c>
      <c r="H3390" s="1115" t="s">
        <v>1531</v>
      </c>
      <c r="I3390" s="1115" t="n">
        <v>88610</v>
      </c>
      <c r="J3390" s="1115" t="s">
        <v>1511</v>
      </c>
    </row>
    <row r="3391" customFormat="false" ht="14.1" hidden="false" customHeight="true" outlineLevel="0" collapsed="false">
      <c r="A3391" s="1115" t="n">
        <v>88600</v>
      </c>
      <c r="B3391" s="1115" t="s">
        <v>168</v>
      </c>
      <c r="C3391" s="1115" t="n">
        <v>88600</v>
      </c>
      <c r="D3391" s="1115" t="s">
        <v>1511</v>
      </c>
      <c r="E3391" s="1115" t="s">
        <v>2468</v>
      </c>
      <c r="F3391" s="1115" t="n">
        <v>34260</v>
      </c>
      <c r="G3391" s="1115" t="n">
        <v>89830</v>
      </c>
      <c r="H3391" s="1115" t="s">
        <v>860</v>
      </c>
      <c r="I3391" s="1115" t="n">
        <v>88615</v>
      </c>
      <c r="J3391" s="1115" t="s">
        <v>1511</v>
      </c>
    </row>
    <row r="3392" customFormat="false" ht="14.1" hidden="false" customHeight="true" outlineLevel="0" collapsed="false">
      <c r="A3392" s="1115" t="n">
        <v>88610</v>
      </c>
      <c r="B3392" s="1115" t="s">
        <v>168</v>
      </c>
      <c r="C3392" s="1115" t="n">
        <v>88610</v>
      </c>
      <c r="D3392" s="1115" t="s">
        <v>3922</v>
      </c>
      <c r="E3392" s="1115" t="s">
        <v>1482</v>
      </c>
      <c r="F3392" s="1115" t="n">
        <v>7955</v>
      </c>
      <c r="G3392" s="1115" t="n">
        <v>89840</v>
      </c>
      <c r="H3392" s="1115" t="s">
        <v>3941</v>
      </c>
      <c r="I3392" s="1115" t="n">
        <v>88640</v>
      </c>
      <c r="J3392" s="1115" t="s">
        <v>1511</v>
      </c>
    </row>
    <row r="3393" customFormat="false" ht="14.1" hidden="false" customHeight="true" outlineLevel="0" collapsed="false">
      <c r="A3393" s="1115" t="n">
        <v>88615</v>
      </c>
      <c r="B3393" s="1115" t="s">
        <v>168</v>
      </c>
      <c r="C3393" s="1115" t="n">
        <v>88615</v>
      </c>
      <c r="D3393" s="1115" t="s">
        <v>3923</v>
      </c>
      <c r="E3393" s="1115" t="s">
        <v>2330</v>
      </c>
      <c r="F3393" s="1115" t="n">
        <v>31250</v>
      </c>
      <c r="G3393" s="1115" t="n">
        <v>89920</v>
      </c>
      <c r="H3393" s="1115" t="s">
        <v>3751</v>
      </c>
      <c r="I3393" s="1115" t="n">
        <v>88650</v>
      </c>
      <c r="J3393" s="1115" t="s">
        <v>1531</v>
      </c>
    </row>
    <row r="3394" customFormat="false" ht="14.1" hidden="false" customHeight="true" outlineLevel="0" collapsed="false">
      <c r="A3394" s="1115" t="n">
        <v>88640</v>
      </c>
      <c r="B3394" s="1115" t="s">
        <v>168</v>
      </c>
      <c r="C3394" s="1115" t="n">
        <v>88640</v>
      </c>
      <c r="D3394" s="1115" t="s">
        <v>3405</v>
      </c>
      <c r="E3394" s="1115" t="s">
        <v>2979</v>
      </c>
      <c r="F3394" s="1115" t="n">
        <v>47230</v>
      </c>
      <c r="G3394" s="1115" t="n">
        <v>89940</v>
      </c>
      <c r="H3394" s="1115" t="s">
        <v>3842</v>
      </c>
      <c r="I3394" s="1115" t="n">
        <v>88670</v>
      </c>
      <c r="J3394" s="1115" t="s">
        <v>1531</v>
      </c>
    </row>
    <row r="3395" customFormat="false" ht="14.1" hidden="false" customHeight="true" outlineLevel="0" collapsed="false">
      <c r="A3395" s="1115" t="n">
        <v>88650</v>
      </c>
      <c r="B3395" s="1115" t="s">
        <v>168</v>
      </c>
      <c r="C3395" s="1115" t="n">
        <v>88650</v>
      </c>
      <c r="D3395" s="1115" t="s">
        <v>2226</v>
      </c>
      <c r="E3395" s="1115" t="s">
        <v>1563</v>
      </c>
      <c r="F3395" s="1115" t="n">
        <v>64700</v>
      </c>
      <c r="G3395" s="1115" t="n">
        <v>90007</v>
      </c>
      <c r="H3395" s="1115" t="s">
        <v>169</v>
      </c>
      <c r="I3395" s="1115" t="n">
        <v>88690</v>
      </c>
      <c r="J3395" s="1115" t="s">
        <v>1531</v>
      </c>
    </row>
    <row r="3396" customFormat="false" ht="14.1" hidden="false" customHeight="true" outlineLevel="0" collapsed="false">
      <c r="A3396" s="1115" t="n">
        <v>88670</v>
      </c>
      <c r="B3396" s="1115" t="s">
        <v>168</v>
      </c>
      <c r="C3396" s="1115" t="n">
        <v>88670</v>
      </c>
      <c r="D3396" s="1115" t="s">
        <v>2065</v>
      </c>
      <c r="E3396" s="1115" t="s">
        <v>1563</v>
      </c>
      <c r="F3396" s="1115" t="n">
        <v>64700</v>
      </c>
      <c r="G3396" s="1115" t="n">
        <v>90009</v>
      </c>
      <c r="H3396" s="1115" t="s">
        <v>169</v>
      </c>
      <c r="I3396" s="1115" t="n">
        <v>88730</v>
      </c>
      <c r="J3396" s="1115" t="s">
        <v>1117</v>
      </c>
    </row>
    <row r="3397" customFormat="false" ht="14.1" hidden="false" customHeight="true" outlineLevel="0" collapsed="false">
      <c r="A3397" s="1115" t="n">
        <v>88690</v>
      </c>
      <c r="B3397" s="1115" t="s">
        <v>168</v>
      </c>
      <c r="C3397" s="1115" t="n">
        <v>88690</v>
      </c>
      <c r="D3397" s="1115" t="s">
        <v>3103</v>
      </c>
      <c r="E3397" s="1115" t="s">
        <v>2706</v>
      </c>
      <c r="F3397" s="1115" t="n">
        <v>39590</v>
      </c>
      <c r="G3397" s="1115" t="n">
        <v>90100</v>
      </c>
      <c r="H3397" s="1115" t="s">
        <v>169</v>
      </c>
      <c r="I3397" s="1115" t="n">
        <v>88810</v>
      </c>
      <c r="J3397" s="1115" t="s">
        <v>1117</v>
      </c>
    </row>
    <row r="3398" customFormat="false" ht="14.1" hidden="false" customHeight="true" outlineLevel="0" collapsed="false">
      <c r="A3398" s="1115" t="n">
        <v>88730</v>
      </c>
      <c r="B3398" s="1115" t="s">
        <v>168</v>
      </c>
      <c r="C3398" s="1115" t="n">
        <v>88730</v>
      </c>
      <c r="D3398" s="1115" t="s">
        <v>3925</v>
      </c>
      <c r="E3398" s="1115" t="s">
        <v>3942</v>
      </c>
      <c r="F3398" s="1115" t="n">
        <v>97540</v>
      </c>
      <c r="G3398" s="1115" t="n">
        <v>90130</v>
      </c>
      <c r="H3398" s="1115" t="s">
        <v>169</v>
      </c>
      <c r="I3398" s="1115" t="n">
        <v>88820</v>
      </c>
      <c r="J3398" s="1115" t="s">
        <v>1117</v>
      </c>
    </row>
    <row r="3399" customFormat="false" ht="14.1" hidden="false" customHeight="true" outlineLevel="0" collapsed="false">
      <c r="A3399" s="1115" t="n">
        <v>88810</v>
      </c>
      <c r="B3399" s="1115" t="s">
        <v>168</v>
      </c>
      <c r="C3399" s="1115" t="n">
        <v>88810</v>
      </c>
      <c r="D3399" s="1115" t="s">
        <v>3764</v>
      </c>
      <c r="E3399" s="1115" t="s">
        <v>3814</v>
      </c>
      <c r="F3399" s="1115" t="n">
        <v>81240</v>
      </c>
      <c r="G3399" s="1115" t="n">
        <v>90140</v>
      </c>
      <c r="H3399" s="1115" t="s">
        <v>169</v>
      </c>
      <c r="I3399" s="1115" t="n">
        <v>88840</v>
      </c>
      <c r="J3399" s="1115" t="s">
        <v>1117</v>
      </c>
    </row>
    <row r="3400" customFormat="false" ht="14.1" hidden="false" customHeight="true" outlineLevel="0" collapsed="false">
      <c r="A3400" s="1115" t="n">
        <v>88820</v>
      </c>
      <c r="B3400" s="1115" t="s">
        <v>168</v>
      </c>
      <c r="C3400" s="1115" t="n">
        <v>88820</v>
      </c>
      <c r="D3400" s="1115" t="s">
        <v>2306</v>
      </c>
      <c r="E3400" s="1115" t="s">
        <v>1752</v>
      </c>
      <c r="F3400" s="1115" t="n">
        <v>16560</v>
      </c>
      <c r="G3400" s="1115" t="n">
        <v>90150</v>
      </c>
      <c r="H3400" s="1115" t="s">
        <v>169</v>
      </c>
      <c r="I3400" s="1115" t="n">
        <v>88850</v>
      </c>
      <c r="J3400" s="1115" t="s">
        <v>1117</v>
      </c>
    </row>
    <row r="3401" customFormat="false" ht="14.1" hidden="false" customHeight="true" outlineLevel="0" collapsed="false">
      <c r="A3401" s="1115" t="n">
        <v>88840</v>
      </c>
      <c r="B3401" s="1115" t="s">
        <v>168</v>
      </c>
      <c r="C3401" s="1115" t="n">
        <v>88840</v>
      </c>
      <c r="D3401" s="1115" t="s">
        <v>2747</v>
      </c>
      <c r="E3401" s="1115" t="s">
        <v>3832</v>
      </c>
      <c r="F3401" s="1115" t="n">
        <v>81770</v>
      </c>
      <c r="G3401" s="1115" t="n">
        <v>90160</v>
      </c>
      <c r="H3401" s="1115" t="s">
        <v>169</v>
      </c>
      <c r="I3401" s="1115" t="n">
        <v>88900</v>
      </c>
      <c r="J3401" s="1115" t="s">
        <v>1117</v>
      </c>
    </row>
    <row r="3402" customFormat="false" ht="14.1" hidden="false" customHeight="true" outlineLevel="0" collapsed="false">
      <c r="A3402" s="1115" t="n">
        <v>88850</v>
      </c>
      <c r="B3402" s="1115" t="s">
        <v>168</v>
      </c>
      <c r="C3402" s="1115" t="n">
        <v>88850</v>
      </c>
      <c r="D3402" s="1115" t="s">
        <v>2189</v>
      </c>
      <c r="E3402" s="1115" t="s">
        <v>3734</v>
      </c>
      <c r="F3402" s="1115" t="n">
        <v>74980</v>
      </c>
      <c r="G3402" s="1115" t="n">
        <v>90210</v>
      </c>
      <c r="H3402" s="1115" t="s">
        <v>169</v>
      </c>
      <c r="I3402" s="1115" t="n">
        <v>88930</v>
      </c>
      <c r="J3402" s="1115" t="s">
        <v>1117</v>
      </c>
    </row>
    <row r="3403" customFormat="false" ht="14.1" hidden="false" customHeight="true" outlineLevel="0" collapsed="false">
      <c r="A3403" s="1115" t="n">
        <v>88900</v>
      </c>
      <c r="B3403" s="1115" t="s">
        <v>168</v>
      </c>
      <c r="C3403" s="1115" t="n">
        <v>88900</v>
      </c>
      <c r="D3403" s="1115" t="s">
        <v>1117</v>
      </c>
      <c r="E3403" s="1115" t="s">
        <v>3766</v>
      </c>
      <c r="F3403" s="1115" t="n">
        <v>77580</v>
      </c>
      <c r="G3403" s="1115" t="n">
        <v>90220</v>
      </c>
      <c r="H3403" s="1115" t="s">
        <v>169</v>
      </c>
      <c r="I3403" s="1115" t="n">
        <v>89110</v>
      </c>
      <c r="J3403" s="1115" t="s">
        <v>1382</v>
      </c>
    </row>
    <row r="3404" customFormat="false" ht="14.1" hidden="false" customHeight="true" outlineLevel="0" collapsed="false">
      <c r="A3404" s="1115" t="n">
        <v>88930</v>
      </c>
      <c r="B3404" s="1115" t="s">
        <v>168</v>
      </c>
      <c r="C3404" s="1115" t="n">
        <v>88930</v>
      </c>
      <c r="D3404" s="1115" t="s">
        <v>2956</v>
      </c>
      <c r="E3404" s="1115" t="s">
        <v>3699</v>
      </c>
      <c r="F3404" s="1115" t="n">
        <v>73420</v>
      </c>
      <c r="G3404" s="1115" t="n">
        <v>90230</v>
      </c>
      <c r="H3404" s="1115" t="s">
        <v>169</v>
      </c>
      <c r="I3404" s="1115" t="n">
        <v>89120</v>
      </c>
      <c r="J3404" s="1115" t="s">
        <v>1382</v>
      </c>
    </row>
    <row r="3405" customFormat="false" ht="14.1" hidden="false" customHeight="true" outlineLevel="0" collapsed="false">
      <c r="A3405" s="1115" t="n">
        <v>89110</v>
      </c>
      <c r="B3405" s="1115" t="s">
        <v>168</v>
      </c>
      <c r="C3405" s="1115" t="n">
        <v>89110</v>
      </c>
      <c r="D3405" s="1115" t="s">
        <v>3929</v>
      </c>
      <c r="E3405" s="1115" t="s">
        <v>3137</v>
      </c>
      <c r="F3405" s="1115" t="n">
        <v>52750</v>
      </c>
      <c r="G3405" s="1115" t="n">
        <v>90250</v>
      </c>
      <c r="H3405" s="1115" t="s">
        <v>169</v>
      </c>
      <c r="I3405" s="1115" t="n">
        <v>89130</v>
      </c>
      <c r="J3405" s="1115" t="s">
        <v>1382</v>
      </c>
    </row>
    <row r="3406" customFormat="false" ht="14.1" hidden="false" customHeight="true" outlineLevel="0" collapsed="false">
      <c r="A3406" s="1115" t="n">
        <v>89120</v>
      </c>
      <c r="B3406" s="1115" t="s">
        <v>168</v>
      </c>
      <c r="C3406" s="1115" t="n">
        <v>89120</v>
      </c>
      <c r="D3406" s="1115" t="s">
        <v>2208</v>
      </c>
      <c r="E3406" s="1115" t="s">
        <v>1419</v>
      </c>
      <c r="F3406" s="1115" t="n">
        <v>7580</v>
      </c>
      <c r="G3406" s="1115" t="n">
        <v>90310</v>
      </c>
      <c r="H3406" s="1115" t="s">
        <v>169</v>
      </c>
      <c r="I3406" s="1115" t="n">
        <v>89140</v>
      </c>
      <c r="J3406" s="1115" t="s">
        <v>1382</v>
      </c>
    </row>
    <row r="3407" customFormat="false" ht="14.1" hidden="false" customHeight="true" outlineLevel="0" collapsed="false">
      <c r="A3407" s="1115" t="n">
        <v>89130</v>
      </c>
      <c r="B3407" s="1115" t="s">
        <v>168</v>
      </c>
      <c r="C3407" s="1115" t="n">
        <v>89130</v>
      </c>
      <c r="D3407" s="1115" t="s">
        <v>3932</v>
      </c>
      <c r="E3407" s="1115" t="s">
        <v>3408</v>
      </c>
      <c r="F3407" s="1115" t="n">
        <v>62165</v>
      </c>
      <c r="G3407" s="1115" t="n">
        <v>90420</v>
      </c>
      <c r="H3407" s="1115" t="s">
        <v>169</v>
      </c>
      <c r="I3407" s="1115" t="n">
        <v>89150</v>
      </c>
      <c r="J3407" s="1115" t="s">
        <v>1382</v>
      </c>
    </row>
    <row r="3408" customFormat="false" ht="14.1" hidden="false" customHeight="true" outlineLevel="0" collapsed="false">
      <c r="A3408" s="1115" t="n">
        <v>89140</v>
      </c>
      <c r="B3408" s="1115" t="s">
        <v>168</v>
      </c>
      <c r="C3408" s="1115" t="n">
        <v>89140</v>
      </c>
      <c r="D3408" s="1115" t="s">
        <v>2614</v>
      </c>
      <c r="E3408" s="1115" t="s">
        <v>3680</v>
      </c>
      <c r="F3408" s="1115" t="n">
        <v>72330</v>
      </c>
      <c r="G3408" s="1115" t="n">
        <v>90440</v>
      </c>
      <c r="H3408" s="1115" t="s">
        <v>1043</v>
      </c>
      <c r="I3408" s="1115" t="n">
        <v>89200</v>
      </c>
      <c r="J3408" s="1115" t="s">
        <v>1382</v>
      </c>
    </row>
    <row r="3409" customFormat="false" ht="14.1" hidden="false" customHeight="true" outlineLevel="0" collapsed="false">
      <c r="A3409" s="1115" t="n">
        <v>89150</v>
      </c>
      <c r="B3409" s="1115" t="s">
        <v>168</v>
      </c>
      <c r="C3409" s="1115" t="n">
        <v>89150</v>
      </c>
      <c r="D3409" s="1115" t="s">
        <v>2942</v>
      </c>
      <c r="E3409" s="1115" t="s">
        <v>2753</v>
      </c>
      <c r="F3409" s="1115" t="n">
        <v>41315</v>
      </c>
      <c r="G3409" s="1115" t="n">
        <v>90450</v>
      </c>
      <c r="H3409" s="1115" t="s">
        <v>1043</v>
      </c>
      <c r="I3409" s="1115" t="n">
        <v>89210</v>
      </c>
      <c r="J3409" s="1115" t="s">
        <v>1382</v>
      </c>
    </row>
    <row r="3410" customFormat="false" ht="14.1" hidden="false" customHeight="true" outlineLevel="0" collapsed="false">
      <c r="A3410" s="1115" t="n">
        <v>89200</v>
      </c>
      <c r="B3410" s="1115" t="s">
        <v>168</v>
      </c>
      <c r="C3410" s="1115" t="n">
        <v>89200</v>
      </c>
      <c r="D3410" s="1115" t="s">
        <v>1382</v>
      </c>
      <c r="E3410" s="1115" t="s">
        <v>2744</v>
      </c>
      <c r="F3410" s="1115" t="n">
        <v>41160</v>
      </c>
      <c r="G3410" s="1115" t="n">
        <v>90460</v>
      </c>
      <c r="H3410" s="1115" t="s">
        <v>1309</v>
      </c>
      <c r="I3410" s="1115" t="n">
        <v>89230</v>
      </c>
      <c r="J3410" s="1115" t="s">
        <v>1382</v>
      </c>
    </row>
    <row r="3411" customFormat="false" ht="14.1" hidden="false" customHeight="true" outlineLevel="0" collapsed="false">
      <c r="A3411" s="1115" t="n">
        <v>89210</v>
      </c>
      <c r="B3411" s="1115" t="s">
        <v>168</v>
      </c>
      <c r="C3411" s="1115" t="n">
        <v>89210</v>
      </c>
      <c r="D3411" s="1115" t="s">
        <v>3637</v>
      </c>
      <c r="E3411" s="1115" t="s">
        <v>3839</v>
      </c>
      <c r="F3411" s="1115" t="n">
        <v>82350</v>
      </c>
      <c r="G3411" s="1115" t="n">
        <v>90470</v>
      </c>
      <c r="H3411" s="1115" t="s">
        <v>3943</v>
      </c>
      <c r="I3411" s="1115" t="n">
        <v>89250</v>
      </c>
      <c r="J3411" s="1115" t="s">
        <v>1382</v>
      </c>
    </row>
    <row r="3412" customFormat="false" ht="14.1" hidden="false" customHeight="true" outlineLevel="0" collapsed="false">
      <c r="A3412" s="1115" t="n">
        <v>89230</v>
      </c>
      <c r="B3412" s="1115" t="s">
        <v>168</v>
      </c>
      <c r="C3412" s="1115" t="n">
        <v>89230</v>
      </c>
      <c r="D3412" s="1115" t="s">
        <v>3585</v>
      </c>
      <c r="E3412" s="1115" t="s">
        <v>3944</v>
      </c>
      <c r="F3412" s="1115" t="n">
        <v>92420</v>
      </c>
      <c r="G3412" s="1115" t="n">
        <v>90480</v>
      </c>
      <c r="H3412" s="1115" t="s">
        <v>808</v>
      </c>
      <c r="I3412" s="1115" t="n">
        <v>89310</v>
      </c>
      <c r="J3412" s="1115" t="s">
        <v>1382</v>
      </c>
    </row>
    <row r="3413" customFormat="false" ht="14.1" hidden="false" customHeight="true" outlineLevel="0" collapsed="false">
      <c r="A3413" s="1115" t="n">
        <v>89250</v>
      </c>
      <c r="B3413" s="1115" t="s">
        <v>168</v>
      </c>
      <c r="C3413" s="1115" t="n">
        <v>89250</v>
      </c>
      <c r="D3413" s="1115" t="s">
        <v>3444</v>
      </c>
      <c r="E3413" s="1115" t="s">
        <v>3778</v>
      </c>
      <c r="F3413" s="1115" t="n">
        <v>78480</v>
      </c>
      <c r="G3413" s="1115" t="n">
        <v>90500</v>
      </c>
      <c r="H3413" s="1115" t="s">
        <v>169</v>
      </c>
      <c r="I3413" s="1115" t="n">
        <v>89320</v>
      </c>
      <c r="J3413" s="1115" t="s">
        <v>1382</v>
      </c>
    </row>
    <row r="3414" customFormat="false" ht="14.1" hidden="false" customHeight="true" outlineLevel="0" collapsed="false">
      <c r="A3414" s="1115" t="n">
        <v>89310</v>
      </c>
      <c r="B3414" s="1115" t="s">
        <v>168</v>
      </c>
      <c r="C3414" s="1115" t="n">
        <v>89310</v>
      </c>
      <c r="D3414" s="1115" t="s">
        <v>3661</v>
      </c>
      <c r="E3414" s="1115" t="s">
        <v>3881</v>
      </c>
      <c r="F3414" s="1115" t="n">
        <v>83865</v>
      </c>
      <c r="G3414" s="1115" t="n">
        <v>90520</v>
      </c>
      <c r="H3414" s="1115" t="s">
        <v>169</v>
      </c>
      <c r="I3414" s="1115" t="n">
        <v>89330</v>
      </c>
      <c r="J3414" s="1115" t="s">
        <v>1382</v>
      </c>
    </row>
    <row r="3415" customFormat="false" ht="14.1" hidden="false" customHeight="true" outlineLevel="0" collapsed="false">
      <c r="A3415" s="1115" t="n">
        <v>89320</v>
      </c>
      <c r="B3415" s="1115" t="s">
        <v>168</v>
      </c>
      <c r="C3415" s="1115" t="n">
        <v>89320</v>
      </c>
      <c r="D3415" s="1115" t="s">
        <v>2027</v>
      </c>
      <c r="E3415" s="1115" t="s">
        <v>1387</v>
      </c>
      <c r="F3415" s="1115" t="n">
        <v>7360</v>
      </c>
      <c r="G3415" s="1115" t="n">
        <v>90530</v>
      </c>
      <c r="H3415" s="1115" t="s">
        <v>169</v>
      </c>
      <c r="I3415" s="1115" t="n">
        <v>89350</v>
      </c>
      <c r="J3415" s="1115" t="s">
        <v>1382</v>
      </c>
    </row>
    <row r="3416" customFormat="false" ht="14.1" hidden="false" customHeight="true" outlineLevel="0" collapsed="false">
      <c r="A3416" s="1115" t="n">
        <v>89330</v>
      </c>
      <c r="B3416" s="1115" t="s">
        <v>168</v>
      </c>
      <c r="C3416" s="1115" t="n">
        <v>89330</v>
      </c>
      <c r="D3416" s="1115" t="s">
        <v>3886</v>
      </c>
      <c r="E3416" s="1115" t="s">
        <v>2960</v>
      </c>
      <c r="F3416" s="1115" t="n">
        <v>46430</v>
      </c>
      <c r="G3416" s="1115" t="n">
        <v>90550</v>
      </c>
      <c r="H3416" s="1115" t="s">
        <v>169</v>
      </c>
      <c r="I3416" s="1115" t="n">
        <v>89400</v>
      </c>
      <c r="J3416" s="1115" t="s">
        <v>863</v>
      </c>
    </row>
    <row r="3417" customFormat="false" ht="14.1" hidden="false" customHeight="true" outlineLevel="0" collapsed="false">
      <c r="A3417" s="1115" t="n">
        <v>89350</v>
      </c>
      <c r="B3417" s="1115" t="s">
        <v>168</v>
      </c>
      <c r="C3417" s="1115" t="n">
        <v>89350</v>
      </c>
      <c r="D3417" s="1115" t="s">
        <v>3078</v>
      </c>
      <c r="E3417" s="1115" t="s">
        <v>3484</v>
      </c>
      <c r="F3417" s="1115" t="n">
        <v>64110</v>
      </c>
      <c r="G3417" s="1115" t="n">
        <v>90560</v>
      </c>
      <c r="H3417" s="1115" t="s">
        <v>169</v>
      </c>
      <c r="I3417" s="1115" t="n">
        <v>89430</v>
      </c>
      <c r="J3417" s="1115" t="s">
        <v>863</v>
      </c>
    </row>
    <row r="3418" customFormat="false" ht="14.1" hidden="false" customHeight="true" outlineLevel="0" collapsed="false">
      <c r="A3418" s="1115" t="n">
        <v>89400</v>
      </c>
      <c r="B3418" s="1115" t="s">
        <v>168</v>
      </c>
      <c r="C3418" s="1115" t="n">
        <v>89400</v>
      </c>
      <c r="D3418" s="1115" t="s">
        <v>863</v>
      </c>
      <c r="E3418" s="1115" t="s">
        <v>3221</v>
      </c>
      <c r="F3418" s="1115" t="n">
        <v>55330</v>
      </c>
      <c r="G3418" s="1115" t="n">
        <v>90570</v>
      </c>
      <c r="H3418" s="1115" t="s">
        <v>169</v>
      </c>
      <c r="I3418" s="1115" t="n">
        <v>89440</v>
      </c>
      <c r="J3418" s="1115" t="s">
        <v>863</v>
      </c>
    </row>
    <row r="3419" customFormat="false" ht="14.1" hidden="false" customHeight="true" outlineLevel="0" collapsed="false">
      <c r="A3419" s="1115" t="n">
        <v>89430</v>
      </c>
      <c r="B3419" s="1115" t="s">
        <v>168</v>
      </c>
      <c r="C3419" s="1115" t="n">
        <v>89430</v>
      </c>
      <c r="D3419" s="1115" t="s">
        <v>1742</v>
      </c>
      <c r="E3419" s="1115" t="s">
        <v>3332</v>
      </c>
      <c r="F3419" s="1115" t="n">
        <v>59110</v>
      </c>
      <c r="G3419" s="1115" t="n">
        <v>90580</v>
      </c>
      <c r="H3419" s="1115" t="s">
        <v>169</v>
      </c>
      <c r="I3419" s="1115" t="n">
        <v>89520</v>
      </c>
      <c r="J3419" s="1115" t="s">
        <v>863</v>
      </c>
    </row>
    <row r="3420" customFormat="false" ht="14.1" hidden="false" customHeight="true" outlineLevel="0" collapsed="false">
      <c r="A3420" s="1115" t="n">
        <v>89440</v>
      </c>
      <c r="B3420" s="1115" t="s">
        <v>168</v>
      </c>
      <c r="C3420" s="1115" t="n">
        <v>89440</v>
      </c>
      <c r="D3420" s="1115" t="s">
        <v>3801</v>
      </c>
      <c r="E3420" s="1115" t="s">
        <v>2024</v>
      </c>
      <c r="F3420" s="1115" t="n">
        <v>22330</v>
      </c>
      <c r="G3420" s="1115" t="n">
        <v>90600</v>
      </c>
      <c r="H3420" s="1115" t="s">
        <v>169</v>
      </c>
      <c r="I3420" s="1115" t="n">
        <v>89530</v>
      </c>
      <c r="J3420" s="1115" t="s">
        <v>863</v>
      </c>
    </row>
    <row r="3421" customFormat="false" ht="14.1" hidden="false" customHeight="true" outlineLevel="0" collapsed="false">
      <c r="A3421" s="1115" t="n">
        <v>89520</v>
      </c>
      <c r="B3421" s="1115" t="s">
        <v>168</v>
      </c>
      <c r="C3421" s="1115" t="n">
        <v>89520</v>
      </c>
      <c r="D3421" s="1115" t="s">
        <v>2785</v>
      </c>
      <c r="E3421" s="1115" t="s">
        <v>2024</v>
      </c>
      <c r="F3421" s="1115" t="n">
        <v>22330</v>
      </c>
      <c r="G3421" s="1115" t="n">
        <v>90630</v>
      </c>
      <c r="H3421" s="1115" t="s">
        <v>169</v>
      </c>
      <c r="I3421" s="1115" t="n">
        <v>89540</v>
      </c>
      <c r="J3421" s="1115" t="s">
        <v>863</v>
      </c>
    </row>
    <row r="3422" customFormat="false" ht="14.1" hidden="false" customHeight="true" outlineLevel="0" collapsed="false">
      <c r="A3422" s="1115" t="n">
        <v>89530</v>
      </c>
      <c r="B3422" s="1115" t="s">
        <v>168</v>
      </c>
      <c r="C3422" s="1115" t="n">
        <v>89530</v>
      </c>
      <c r="D3422" s="1115" t="s">
        <v>1929</v>
      </c>
      <c r="E3422" s="1115" t="s">
        <v>2024</v>
      </c>
      <c r="F3422" s="1115" t="n">
        <v>22330</v>
      </c>
      <c r="G3422" s="1115" t="n">
        <v>90650</v>
      </c>
      <c r="H3422" s="1115" t="s">
        <v>169</v>
      </c>
      <c r="I3422" s="1115" t="n">
        <v>89560</v>
      </c>
      <c r="J3422" s="1115" t="s">
        <v>863</v>
      </c>
    </row>
    <row r="3423" customFormat="false" ht="14.1" hidden="false" customHeight="true" outlineLevel="0" collapsed="false">
      <c r="A3423" s="1115" t="n">
        <v>89540</v>
      </c>
      <c r="B3423" s="1115" t="s">
        <v>168</v>
      </c>
      <c r="C3423" s="1115" t="n">
        <v>89540</v>
      </c>
      <c r="D3423" s="1115" t="s">
        <v>3205</v>
      </c>
      <c r="E3423" s="1115" t="s">
        <v>2024</v>
      </c>
      <c r="F3423" s="1115" t="n">
        <v>22330</v>
      </c>
      <c r="G3423" s="1115" t="n">
        <v>90740</v>
      </c>
      <c r="H3423" s="1115" t="s">
        <v>2902</v>
      </c>
      <c r="I3423" s="1115" t="n">
        <v>89600</v>
      </c>
      <c r="J3423" s="1115" t="s">
        <v>863</v>
      </c>
    </row>
    <row r="3424" customFormat="false" ht="14.1" hidden="false" customHeight="true" outlineLevel="0" collapsed="false">
      <c r="A3424" s="1115" t="n">
        <v>89560</v>
      </c>
      <c r="B3424" s="1115" t="s">
        <v>168</v>
      </c>
      <c r="C3424" s="1115" t="n">
        <v>89560</v>
      </c>
      <c r="D3424" s="1115" t="s">
        <v>2249</v>
      </c>
      <c r="E3424" s="1115" t="s">
        <v>2557</v>
      </c>
      <c r="F3424" s="1115" t="n">
        <v>36340</v>
      </c>
      <c r="G3424" s="1115" t="n">
        <v>90760</v>
      </c>
      <c r="H3424" s="1115" t="s">
        <v>3445</v>
      </c>
      <c r="I3424" s="1115" t="n">
        <v>89605</v>
      </c>
      <c r="J3424" s="1115" t="s">
        <v>863</v>
      </c>
    </row>
    <row r="3425" customFormat="false" ht="14.1" hidden="false" customHeight="true" outlineLevel="0" collapsed="false">
      <c r="A3425" s="1115" t="n">
        <v>89600</v>
      </c>
      <c r="B3425" s="1115" t="s">
        <v>168</v>
      </c>
      <c r="C3425" s="1115" t="n">
        <v>89600</v>
      </c>
      <c r="D3425" s="1115" t="s">
        <v>3935</v>
      </c>
      <c r="E3425" s="1115" t="s">
        <v>1564</v>
      </c>
      <c r="F3425" s="1115" t="n">
        <v>82600</v>
      </c>
      <c r="G3425" s="1115" t="n">
        <v>90800</v>
      </c>
      <c r="H3425" s="1115" t="s">
        <v>169</v>
      </c>
      <c r="I3425" s="1115" t="n">
        <v>89610</v>
      </c>
      <c r="J3425" s="1115" t="s">
        <v>863</v>
      </c>
    </row>
    <row r="3426" customFormat="false" ht="14.1" hidden="false" customHeight="true" outlineLevel="0" collapsed="false">
      <c r="A3426" s="1115" t="n">
        <v>89605</v>
      </c>
      <c r="B3426" s="1115" t="s">
        <v>168</v>
      </c>
      <c r="C3426" s="1115" t="n">
        <v>89605</v>
      </c>
      <c r="D3426" s="1115" t="s">
        <v>3849</v>
      </c>
      <c r="E3426" s="1115" t="s">
        <v>1564</v>
      </c>
      <c r="F3426" s="1115" t="n">
        <v>82610</v>
      </c>
      <c r="G3426" s="1115" t="n">
        <v>90810</v>
      </c>
      <c r="H3426" s="1115" t="s">
        <v>2453</v>
      </c>
      <c r="I3426" s="1115" t="n">
        <v>89620</v>
      </c>
      <c r="J3426" s="1115" t="s">
        <v>863</v>
      </c>
    </row>
    <row r="3427" customFormat="false" ht="14.1" hidden="false" customHeight="true" outlineLevel="0" collapsed="false">
      <c r="A3427" s="1115" t="n">
        <v>89610</v>
      </c>
      <c r="B3427" s="1115" t="s">
        <v>168</v>
      </c>
      <c r="C3427" s="1115" t="n">
        <v>89610</v>
      </c>
      <c r="D3427" s="1115" t="s">
        <v>2038</v>
      </c>
      <c r="E3427" s="1115" t="s">
        <v>1565</v>
      </c>
      <c r="F3427" s="1115" t="n">
        <v>69300</v>
      </c>
      <c r="G3427" s="1115" t="n">
        <v>90820</v>
      </c>
      <c r="H3427" s="1115" t="s">
        <v>2355</v>
      </c>
      <c r="I3427" s="1115" t="n">
        <v>89630</v>
      </c>
      <c r="J3427" s="1115" t="s">
        <v>863</v>
      </c>
    </row>
    <row r="3428" customFormat="false" ht="14.1" hidden="false" customHeight="true" outlineLevel="0" collapsed="false">
      <c r="A3428" s="1115" t="n">
        <v>89620</v>
      </c>
      <c r="B3428" s="1115" t="s">
        <v>168</v>
      </c>
      <c r="C3428" s="1115" t="n">
        <v>89620</v>
      </c>
      <c r="D3428" s="1115" t="s">
        <v>3593</v>
      </c>
      <c r="E3428" s="1115" t="s">
        <v>2111</v>
      </c>
      <c r="F3428" s="1115" t="n">
        <v>25460</v>
      </c>
      <c r="G3428" s="1115" t="n">
        <v>90830</v>
      </c>
      <c r="H3428" s="1115" t="s">
        <v>836</v>
      </c>
      <c r="I3428" s="1115" t="n">
        <v>89640</v>
      </c>
      <c r="J3428" s="1115" t="s">
        <v>863</v>
      </c>
    </row>
    <row r="3429" customFormat="false" ht="14.1" hidden="false" customHeight="true" outlineLevel="0" collapsed="false">
      <c r="A3429" s="1115" t="n">
        <v>89630</v>
      </c>
      <c r="B3429" s="1115" t="s">
        <v>168</v>
      </c>
      <c r="C3429" s="1115" t="n">
        <v>89630</v>
      </c>
      <c r="D3429" s="1115" t="s">
        <v>2837</v>
      </c>
      <c r="E3429" s="1115" t="s">
        <v>2958</v>
      </c>
      <c r="F3429" s="1115" t="n">
        <v>46310</v>
      </c>
      <c r="G3429" s="1115" t="n">
        <v>90840</v>
      </c>
      <c r="H3429" s="1115" t="s">
        <v>836</v>
      </c>
      <c r="I3429" s="1115" t="n">
        <v>89660</v>
      </c>
      <c r="J3429" s="1115" t="s">
        <v>863</v>
      </c>
    </row>
    <row r="3430" customFormat="false" ht="14.1" hidden="false" customHeight="true" outlineLevel="0" collapsed="false">
      <c r="A3430" s="1115" t="n">
        <v>89640</v>
      </c>
      <c r="B3430" s="1115" t="s">
        <v>168</v>
      </c>
      <c r="C3430" s="1115" t="n">
        <v>89640</v>
      </c>
      <c r="D3430" s="1115" t="s">
        <v>3538</v>
      </c>
      <c r="E3430" s="1115" t="s">
        <v>2507</v>
      </c>
      <c r="F3430" s="1115" t="n">
        <v>34970</v>
      </c>
      <c r="G3430" s="1115" t="n">
        <v>90850</v>
      </c>
      <c r="H3430" s="1115" t="s">
        <v>3149</v>
      </c>
      <c r="I3430" s="1115" t="n">
        <v>89670</v>
      </c>
      <c r="J3430" s="1115" t="s">
        <v>863</v>
      </c>
    </row>
    <row r="3431" customFormat="false" ht="14.1" hidden="false" customHeight="true" outlineLevel="0" collapsed="false">
      <c r="A3431" s="1115" t="n">
        <v>89660</v>
      </c>
      <c r="B3431" s="1115" t="s">
        <v>168</v>
      </c>
      <c r="C3431" s="1115" t="n">
        <v>89660</v>
      </c>
      <c r="D3431" s="1115" t="s">
        <v>3914</v>
      </c>
      <c r="E3431" s="1115" t="s">
        <v>1567</v>
      </c>
      <c r="F3431" s="1115" t="n">
        <v>41660</v>
      </c>
      <c r="G3431" s="1115" t="n">
        <v>90860</v>
      </c>
      <c r="H3431" s="1115" t="s">
        <v>1343</v>
      </c>
      <c r="I3431" s="1115" t="n">
        <v>89680</v>
      </c>
      <c r="J3431" s="1115" t="s">
        <v>863</v>
      </c>
    </row>
    <row r="3432" customFormat="false" ht="14.1" hidden="false" customHeight="true" outlineLevel="0" collapsed="false">
      <c r="A3432" s="1115" t="n">
        <v>89670</v>
      </c>
      <c r="B3432" s="1115" t="s">
        <v>168</v>
      </c>
      <c r="C3432" s="1115" t="n">
        <v>89670</v>
      </c>
      <c r="D3432" s="1115" t="s">
        <v>3373</v>
      </c>
      <c r="E3432" s="1115" t="s">
        <v>3639</v>
      </c>
      <c r="F3432" s="1115" t="n">
        <v>70900</v>
      </c>
      <c r="G3432" s="1115" t="n">
        <v>90900</v>
      </c>
      <c r="H3432" s="1115" t="s">
        <v>1068</v>
      </c>
      <c r="I3432" s="1115" t="n">
        <v>89730</v>
      </c>
      <c r="J3432" s="1115" t="s">
        <v>863</v>
      </c>
    </row>
    <row r="3433" customFormat="false" ht="14.1" hidden="false" customHeight="true" outlineLevel="0" collapsed="false">
      <c r="A3433" s="1115" t="n">
        <v>89680</v>
      </c>
      <c r="B3433" s="1115" t="s">
        <v>168</v>
      </c>
      <c r="C3433" s="1115" t="n">
        <v>89680</v>
      </c>
      <c r="D3433" s="1115" t="s">
        <v>3940</v>
      </c>
      <c r="E3433" s="1115" t="s">
        <v>3820</v>
      </c>
      <c r="F3433" s="1115" t="n">
        <v>81350</v>
      </c>
      <c r="G3433" s="1115" t="n">
        <v>90910</v>
      </c>
      <c r="H3433" s="1115" t="s">
        <v>2542</v>
      </c>
      <c r="I3433" s="1115" t="n">
        <v>89740</v>
      </c>
      <c r="J3433" s="1115" t="s">
        <v>863</v>
      </c>
    </row>
    <row r="3434" customFormat="false" ht="14.1" hidden="false" customHeight="true" outlineLevel="0" collapsed="false">
      <c r="A3434" s="1115" t="n">
        <v>89730</v>
      </c>
      <c r="B3434" s="1115" t="s">
        <v>168</v>
      </c>
      <c r="C3434" s="1115" t="n">
        <v>89730</v>
      </c>
      <c r="D3434" s="1115" t="s">
        <v>722</v>
      </c>
      <c r="E3434" s="1115" t="s">
        <v>3945</v>
      </c>
      <c r="F3434" s="1115" t="n">
        <v>97735</v>
      </c>
      <c r="G3434" s="1115" t="n">
        <v>90940</v>
      </c>
      <c r="H3434" s="1115" t="s">
        <v>2119</v>
      </c>
      <c r="I3434" s="1115" t="n">
        <v>89750</v>
      </c>
      <c r="J3434" s="1115" t="s">
        <v>863</v>
      </c>
    </row>
    <row r="3435" customFormat="false" ht="14.1" hidden="false" customHeight="true" outlineLevel="0" collapsed="false">
      <c r="A3435" s="1115" t="n">
        <v>89740</v>
      </c>
      <c r="B3435" s="1115" t="s">
        <v>168</v>
      </c>
      <c r="C3435" s="1115" t="n">
        <v>89740</v>
      </c>
      <c r="D3435" s="1115" t="s">
        <v>2401</v>
      </c>
      <c r="E3435" s="1115" t="s">
        <v>1350</v>
      </c>
      <c r="F3435" s="1115" t="n">
        <v>6750</v>
      </c>
      <c r="G3435" s="1115" t="n">
        <v>91100</v>
      </c>
      <c r="H3435" s="1115" t="s">
        <v>872</v>
      </c>
      <c r="I3435" s="1115" t="n">
        <v>89760</v>
      </c>
      <c r="J3435" s="1115" t="s">
        <v>863</v>
      </c>
    </row>
    <row r="3436" customFormat="false" ht="14.1" hidden="false" customHeight="true" outlineLevel="0" collapsed="false">
      <c r="A3436" s="1115" t="n">
        <v>89750</v>
      </c>
      <c r="B3436" s="1115" t="s">
        <v>168</v>
      </c>
      <c r="C3436" s="1115" t="n">
        <v>89750</v>
      </c>
      <c r="D3436" s="1115" t="s">
        <v>1288</v>
      </c>
      <c r="E3436" s="1115" t="s">
        <v>3841</v>
      </c>
      <c r="F3436" s="1115" t="n">
        <v>82380</v>
      </c>
      <c r="G3436" s="1115" t="n">
        <v>91110</v>
      </c>
      <c r="H3436" s="1115" t="s">
        <v>872</v>
      </c>
      <c r="I3436" s="1115" t="n">
        <v>89770</v>
      </c>
      <c r="J3436" s="1115" t="s">
        <v>863</v>
      </c>
    </row>
    <row r="3437" customFormat="false" ht="14.1" hidden="false" customHeight="true" outlineLevel="0" collapsed="false">
      <c r="A3437" s="1115" t="n">
        <v>89760</v>
      </c>
      <c r="B3437" s="1115" t="s">
        <v>168</v>
      </c>
      <c r="C3437" s="1115" t="n">
        <v>89760</v>
      </c>
      <c r="D3437" s="1115" t="s">
        <v>3576</v>
      </c>
      <c r="E3437" s="1115" t="s">
        <v>3903</v>
      </c>
      <c r="F3437" s="1115" t="n">
        <v>85920</v>
      </c>
      <c r="G3437" s="1115" t="n">
        <v>91140</v>
      </c>
      <c r="H3437" s="1115" t="s">
        <v>3398</v>
      </c>
      <c r="I3437" s="1115" t="n">
        <v>89780</v>
      </c>
      <c r="J3437" s="1115" t="s">
        <v>863</v>
      </c>
    </row>
    <row r="3438" customFormat="false" ht="14.1" hidden="false" customHeight="true" outlineLevel="0" collapsed="false">
      <c r="A3438" s="1115" t="n">
        <v>89770</v>
      </c>
      <c r="B3438" s="1115" t="s">
        <v>168</v>
      </c>
      <c r="C3438" s="1115" t="n">
        <v>89770</v>
      </c>
      <c r="D3438" s="1115" t="s">
        <v>3525</v>
      </c>
      <c r="E3438" s="1115" t="s">
        <v>3946</v>
      </c>
      <c r="F3438" s="1115" t="n">
        <v>97925</v>
      </c>
      <c r="G3438" s="1115" t="n">
        <v>91150</v>
      </c>
      <c r="H3438" s="1115" t="s">
        <v>3947</v>
      </c>
      <c r="I3438" s="1115" t="n">
        <v>89790</v>
      </c>
      <c r="J3438" s="1115" t="s">
        <v>863</v>
      </c>
    </row>
    <row r="3439" customFormat="false" ht="14.1" hidden="false" customHeight="true" outlineLevel="0" collapsed="false">
      <c r="A3439" s="1115" t="n">
        <v>89780</v>
      </c>
      <c r="B3439" s="1115" t="s">
        <v>168</v>
      </c>
      <c r="C3439" s="1115" t="n">
        <v>89780</v>
      </c>
      <c r="D3439" s="1115" t="s">
        <v>2139</v>
      </c>
      <c r="E3439" s="1115" t="s">
        <v>2372</v>
      </c>
      <c r="F3439" s="1115" t="n">
        <v>31790</v>
      </c>
      <c r="G3439" s="1115" t="n">
        <v>91200</v>
      </c>
      <c r="H3439" s="1115" t="s">
        <v>1633</v>
      </c>
      <c r="I3439" s="1115" t="n">
        <v>89800</v>
      </c>
      <c r="J3439" s="1115" t="s">
        <v>863</v>
      </c>
    </row>
    <row r="3440" customFormat="false" ht="14.1" hidden="false" customHeight="true" outlineLevel="0" collapsed="false">
      <c r="A3440" s="1115" t="n">
        <v>89790</v>
      </c>
      <c r="B3440" s="1115" t="s">
        <v>168</v>
      </c>
      <c r="C3440" s="1115" t="n">
        <v>89790</v>
      </c>
      <c r="D3440" s="1115" t="s">
        <v>2582</v>
      </c>
      <c r="E3440" s="1115" t="s">
        <v>3948</v>
      </c>
      <c r="F3440" s="1115" t="n">
        <v>98730</v>
      </c>
      <c r="G3440" s="1115" t="n">
        <v>91210</v>
      </c>
      <c r="H3440" s="1115" t="s">
        <v>1986</v>
      </c>
      <c r="I3440" s="1115" t="n">
        <v>89830</v>
      </c>
      <c r="J3440" s="1115" t="s">
        <v>863</v>
      </c>
    </row>
    <row r="3441" customFormat="false" ht="14.1" hidden="false" customHeight="true" outlineLevel="0" collapsed="false">
      <c r="A3441" s="1115" t="n">
        <v>89800</v>
      </c>
      <c r="B3441" s="1115" t="s">
        <v>168</v>
      </c>
      <c r="C3441" s="1115" t="n">
        <v>89800</v>
      </c>
      <c r="D3441" s="1115" t="s">
        <v>1531</v>
      </c>
      <c r="E3441" s="1115" t="s">
        <v>1619</v>
      </c>
      <c r="F3441" s="1115" t="n">
        <v>12920</v>
      </c>
      <c r="G3441" s="1115" t="n">
        <v>91220</v>
      </c>
      <c r="H3441" s="1115" t="s">
        <v>2260</v>
      </c>
      <c r="I3441" s="1115" t="n">
        <v>89840</v>
      </c>
      <c r="J3441" s="1115" t="s">
        <v>863</v>
      </c>
    </row>
    <row r="3442" customFormat="false" ht="14.1" hidden="false" customHeight="true" outlineLevel="0" collapsed="false">
      <c r="A3442" s="1115" t="n">
        <v>89830</v>
      </c>
      <c r="B3442" s="1115" t="s">
        <v>168</v>
      </c>
      <c r="C3442" s="1115" t="n">
        <v>89830</v>
      </c>
      <c r="D3442" s="1115" t="s">
        <v>860</v>
      </c>
      <c r="E3442" s="1115" t="s">
        <v>3329</v>
      </c>
      <c r="F3442" s="1115" t="n">
        <v>58950</v>
      </c>
      <c r="G3442" s="1115" t="n">
        <v>91230</v>
      </c>
      <c r="H3442" s="1115" t="s">
        <v>2390</v>
      </c>
      <c r="I3442" s="1115" t="n">
        <v>89920</v>
      </c>
      <c r="J3442" s="1115" t="s">
        <v>863</v>
      </c>
    </row>
    <row r="3443" customFormat="false" ht="14.1" hidden="false" customHeight="true" outlineLevel="0" collapsed="false">
      <c r="A3443" s="1115" t="n">
        <v>89840</v>
      </c>
      <c r="B3443" s="1115" t="s">
        <v>168</v>
      </c>
      <c r="C3443" s="1115" t="n">
        <v>89840</v>
      </c>
      <c r="D3443" s="1115" t="s">
        <v>3941</v>
      </c>
      <c r="E3443" s="1115" t="s">
        <v>1820</v>
      </c>
      <c r="F3443" s="1115" t="n">
        <v>17710</v>
      </c>
      <c r="G3443" s="1115" t="n">
        <v>91240</v>
      </c>
      <c r="H3443" s="1115" t="s">
        <v>3927</v>
      </c>
      <c r="I3443" s="1115" t="n">
        <v>89940</v>
      </c>
      <c r="J3443" s="1115" t="s">
        <v>863</v>
      </c>
    </row>
    <row r="3444" customFormat="false" ht="14.1" hidden="false" customHeight="true" outlineLevel="0" collapsed="false">
      <c r="A3444" s="1115" t="n">
        <v>89920</v>
      </c>
      <c r="B3444" s="1115" t="s">
        <v>168</v>
      </c>
      <c r="C3444" s="1115" t="n">
        <v>89920</v>
      </c>
      <c r="D3444" s="1115" t="s">
        <v>3751</v>
      </c>
      <c r="E3444" s="1115" t="s">
        <v>1568</v>
      </c>
      <c r="F3444" s="1115" t="n">
        <v>95400</v>
      </c>
      <c r="G3444" s="1115" t="n">
        <v>91250</v>
      </c>
      <c r="H3444" s="1115" t="s">
        <v>3949</v>
      </c>
      <c r="I3444" s="1115" t="n">
        <v>90007</v>
      </c>
      <c r="J3444" s="1115" t="s">
        <v>169</v>
      </c>
    </row>
    <row r="3445" customFormat="false" ht="14.1" hidden="false" customHeight="true" outlineLevel="0" collapsed="false">
      <c r="A3445" s="1115" t="n">
        <v>89940</v>
      </c>
      <c r="B3445" s="1115" t="s">
        <v>168</v>
      </c>
      <c r="C3445" s="1115" t="n">
        <v>89940</v>
      </c>
      <c r="D3445" s="1115" t="s">
        <v>3842</v>
      </c>
      <c r="E3445" s="1115" t="s">
        <v>1568</v>
      </c>
      <c r="F3445" s="1115" t="n">
        <v>95400</v>
      </c>
      <c r="G3445" s="1115" t="n">
        <v>91260</v>
      </c>
      <c r="H3445" s="1115" t="s">
        <v>3452</v>
      </c>
      <c r="I3445" s="1115" t="n">
        <v>90009</v>
      </c>
      <c r="J3445" s="1115" t="s">
        <v>169</v>
      </c>
    </row>
    <row r="3446" customFormat="false" ht="14.1" hidden="false" customHeight="true" outlineLevel="0" collapsed="false">
      <c r="A3446" s="1115" t="n">
        <v>90007</v>
      </c>
      <c r="B3446" s="1115" t="s">
        <v>169</v>
      </c>
      <c r="C3446" s="1115" t="n">
        <v>90007</v>
      </c>
      <c r="D3446" s="1115" t="s">
        <v>169</v>
      </c>
      <c r="E3446" s="1115" t="s">
        <v>1568</v>
      </c>
      <c r="F3446" s="1115" t="n">
        <v>95400</v>
      </c>
      <c r="G3446" s="1115" t="n">
        <v>91270</v>
      </c>
      <c r="H3446" s="1115" t="s">
        <v>3776</v>
      </c>
      <c r="I3446" s="1115" t="n">
        <v>90100</v>
      </c>
      <c r="J3446" s="1115" t="s">
        <v>169</v>
      </c>
    </row>
    <row r="3447" customFormat="false" ht="14.1" hidden="false" customHeight="true" outlineLevel="0" collapsed="false">
      <c r="A3447" s="1115" t="n">
        <v>90009</v>
      </c>
      <c r="B3447" s="1115" t="s">
        <v>169</v>
      </c>
      <c r="C3447" s="1115" t="n">
        <v>90009</v>
      </c>
      <c r="D3447" s="1115" t="s">
        <v>169</v>
      </c>
      <c r="E3447" s="1115" t="s">
        <v>1568</v>
      </c>
      <c r="F3447" s="1115" t="n">
        <v>95410</v>
      </c>
      <c r="G3447" s="1115" t="n">
        <v>91300</v>
      </c>
      <c r="H3447" s="1115" t="s">
        <v>1635</v>
      </c>
      <c r="I3447" s="1115" t="n">
        <v>90130</v>
      </c>
      <c r="J3447" s="1115" t="s">
        <v>169</v>
      </c>
    </row>
    <row r="3448" customFormat="false" ht="14.1" hidden="false" customHeight="true" outlineLevel="0" collapsed="false">
      <c r="A3448" s="1115" t="n">
        <v>90100</v>
      </c>
      <c r="B3448" s="1115" t="s">
        <v>169</v>
      </c>
      <c r="C3448" s="1115" t="n">
        <v>90100</v>
      </c>
      <c r="D3448" s="1115" t="s">
        <v>169</v>
      </c>
      <c r="E3448" s="1115" t="s">
        <v>1568</v>
      </c>
      <c r="F3448" s="1115" t="n">
        <v>95420</v>
      </c>
      <c r="G3448" s="1115" t="n">
        <v>91310</v>
      </c>
      <c r="H3448" s="1115" t="s">
        <v>908</v>
      </c>
      <c r="I3448" s="1115" t="n">
        <v>90140</v>
      </c>
      <c r="J3448" s="1115" t="s">
        <v>169</v>
      </c>
    </row>
    <row r="3449" customFormat="false" ht="14.1" hidden="false" customHeight="true" outlineLevel="0" collapsed="false">
      <c r="A3449" s="1115" t="n">
        <v>90130</v>
      </c>
      <c r="B3449" s="1115" t="s">
        <v>169</v>
      </c>
      <c r="C3449" s="1115" t="n">
        <v>90130</v>
      </c>
      <c r="D3449" s="1115" t="s">
        <v>169</v>
      </c>
      <c r="E3449" s="1115" t="s">
        <v>1568</v>
      </c>
      <c r="F3449" s="1115" t="n">
        <v>95430</v>
      </c>
      <c r="G3449" s="1115" t="n">
        <v>91320</v>
      </c>
      <c r="H3449" s="1115" t="s">
        <v>2023</v>
      </c>
      <c r="I3449" s="1115" t="n">
        <v>90150</v>
      </c>
      <c r="J3449" s="1115" t="s">
        <v>169</v>
      </c>
    </row>
    <row r="3450" customFormat="false" ht="14.1" hidden="false" customHeight="true" outlineLevel="0" collapsed="false">
      <c r="A3450" s="1115" t="n">
        <v>90140</v>
      </c>
      <c r="B3450" s="1115" t="s">
        <v>169</v>
      </c>
      <c r="C3450" s="1115" t="n">
        <v>90140</v>
      </c>
      <c r="D3450" s="1115" t="s">
        <v>169</v>
      </c>
      <c r="E3450" s="1115" t="s">
        <v>1568</v>
      </c>
      <c r="F3450" s="1115" t="n">
        <v>95440</v>
      </c>
      <c r="G3450" s="1115" t="n">
        <v>91330</v>
      </c>
      <c r="H3450" s="1115" t="s">
        <v>3363</v>
      </c>
      <c r="I3450" s="1115" t="n">
        <v>90160</v>
      </c>
      <c r="J3450" s="1115" t="s">
        <v>169</v>
      </c>
    </row>
    <row r="3451" customFormat="false" ht="14.1" hidden="false" customHeight="true" outlineLevel="0" collapsed="false">
      <c r="A3451" s="1115" t="n">
        <v>90150</v>
      </c>
      <c r="B3451" s="1115" t="s">
        <v>169</v>
      </c>
      <c r="C3451" s="1115" t="n">
        <v>90150</v>
      </c>
      <c r="D3451" s="1115" t="s">
        <v>169</v>
      </c>
      <c r="E3451" s="1115" t="s">
        <v>1568</v>
      </c>
      <c r="F3451" s="1115" t="n">
        <v>95450</v>
      </c>
      <c r="G3451" s="1115" t="n">
        <v>91340</v>
      </c>
      <c r="H3451" s="1115" t="s">
        <v>2013</v>
      </c>
      <c r="I3451" s="1115" t="n">
        <v>90210</v>
      </c>
      <c r="J3451" s="1115" t="s">
        <v>169</v>
      </c>
    </row>
    <row r="3452" customFormat="false" ht="14.1" hidden="false" customHeight="true" outlineLevel="0" collapsed="false">
      <c r="A3452" s="1115" t="n">
        <v>90160</v>
      </c>
      <c r="B3452" s="1115" t="s">
        <v>169</v>
      </c>
      <c r="C3452" s="1115" t="n">
        <v>90160</v>
      </c>
      <c r="D3452" s="1115" t="s">
        <v>169</v>
      </c>
      <c r="E3452" s="1115" t="s">
        <v>1568</v>
      </c>
      <c r="F3452" s="1115" t="n">
        <v>95460</v>
      </c>
      <c r="G3452" s="1115" t="n">
        <v>91350</v>
      </c>
      <c r="H3452" s="1115" t="s">
        <v>862</v>
      </c>
      <c r="I3452" s="1115" t="n">
        <v>90220</v>
      </c>
      <c r="J3452" s="1115" t="s">
        <v>169</v>
      </c>
    </row>
    <row r="3453" customFormat="false" ht="14.1" hidden="false" customHeight="true" outlineLevel="0" collapsed="false">
      <c r="A3453" s="1115" t="n">
        <v>90210</v>
      </c>
      <c r="B3453" s="1115" t="s">
        <v>169</v>
      </c>
      <c r="C3453" s="1115" t="n">
        <v>90210</v>
      </c>
      <c r="D3453" s="1115" t="s">
        <v>169</v>
      </c>
      <c r="E3453" s="1115" t="s">
        <v>1568</v>
      </c>
      <c r="F3453" s="1115" t="n">
        <v>95470</v>
      </c>
      <c r="G3453" s="1115" t="n">
        <v>91370</v>
      </c>
      <c r="H3453" s="1115" t="s">
        <v>3950</v>
      </c>
      <c r="I3453" s="1115" t="n">
        <v>90230</v>
      </c>
      <c r="J3453" s="1115" t="s">
        <v>169</v>
      </c>
    </row>
    <row r="3454" customFormat="false" ht="14.1" hidden="false" customHeight="true" outlineLevel="0" collapsed="false">
      <c r="A3454" s="1115" t="n">
        <v>90220</v>
      </c>
      <c r="B3454" s="1115" t="s">
        <v>169</v>
      </c>
      <c r="C3454" s="1115" t="n">
        <v>90220</v>
      </c>
      <c r="D3454" s="1115" t="s">
        <v>169</v>
      </c>
      <c r="E3454" s="1115" t="s">
        <v>1568</v>
      </c>
      <c r="F3454" s="1115" t="n">
        <v>95490</v>
      </c>
      <c r="G3454" s="1115" t="n">
        <v>91410</v>
      </c>
      <c r="H3454" s="1115" t="s">
        <v>2019</v>
      </c>
      <c r="I3454" s="1115" t="n">
        <v>90250</v>
      </c>
      <c r="J3454" s="1115" t="s">
        <v>169</v>
      </c>
    </row>
    <row r="3455" customFormat="false" ht="14.1" hidden="false" customHeight="true" outlineLevel="0" collapsed="false">
      <c r="A3455" s="1115" t="n">
        <v>90230</v>
      </c>
      <c r="B3455" s="1115" t="s">
        <v>169</v>
      </c>
      <c r="C3455" s="1115" t="n">
        <v>90230</v>
      </c>
      <c r="D3455" s="1115" t="s">
        <v>169</v>
      </c>
      <c r="E3455" s="1115" t="s">
        <v>1568</v>
      </c>
      <c r="F3455" s="1115" t="n">
        <v>95500</v>
      </c>
      <c r="G3455" s="1115" t="n">
        <v>91420</v>
      </c>
      <c r="H3455" s="1115" t="s">
        <v>2396</v>
      </c>
      <c r="I3455" s="1115" t="n">
        <v>90310</v>
      </c>
      <c r="J3455" s="1115" t="s">
        <v>169</v>
      </c>
    </row>
    <row r="3456" customFormat="false" ht="14.1" hidden="false" customHeight="true" outlineLevel="0" collapsed="false">
      <c r="A3456" s="1115" t="n">
        <v>90250</v>
      </c>
      <c r="B3456" s="1115" t="s">
        <v>169</v>
      </c>
      <c r="C3456" s="1115" t="n">
        <v>90250</v>
      </c>
      <c r="D3456" s="1115" t="s">
        <v>169</v>
      </c>
      <c r="E3456" s="1115" t="s">
        <v>1568</v>
      </c>
      <c r="F3456" s="1115" t="n">
        <v>95520</v>
      </c>
      <c r="G3456" s="1115" t="n">
        <v>91430</v>
      </c>
      <c r="H3456" s="1115" t="s">
        <v>2962</v>
      </c>
      <c r="I3456" s="1115" t="n">
        <v>90420</v>
      </c>
      <c r="J3456" s="1115" t="s">
        <v>169</v>
      </c>
    </row>
    <row r="3457" customFormat="false" ht="14.1" hidden="false" customHeight="true" outlineLevel="0" collapsed="false">
      <c r="A3457" s="1115" t="n">
        <v>90310</v>
      </c>
      <c r="B3457" s="1115" t="s">
        <v>169</v>
      </c>
      <c r="C3457" s="1115" t="n">
        <v>90310</v>
      </c>
      <c r="D3457" s="1115" t="s">
        <v>169</v>
      </c>
      <c r="E3457" s="1115" t="s">
        <v>1568</v>
      </c>
      <c r="F3457" s="1115" t="n">
        <v>95530</v>
      </c>
      <c r="G3457" s="1115" t="n">
        <v>91500</v>
      </c>
      <c r="H3457" s="1115" t="s">
        <v>1237</v>
      </c>
      <c r="I3457" s="1115" t="n">
        <v>90440</v>
      </c>
      <c r="J3457" s="1115" t="s">
        <v>1043</v>
      </c>
    </row>
    <row r="3458" customFormat="false" ht="14.1" hidden="false" customHeight="true" outlineLevel="0" collapsed="false">
      <c r="A3458" s="1115" t="n">
        <v>90420</v>
      </c>
      <c r="B3458" s="1115" t="s">
        <v>169</v>
      </c>
      <c r="C3458" s="1115" t="n">
        <v>90420</v>
      </c>
      <c r="D3458" s="1115" t="s">
        <v>169</v>
      </c>
      <c r="E3458" s="1115" t="s">
        <v>1568</v>
      </c>
      <c r="F3458" s="1115" t="n">
        <v>95540</v>
      </c>
      <c r="G3458" s="1115" t="n">
        <v>91510</v>
      </c>
      <c r="H3458" s="1115" t="s">
        <v>3743</v>
      </c>
      <c r="I3458" s="1115" t="n">
        <v>90450</v>
      </c>
      <c r="J3458" s="1115" t="s">
        <v>1043</v>
      </c>
    </row>
    <row r="3459" customFormat="false" ht="14.1" hidden="false" customHeight="true" outlineLevel="0" collapsed="false">
      <c r="A3459" s="1115" t="n">
        <v>90440</v>
      </c>
      <c r="B3459" s="1115" t="s">
        <v>169</v>
      </c>
      <c r="C3459" s="1115" t="n">
        <v>90440</v>
      </c>
      <c r="D3459" s="1115" t="s">
        <v>1043</v>
      </c>
      <c r="E3459" s="1115" t="s">
        <v>1568</v>
      </c>
      <c r="F3459" s="1115" t="n">
        <v>95560</v>
      </c>
      <c r="G3459" s="1115" t="n">
        <v>91540</v>
      </c>
      <c r="H3459" s="1115" t="s">
        <v>1843</v>
      </c>
      <c r="I3459" s="1115" t="n">
        <v>90460</v>
      </c>
      <c r="J3459" s="1115" t="s">
        <v>1309</v>
      </c>
    </row>
    <row r="3460" customFormat="false" ht="14.1" hidden="false" customHeight="true" outlineLevel="0" collapsed="false">
      <c r="A3460" s="1115" t="n">
        <v>90450</v>
      </c>
      <c r="B3460" s="1115" t="s">
        <v>169</v>
      </c>
      <c r="C3460" s="1115" t="n">
        <v>90450</v>
      </c>
      <c r="D3460" s="1115" t="s">
        <v>1043</v>
      </c>
      <c r="E3460" s="1115" t="s">
        <v>1568</v>
      </c>
      <c r="F3460" s="1115" t="n">
        <v>95590</v>
      </c>
      <c r="G3460" s="1115" t="n">
        <v>91560</v>
      </c>
      <c r="H3460" s="1115" t="s">
        <v>2771</v>
      </c>
      <c r="I3460" s="1115" t="n">
        <v>90470</v>
      </c>
      <c r="J3460" s="1115" t="s">
        <v>1309</v>
      </c>
    </row>
    <row r="3461" customFormat="false" ht="14.1" hidden="false" customHeight="true" outlineLevel="0" collapsed="false">
      <c r="A3461" s="1115" t="n">
        <v>90460</v>
      </c>
      <c r="B3461" s="1115" t="s">
        <v>169</v>
      </c>
      <c r="C3461" s="1115" t="n">
        <v>90460</v>
      </c>
      <c r="D3461" s="1115" t="s">
        <v>1309</v>
      </c>
      <c r="E3461" s="1115" t="s">
        <v>3263</v>
      </c>
      <c r="F3461" s="1115" t="n">
        <v>58210</v>
      </c>
      <c r="G3461" s="1115" t="n">
        <v>91600</v>
      </c>
      <c r="H3461" s="1115" t="s">
        <v>1582</v>
      </c>
      <c r="I3461" s="1115" t="n">
        <v>90480</v>
      </c>
      <c r="J3461" s="1115" t="s">
        <v>808</v>
      </c>
    </row>
    <row r="3462" customFormat="false" ht="14.1" hidden="false" customHeight="true" outlineLevel="0" collapsed="false">
      <c r="A3462" s="1115" t="n">
        <v>90470</v>
      </c>
      <c r="B3462" s="1115" t="s">
        <v>169</v>
      </c>
      <c r="C3462" s="1115" t="n">
        <v>90470</v>
      </c>
      <c r="D3462" s="1115" t="s">
        <v>3943</v>
      </c>
      <c r="E3462" s="1115" t="s">
        <v>1411</v>
      </c>
      <c r="F3462" s="1115" t="n">
        <v>7550</v>
      </c>
      <c r="G3462" s="1115" t="n">
        <v>91620</v>
      </c>
      <c r="H3462" s="1115" t="s">
        <v>3813</v>
      </c>
      <c r="I3462" s="1115" t="n">
        <v>90500</v>
      </c>
      <c r="J3462" s="1115" t="s">
        <v>169</v>
      </c>
    </row>
    <row r="3463" customFormat="false" ht="14.1" hidden="false" customHeight="true" outlineLevel="0" collapsed="false">
      <c r="A3463" s="1115" t="n">
        <v>90480</v>
      </c>
      <c r="B3463" s="1115" t="s">
        <v>169</v>
      </c>
      <c r="C3463" s="1115" t="n">
        <v>90480</v>
      </c>
      <c r="D3463" s="1115" t="s">
        <v>808</v>
      </c>
      <c r="E3463" s="1115" t="s">
        <v>2315</v>
      </c>
      <c r="F3463" s="1115" t="n">
        <v>30980</v>
      </c>
      <c r="G3463" s="1115" t="n">
        <v>91630</v>
      </c>
      <c r="H3463" s="1115" t="s">
        <v>2051</v>
      </c>
      <c r="I3463" s="1115" t="n">
        <v>90520</v>
      </c>
      <c r="J3463" s="1115" t="s">
        <v>169</v>
      </c>
    </row>
    <row r="3464" customFormat="false" ht="14.1" hidden="false" customHeight="true" outlineLevel="0" collapsed="false">
      <c r="A3464" s="1115" t="n">
        <v>90500</v>
      </c>
      <c r="B3464" s="1115" t="s">
        <v>169</v>
      </c>
      <c r="C3464" s="1115" t="n">
        <v>90500</v>
      </c>
      <c r="D3464" s="1115" t="s">
        <v>169</v>
      </c>
      <c r="E3464" s="1115" t="s">
        <v>2043</v>
      </c>
      <c r="F3464" s="1115" t="n">
        <v>22910</v>
      </c>
      <c r="G3464" s="1115" t="n">
        <v>91640</v>
      </c>
      <c r="H3464" s="1115" t="s">
        <v>3902</v>
      </c>
      <c r="I3464" s="1115" t="n">
        <v>90530</v>
      </c>
      <c r="J3464" s="1115" t="s">
        <v>169</v>
      </c>
    </row>
    <row r="3465" customFormat="false" ht="14.1" hidden="false" customHeight="true" outlineLevel="0" collapsed="false">
      <c r="A3465" s="1115" t="n">
        <v>90520</v>
      </c>
      <c r="B3465" s="1115" t="s">
        <v>169</v>
      </c>
      <c r="C3465" s="1115" t="n">
        <v>90520</v>
      </c>
      <c r="D3465" s="1115" t="s">
        <v>169</v>
      </c>
      <c r="E3465" s="1115" t="s">
        <v>2043</v>
      </c>
      <c r="F3465" s="1115" t="n">
        <v>22910</v>
      </c>
      <c r="G3465" s="1115" t="n">
        <v>91660</v>
      </c>
      <c r="H3465" s="1115" t="s">
        <v>733</v>
      </c>
      <c r="I3465" s="1115" t="n">
        <v>90550</v>
      </c>
      <c r="J3465" s="1115" t="s">
        <v>169</v>
      </c>
    </row>
    <row r="3466" customFormat="false" ht="14.1" hidden="false" customHeight="true" outlineLevel="0" collapsed="false">
      <c r="A3466" s="1115" t="n">
        <v>90530</v>
      </c>
      <c r="B3466" s="1115" t="s">
        <v>169</v>
      </c>
      <c r="C3466" s="1115" t="n">
        <v>90530</v>
      </c>
      <c r="D3466" s="1115" t="s">
        <v>169</v>
      </c>
      <c r="E3466" s="1115" t="s">
        <v>1948</v>
      </c>
      <c r="F3466" s="1115" t="n">
        <v>21340</v>
      </c>
      <c r="G3466" s="1115" t="n">
        <v>91700</v>
      </c>
      <c r="H3466" s="1115" t="s">
        <v>1587</v>
      </c>
      <c r="I3466" s="1115" t="n">
        <v>90560</v>
      </c>
      <c r="J3466" s="1115" t="s">
        <v>169</v>
      </c>
    </row>
    <row r="3467" customFormat="false" ht="14.1" hidden="false" customHeight="true" outlineLevel="0" collapsed="false">
      <c r="A3467" s="1115" t="n">
        <v>90550</v>
      </c>
      <c r="B3467" s="1115" t="s">
        <v>169</v>
      </c>
      <c r="C3467" s="1115" t="n">
        <v>90550</v>
      </c>
      <c r="D3467" s="1115" t="s">
        <v>169</v>
      </c>
      <c r="E3467" s="1115" t="s">
        <v>3951</v>
      </c>
      <c r="F3467" s="1115" t="n">
        <v>99540</v>
      </c>
      <c r="G3467" s="1115" t="n">
        <v>91710</v>
      </c>
      <c r="H3467" s="1115" t="s">
        <v>2076</v>
      </c>
      <c r="I3467" s="1115" t="n">
        <v>90570</v>
      </c>
      <c r="J3467" s="1115" t="s">
        <v>169</v>
      </c>
    </row>
    <row r="3468" customFormat="false" ht="14.1" hidden="false" customHeight="true" outlineLevel="0" collapsed="false">
      <c r="A3468" s="1115" t="n">
        <v>90560</v>
      </c>
      <c r="B3468" s="1115" t="s">
        <v>169</v>
      </c>
      <c r="C3468" s="1115" t="n">
        <v>90560</v>
      </c>
      <c r="D3468" s="1115" t="s">
        <v>169</v>
      </c>
      <c r="E3468" s="1115" t="s">
        <v>1664</v>
      </c>
      <c r="F3468" s="1115" t="n">
        <v>14690</v>
      </c>
      <c r="G3468" s="1115" t="n">
        <v>91720</v>
      </c>
      <c r="H3468" s="1115" t="s">
        <v>3426</v>
      </c>
      <c r="I3468" s="1115" t="n">
        <v>90580</v>
      </c>
      <c r="J3468" s="1115" t="s">
        <v>169</v>
      </c>
    </row>
    <row r="3469" customFormat="false" ht="14.1" hidden="false" customHeight="true" outlineLevel="0" collapsed="false">
      <c r="A3469" s="1115" t="n">
        <v>90570</v>
      </c>
      <c r="B3469" s="1115" t="s">
        <v>169</v>
      </c>
      <c r="C3469" s="1115" t="n">
        <v>90570</v>
      </c>
      <c r="D3469" s="1115" t="s">
        <v>169</v>
      </c>
      <c r="E3469" s="1115" t="s">
        <v>3689</v>
      </c>
      <c r="F3469" s="1115" t="n">
        <v>72930</v>
      </c>
      <c r="G3469" s="1115" t="n">
        <v>91730</v>
      </c>
      <c r="H3469" s="1115" t="s">
        <v>2225</v>
      </c>
      <c r="I3469" s="1115" t="n">
        <v>90600</v>
      </c>
      <c r="J3469" s="1115" t="s">
        <v>169</v>
      </c>
    </row>
    <row r="3470" customFormat="false" ht="14.1" hidden="false" customHeight="true" outlineLevel="0" collapsed="false">
      <c r="A3470" s="1115" t="n">
        <v>90580</v>
      </c>
      <c r="B3470" s="1115" t="s">
        <v>169</v>
      </c>
      <c r="C3470" s="1115" t="n">
        <v>90580</v>
      </c>
      <c r="D3470" s="1115" t="s">
        <v>169</v>
      </c>
      <c r="E3470" s="1115" t="s">
        <v>3344</v>
      </c>
      <c r="F3470" s="1115" t="n">
        <v>59830</v>
      </c>
      <c r="G3470" s="1115" t="n">
        <v>91740</v>
      </c>
      <c r="H3470" s="1115" t="s">
        <v>1980</v>
      </c>
      <c r="I3470" s="1115" t="n">
        <v>90630</v>
      </c>
      <c r="J3470" s="1115" t="s">
        <v>169</v>
      </c>
    </row>
    <row r="3471" customFormat="false" ht="14.1" hidden="false" customHeight="true" outlineLevel="0" collapsed="false">
      <c r="A3471" s="1115" t="n">
        <v>90600</v>
      </c>
      <c r="B3471" s="1115" t="s">
        <v>169</v>
      </c>
      <c r="C3471" s="1115" t="n">
        <v>90600</v>
      </c>
      <c r="D3471" s="1115" t="s">
        <v>169</v>
      </c>
      <c r="E3471" s="1115" t="s">
        <v>3952</v>
      </c>
      <c r="F3471" s="1115" t="n">
        <v>97145</v>
      </c>
      <c r="G3471" s="1115" t="n">
        <v>91750</v>
      </c>
      <c r="H3471" s="1115" t="s">
        <v>3002</v>
      </c>
      <c r="I3471" s="1115" t="n">
        <v>90650</v>
      </c>
      <c r="J3471" s="1115" t="s">
        <v>169</v>
      </c>
    </row>
    <row r="3472" customFormat="false" ht="14.1" hidden="false" customHeight="true" outlineLevel="0" collapsed="false">
      <c r="A3472" s="1115" t="n">
        <v>90630</v>
      </c>
      <c r="B3472" s="1115" t="s">
        <v>169</v>
      </c>
      <c r="C3472" s="1115" t="n">
        <v>90630</v>
      </c>
      <c r="D3472" s="1115" t="s">
        <v>169</v>
      </c>
      <c r="E3472" s="1115" t="s">
        <v>3578</v>
      </c>
      <c r="F3472" s="1115" t="n">
        <v>66650</v>
      </c>
      <c r="G3472" s="1115" t="n">
        <v>91760</v>
      </c>
      <c r="H3472" s="1115" t="s">
        <v>3904</v>
      </c>
      <c r="I3472" s="1115" t="n">
        <v>90740</v>
      </c>
      <c r="J3472" s="1115" t="s">
        <v>1237</v>
      </c>
    </row>
    <row r="3473" customFormat="false" ht="14.1" hidden="false" customHeight="true" outlineLevel="0" collapsed="false">
      <c r="A3473" s="1115" t="n">
        <v>90650</v>
      </c>
      <c r="B3473" s="1115" t="s">
        <v>169</v>
      </c>
      <c r="C3473" s="1115" t="n">
        <v>90650</v>
      </c>
      <c r="D3473" s="1115" t="s">
        <v>169</v>
      </c>
      <c r="E3473" s="1115" t="s">
        <v>2589</v>
      </c>
      <c r="F3473" s="1115" t="n">
        <v>37310</v>
      </c>
      <c r="G3473" s="1115" t="n">
        <v>91765</v>
      </c>
      <c r="H3473" s="1115" t="s">
        <v>1094</v>
      </c>
      <c r="I3473" s="1115" t="n">
        <v>90760</v>
      </c>
      <c r="J3473" s="1115" t="s">
        <v>1237</v>
      </c>
    </row>
    <row r="3474" customFormat="false" ht="14.1" hidden="false" customHeight="true" outlineLevel="0" collapsed="false">
      <c r="A3474" s="1115" t="n">
        <v>90740</v>
      </c>
      <c r="B3474" s="1115" t="s">
        <v>169</v>
      </c>
      <c r="C3474" s="1115" t="n">
        <v>90740</v>
      </c>
      <c r="D3474" s="1115" t="s">
        <v>2902</v>
      </c>
      <c r="E3474" s="1115" t="s">
        <v>2916</v>
      </c>
      <c r="F3474" s="1115" t="n">
        <v>44650</v>
      </c>
      <c r="G3474" s="1115" t="n">
        <v>91780</v>
      </c>
      <c r="H3474" s="1115" t="s">
        <v>3302</v>
      </c>
      <c r="I3474" s="1115" t="n">
        <v>90800</v>
      </c>
      <c r="J3474" s="1115" t="s">
        <v>169</v>
      </c>
    </row>
    <row r="3475" customFormat="false" ht="14.1" hidden="false" customHeight="true" outlineLevel="0" collapsed="false">
      <c r="A3475" s="1115" t="n">
        <v>90760</v>
      </c>
      <c r="B3475" s="1115" t="s">
        <v>169</v>
      </c>
      <c r="C3475" s="1115" t="n">
        <v>90760</v>
      </c>
      <c r="D3475" s="1115" t="s">
        <v>3445</v>
      </c>
      <c r="E3475" s="1115" t="s">
        <v>2297</v>
      </c>
      <c r="F3475" s="1115" t="n">
        <v>29910</v>
      </c>
      <c r="G3475" s="1115" t="n">
        <v>91790</v>
      </c>
      <c r="H3475" s="1115" t="s">
        <v>3359</v>
      </c>
      <c r="I3475" s="1115" t="n">
        <v>90810</v>
      </c>
      <c r="J3475" s="1115" t="s">
        <v>836</v>
      </c>
    </row>
    <row r="3476" customFormat="false" ht="14.1" hidden="false" customHeight="true" outlineLevel="0" collapsed="false">
      <c r="A3476" s="1115" t="n">
        <v>90800</v>
      </c>
      <c r="B3476" s="1115" t="s">
        <v>169</v>
      </c>
      <c r="C3476" s="1115" t="n">
        <v>90800</v>
      </c>
      <c r="D3476" s="1115" t="s">
        <v>169</v>
      </c>
      <c r="E3476" s="1115" t="s">
        <v>3579</v>
      </c>
      <c r="F3476" s="1115" t="n">
        <v>66670</v>
      </c>
      <c r="G3476" s="1115" t="n">
        <v>91800</v>
      </c>
      <c r="H3476" s="1115" t="s">
        <v>1574</v>
      </c>
      <c r="I3476" s="1115" t="n">
        <v>90820</v>
      </c>
      <c r="J3476" s="1115" t="s">
        <v>836</v>
      </c>
    </row>
    <row r="3477" customFormat="false" ht="14.1" hidden="false" customHeight="true" outlineLevel="0" collapsed="false">
      <c r="A3477" s="1115" t="n">
        <v>90810</v>
      </c>
      <c r="B3477" s="1115" t="s">
        <v>169</v>
      </c>
      <c r="C3477" s="1115" t="n">
        <v>90810</v>
      </c>
      <c r="D3477" s="1115" t="s">
        <v>2453</v>
      </c>
      <c r="E3477" s="1115" t="s">
        <v>3919</v>
      </c>
      <c r="F3477" s="1115" t="n">
        <v>88120</v>
      </c>
      <c r="G3477" s="1115" t="n">
        <v>91810</v>
      </c>
      <c r="H3477" s="1115" t="s">
        <v>3953</v>
      </c>
      <c r="I3477" s="1115" t="n">
        <v>90830</v>
      </c>
      <c r="J3477" s="1115" t="s">
        <v>836</v>
      </c>
    </row>
    <row r="3478" customFormat="false" ht="14.1" hidden="false" customHeight="true" outlineLevel="0" collapsed="false">
      <c r="A3478" s="1115" t="n">
        <v>90820</v>
      </c>
      <c r="B3478" s="1115" t="s">
        <v>169</v>
      </c>
      <c r="C3478" s="1115" t="n">
        <v>90820</v>
      </c>
      <c r="D3478" s="1115" t="s">
        <v>2355</v>
      </c>
      <c r="E3478" s="1115" t="s">
        <v>2210</v>
      </c>
      <c r="F3478" s="1115" t="n">
        <v>27730</v>
      </c>
      <c r="G3478" s="1115" t="n">
        <v>91900</v>
      </c>
      <c r="H3478" s="1115" t="s">
        <v>1176</v>
      </c>
      <c r="I3478" s="1115" t="n">
        <v>90840</v>
      </c>
      <c r="J3478" s="1115" t="s">
        <v>836</v>
      </c>
    </row>
    <row r="3479" customFormat="false" ht="14.1" hidden="false" customHeight="true" outlineLevel="0" collapsed="false">
      <c r="A3479" s="1115" t="n">
        <v>90830</v>
      </c>
      <c r="B3479" s="1115" t="s">
        <v>169</v>
      </c>
      <c r="C3479" s="1115" t="n">
        <v>90830</v>
      </c>
      <c r="D3479" s="1115" t="s">
        <v>836</v>
      </c>
      <c r="E3479" s="1115" t="s">
        <v>3900</v>
      </c>
      <c r="F3479" s="1115" t="n">
        <v>85730</v>
      </c>
      <c r="G3479" s="1115" t="n">
        <v>91910</v>
      </c>
      <c r="H3479" s="1115" t="s">
        <v>3954</v>
      </c>
      <c r="I3479" s="1115" t="n">
        <v>90850</v>
      </c>
      <c r="J3479" s="1115" t="s">
        <v>836</v>
      </c>
    </row>
    <row r="3480" customFormat="false" ht="14.1" hidden="false" customHeight="true" outlineLevel="0" collapsed="false">
      <c r="A3480" s="1115" t="n">
        <v>90840</v>
      </c>
      <c r="B3480" s="1115" t="s">
        <v>169</v>
      </c>
      <c r="C3480" s="1115" t="n">
        <v>90840</v>
      </c>
      <c r="D3480" s="1115" t="s">
        <v>836</v>
      </c>
      <c r="E3480" s="1115" t="s">
        <v>3624</v>
      </c>
      <c r="F3480" s="1115" t="n">
        <v>69730</v>
      </c>
      <c r="G3480" s="1115" t="n">
        <v>91930</v>
      </c>
      <c r="H3480" s="1115" t="s">
        <v>854</v>
      </c>
      <c r="I3480" s="1115" t="n">
        <v>90860</v>
      </c>
      <c r="J3480" s="1115" t="s">
        <v>836</v>
      </c>
    </row>
    <row r="3481" customFormat="false" ht="14.1" hidden="false" customHeight="true" outlineLevel="0" collapsed="false">
      <c r="A3481" s="1115" t="n">
        <v>90850</v>
      </c>
      <c r="B3481" s="1115" t="s">
        <v>169</v>
      </c>
      <c r="C3481" s="1115" t="n">
        <v>90850</v>
      </c>
      <c r="D3481" s="1115" t="s">
        <v>3149</v>
      </c>
      <c r="E3481" s="1115" t="s">
        <v>2954</v>
      </c>
      <c r="F3481" s="1115" t="n">
        <v>46110</v>
      </c>
      <c r="G3481" s="1115" t="n">
        <v>91950</v>
      </c>
      <c r="H3481" s="1115" t="s">
        <v>3936</v>
      </c>
      <c r="I3481" s="1115" t="n">
        <v>90900</v>
      </c>
      <c r="J3481" s="1115" t="s">
        <v>1068</v>
      </c>
    </row>
    <row r="3482" customFormat="false" ht="14.1" hidden="false" customHeight="true" outlineLevel="0" collapsed="false">
      <c r="A3482" s="1115" t="n">
        <v>90860</v>
      </c>
      <c r="B3482" s="1115" t="s">
        <v>169</v>
      </c>
      <c r="C3482" s="1115" t="n">
        <v>90860</v>
      </c>
      <c r="D3482" s="1115" t="s">
        <v>1343</v>
      </c>
      <c r="E3482" s="1115" t="s">
        <v>3955</v>
      </c>
      <c r="F3482" s="1115" t="n">
        <v>98925</v>
      </c>
      <c r="G3482" s="1115" t="n">
        <v>91980</v>
      </c>
      <c r="H3482" s="1115" t="s">
        <v>1195</v>
      </c>
      <c r="I3482" s="1115" t="n">
        <v>90910</v>
      </c>
      <c r="J3482" s="1115" t="s">
        <v>1068</v>
      </c>
    </row>
    <row r="3483" customFormat="false" ht="14.1" hidden="false" customHeight="true" outlineLevel="0" collapsed="false">
      <c r="A3483" s="1115" t="n">
        <v>90900</v>
      </c>
      <c r="B3483" s="1115" t="s">
        <v>169</v>
      </c>
      <c r="C3483" s="1115" t="n">
        <v>90900</v>
      </c>
      <c r="D3483" s="1115" t="s">
        <v>1068</v>
      </c>
      <c r="E3483" s="1115" t="s">
        <v>2092</v>
      </c>
      <c r="F3483" s="1115" t="n">
        <v>25160</v>
      </c>
      <c r="G3483" s="1115" t="n">
        <v>92100</v>
      </c>
      <c r="H3483" s="1115" t="s">
        <v>1408</v>
      </c>
      <c r="I3483" s="1115" t="n">
        <v>90940</v>
      </c>
      <c r="J3483" s="1115" t="s">
        <v>1068</v>
      </c>
    </row>
    <row r="3484" customFormat="false" ht="14.1" hidden="false" customHeight="true" outlineLevel="0" collapsed="false">
      <c r="A3484" s="1115" t="n">
        <v>90910</v>
      </c>
      <c r="B3484" s="1115" t="s">
        <v>169</v>
      </c>
      <c r="C3484" s="1115" t="n">
        <v>90910</v>
      </c>
      <c r="D3484" s="1115" t="s">
        <v>2542</v>
      </c>
      <c r="E3484" s="1115" t="s">
        <v>2619</v>
      </c>
      <c r="F3484" s="1115" t="n">
        <v>37930</v>
      </c>
      <c r="G3484" s="1115" t="n">
        <v>92120</v>
      </c>
      <c r="H3484" s="1115" t="s">
        <v>1408</v>
      </c>
      <c r="I3484" s="1115" t="n">
        <v>91100</v>
      </c>
      <c r="J3484" s="1115" t="s">
        <v>872</v>
      </c>
    </row>
    <row r="3485" customFormat="false" ht="14.1" hidden="false" customHeight="true" outlineLevel="0" collapsed="false">
      <c r="A3485" s="1115" t="n">
        <v>90940</v>
      </c>
      <c r="B3485" s="1115" t="s">
        <v>169</v>
      </c>
      <c r="C3485" s="1115" t="n">
        <v>90940</v>
      </c>
      <c r="D3485" s="1115" t="s">
        <v>2119</v>
      </c>
      <c r="E3485" s="1115" t="s">
        <v>3354</v>
      </c>
      <c r="F3485" s="1115" t="n">
        <v>60720</v>
      </c>
      <c r="G3485" s="1115" t="n">
        <v>92130</v>
      </c>
      <c r="H3485" s="1115" t="s">
        <v>1408</v>
      </c>
      <c r="I3485" s="1115" t="n">
        <v>91110</v>
      </c>
      <c r="J3485" s="1115" t="s">
        <v>872</v>
      </c>
    </row>
    <row r="3486" customFormat="false" ht="14.1" hidden="false" customHeight="true" outlineLevel="0" collapsed="false">
      <c r="A3486" s="1115" t="n">
        <v>91100</v>
      </c>
      <c r="B3486" s="1115" t="s">
        <v>169</v>
      </c>
      <c r="C3486" s="1115" t="n">
        <v>91100</v>
      </c>
      <c r="D3486" s="1115" t="s">
        <v>872</v>
      </c>
      <c r="E3486" s="1115" t="s">
        <v>3956</v>
      </c>
      <c r="F3486" s="1115" t="n">
        <v>92470</v>
      </c>
      <c r="G3486" s="1115" t="n">
        <v>92140</v>
      </c>
      <c r="H3486" s="1115" t="s">
        <v>3507</v>
      </c>
      <c r="I3486" s="1115" t="n">
        <v>91140</v>
      </c>
      <c r="J3486" s="1115" t="s">
        <v>872</v>
      </c>
    </row>
    <row r="3487" customFormat="false" ht="14.1" hidden="false" customHeight="true" outlineLevel="0" collapsed="false">
      <c r="A3487" s="1115" t="n">
        <v>91110</v>
      </c>
      <c r="B3487" s="1115" t="s">
        <v>169</v>
      </c>
      <c r="C3487" s="1115" t="n">
        <v>91110</v>
      </c>
      <c r="D3487" s="1115" t="s">
        <v>872</v>
      </c>
      <c r="E3487" s="1115" t="s">
        <v>2651</v>
      </c>
      <c r="F3487" s="1115" t="n">
        <v>38690</v>
      </c>
      <c r="G3487" s="1115" t="n">
        <v>92160</v>
      </c>
      <c r="H3487" s="1115" t="s">
        <v>3807</v>
      </c>
      <c r="I3487" s="1115" t="n">
        <v>91150</v>
      </c>
      <c r="J3487" s="1115" t="s">
        <v>872</v>
      </c>
    </row>
    <row r="3488" customFormat="false" ht="14.1" hidden="false" customHeight="true" outlineLevel="0" collapsed="false">
      <c r="A3488" s="1115" t="n">
        <v>91140</v>
      </c>
      <c r="B3488" s="1115" t="s">
        <v>169</v>
      </c>
      <c r="C3488" s="1115" t="n">
        <v>91140</v>
      </c>
      <c r="D3488" s="1115" t="s">
        <v>3398</v>
      </c>
      <c r="E3488" s="1115" t="s">
        <v>3885</v>
      </c>
      <c r="F3488" s="1115" t="n">
        <v>83985</v>
      </c>
      <c r="G3488" s="1115" t="n">
        <v>92170</v>
      </c>
      <c r="H3488" s="1115" t="s">
        <v>3672</v>
      </c>
      <c r="I3488" s="1115" t="n">
        <v>91200</v>
      </c>
      <c r="J3488" s="1115" t="s">
        <v>1633</v>
      </c>
    </row>
    <row r="3489" customFormat="false" ht="14.1" hidden="false" customHeight="true" outlineLevel="0" collapsed="false">
      <c r="A3489" s="1115" t="n">
        <v>91150</v>
      </c>
      <c r="B3489" s="1115" t="s">
        <v>169</v>
      </c>
      <c r="C3489" s="1115" t="n">
        <v>91150</v>
      </c>
      <c r="D3489" s="1115" t="s">
        <v>3947</v>
      </c>
      <c r="E3489" s="1115" t="s">
        <v>2284</v>
      </c>
      <c r="F3489" s="1115" t="n">
        <v>29790</v>
      </c>
      <c r="G3489" s="1115" t="n">
        <v>92180</v>
      </c>
      <c r="H3489" s="1115" t="s">
        <v>2900</v>
      </c>
      <c r="I3489" s="1115" t="n">
        <v>91210</v>
      </c>
      <c r="J3489" s="1115" t="s">
        <v>1633</v>
      </c>
    </row>
    <row r="3490" customFormat="false" ht="14.1" hidden="false" customHeight="true" outlineLevel="0" collapsed="false">
      <c r="A3490" s="1115" t="n">
        <v>91200</v>
      </c>
      <c r="B3490" s="1115" t="s">
        <v>169</v>
      </c>
      <c r="C3490" s="1115" t="n">
        <v>91200</v>
      </c>
      <c r="D3490" s="1115" t="s">
        <v>1633</v>
      </c>
      <c r="E3490" s="1115" t="s">
        <v>3533</v>
      </c>
      <c r="F3490" s="1115" t="n">
        <v>65540</v>
      </c>
      <c r="G3490" s="1115" t="n">
        <v>92210</v>
      </c>
      <c r="H3490" s="1115" t="s">
        <v>910</v>
      </c>
      <c r="I3490" s="1115" t="n">
        <v>91220</v>
      </c>
      <c r="J3490" s="1115" t="s">
        <v>1633</v>
      </c>
    </row>
    <row r="3491" customFormat="false" ht="14.1" hidden="false" customHeight="true" outlineLevel="0" collapsed="false">
      <c r="A3491" s="1115" t="n">
        <v>91210</v>
      </c>
      <c r="B3491" s="1115" t="s">
        <v>169</v>
      </c>
      <c r="C3491" s="1115" t="n">
        <v>91210</v>
      </c>
      <c r="D3491" s="1115" t="s">
        <v>1986</v>
      </c>
      <c r="E3491" s="1115" t="s">
        <v>3666</v>
      </c>
      <c r="F3491" s="1115" t="n">
        <v>71775</v>
      </c>
      <c r="G3491" s="1115" t="n">
        <v>92220</v>
      </c>
      <c r="H3491" s="1115" t="s">
        <v>3559</v>
      </c>
      <c r="I3491" s="1115" t="n">
        <v>91230</v>
      </c>
      <c r="J3491" s="1115" t="s">
        <v>1633</v>
      </c>
    </row>
    <row r="3492" customFormat="false" ht="14.1" hidden="false" customHeight="true" outlineLevel="0" collapsed="false">
      <c r="A3492" s="1115" t="n">
        <v>91220</v>
      </c>
      <c r="B3492" s="1115" t="s">
        <v>169</v>
      </c>
      <c r="C3492" s="1115" t="n">
        <v>91220</v>
      </c>
      <c r="D3492" s="1115" t="s">
        <v>2260</v>
      </c>
      <c r="E3492" s="1115" t="s">
        <v>3954</v>
      </c>
      <c r="F3492" s="1115" t="n">
        <v>91910</v>
      </c>
      <c r="G3492" s="1115" t="n">
        <v>92250</v>
      </c>
      <c r="H3492" s="1115" t="s">
        <v>3957</v>
      </c>
      <c r="I3492" s="1115" t="n">
        <v>91240</v>
      </c>
      <c r="J3492" s="1115" t="s">
        <v>1633</v>
      </c>
    </row>
    <row r="3493" customFormat="false" ht="14.1" hidden="false" customHeight="true" outlineLevel="0" collapsed="false">
      <c r="A3493" s="1115" t="n">
        <v>91230</v>
      </c>
      <c r="B3493" s="1115" t="s">
        <v>169</v>
      </c>
      <c r="C3493" s="1115" t="n">
        <v>91230</v>
      </c>
      <c r="D3493" s="1115" t="s">
        <v>2390</v>
      </c>
      <c r="E3493" s="1115" t="s">
        <v>3783</v>
      </c>
      <c r="F3493" s="1115" t="n">
        <v>79180</v>
      </c>
      <c r="G3493" s="1115" t="n">
        <v>92260</v>
      </c>
      <c r="H3493" s="1115" t="s">
        <v>2554</v>
      </c>
      <c r="I3493" s="1115" t="n">
        <v>91250</v>
      </c>
      <c r="J3493" s="1115" t="s">
        <v>1633</v>
      </c>
    </row>
    <row r="3494" customFormat="false" ht="14.1" hidden="false" customHeight="true" outlineLevel="0" collapsed="false">
      <c r="A3494" s="1115" t="n">
        <v>91240</v>
      </c>
      <c r="B3494" s="1115" t="s">
        <v>169</v>
      </c>
      <c r="C3494" s="1115" t="n">
        <v>91240</v>
      </c>
      <c r="D3494" s="1115" t="s">
        <v>3927</v>
      </c>
      <c r="E3494" s="1115" t="s">
        <v>1653</v>
      </c>
      <c r="F3494" s="1115" t="n">
        <v>14200</v>
      </c>
      <c r="G3494" s="1115" t="n">
        <v>92260</v>
      </c>
      <c r="H3494" s="1115" t="s">
        <v>2554</v>
      </c>
      <c r="I3494" s="1115" t="n">
        <v>91260</v>
      </c>
      <c r="J3494" s="1115" t="s">
        <v>1633</v>
      </c>
    </row>
    <row r="3495" customFormat="false" ht="14.1" hidden="false" customHeight="true" outlineLevel="0" collapsed="false">
      <c r="A3495" s="1115" t="n">
        <v>91250</v>
      </c>
      <c r="B3495" s="1115" t="s">
        <v>169</v>
      </c>
      <c r="C3495" s="1115" t="n">
        <v>91250</v>
      </c>
      <c r="D3495" s="1115" t="s">
        <v>3949</v>
      </c>
      <c r="E3495" s="1115" t="s">
        <v>1599</v>
      </c>
      <c r="F3495" s="1115" t="n">
        <v>12350</v>
      </c>
      <c r="G3495" s="1115" t="n">
        <v>92320</v>
      </c>
      <c r="H3495" s="1115" t="s">
        <v>1497</v>
      </c>
      <c r="I3495" s="1115" t="n">
        <v>91270</v>
      </c>
      <c r="J3495" s="1115" t="s">
        <v>1633</v>
      </c>
    </row>
    <row r="3496" customFormat="false" ht="14.1" hidden="false" customHeight="true" outlineLevel="0" collapsed="false">
      <c r="A3496" s="1115" t="n">
        <v>91260</v>
      </c>
      <c r="B3496" s="1115" t="s">
        <v>169</v>
      </c>
      <c r="C3496" s="1115" t="n">
        <v>91260</v>
      </c>
      <c r="D3496" s="1115" t="s">
        <v>3452</v>
      </c>
      <c r="E3496" s="1115" t="s">
        <v>160</v>
      </c>
      <c r="F3496" s="1115" t="n">
        <v>20100</v>
      </c>
      <c r="G3496" s="1115" t="n">
        <v>92330</v>
      </c>
      <c r="H3496" s="1115" t="s">
        <v>2253</v>
      </c>
      <c r="I3496" s="1115" t="n">
        <v>91300</v>
      </c>
      <c r="J3496" s="1115" t="s">
        <v>1633</v>
      </c>
    </row>
    <row r="3497" customFormat="false" ht="14.1" hidden="false" customHeight="true" outlineLevel="0" collapsed="false">
      <c r="A3497" s="1115" t="n">
        <v>91270</v>
      </c>
      <c r="B3497" s="1115" t="s">
        <v>169</v>
      </c>
      <c r="C3497" s="1115" t="n">
        <v>91270</v>
      </c>
      <c r="D3497" s="1115" t="s">
        <v>3776</v>
      </c>
      <c r="E3497" s="1115" t="s">
        <v>160</v>
      </c>
      <c r="F3497" s="1115" t="n">
        <v>20100</v>
      </c>
      <c r="G3497" s="1115" t="n">
        <v>92350</v>
      </c>
      <c r="H3497" s="1115" t="s">
        <v>3714</v>
      </c>
      <c r="I3497" s="1115" t="n">
        <v>91310</v>
      </c>
      <c r="J3497" s="1115" t="s">
        <v>1633</v>
      </c>
    </row>
    <row r="3498" customFormat="false" ht="14.1" hidden="false" customHeight="true" outlineLevel="0" collapsed="false">
      <c r="A3498" s="1115" t="n">
        <v>91300</v>
      </c>
      <c r="B3498" s="1115" t="s">
        <v>169</v>
      </c>
      <c r="C3498" s="1115" t="n">
        <v>91300</v>
      </c>
      <c r="D3498" s="1115" t="s">
        <v>1635</v>
      </c>
      <c r="E3498" s="1115" t="s">
        <v>160</v>
      </c>
      <c r="F3498" s="1115" t="n">
        <v>20110</v>
      </c>
      <c r="G3498" s="1115" t="n">
        <v>92400</v>
      </c>
      <c r="H3498" s="1115" t="s">
        <v>1459</v>
      </c>
      <c r="I3498" s="1115" t="n">
        <v>91320</v>
      </c>
      <c r="J3498" s="1115" t="s">
        <v>1633</v>
      </c>
    </row>
    <row r="3499" customFormat="false" ht="14.1" hidden="false" customHeight="true" outlineLevel="0" collapsed="false">
      <c r="A3499" s="1115" t="n">
        <v>91310</v>
      </c>
      <c r="B3499" s="1115" t="s">
        <v>169</v>
      </c>
      <c r="C3499" s="1115" t="n">
        <v>91310</v>
      </c>
      <c r="D3499" s="1115" t="s">
        <v>908</v>
      </c>
      <c r="E3499" s="1115" t="s">
        <v>160</v>
      </c>
      <c r="F3499" s="1115" t="n">
        <v>20120</v>
      </c>
      <c r="G3499" s="1115" t="n">
        <v>92420</v>
      </c>
      <c r="H3499" s="1115" t="s">
        <v>3944</v>
      </c>
      <c r="I3499" s="1115" t="n">
        <v>91330</v>
      </c>
      <c r="J3499" s="1115" t="s">
        <v>1633</v>
      </c>
    </row>
    <row r="3500" customFormat="false" ht="14.1" hidden="false" customHeight="true" outlineLevel="0" collapsed="false">
      <c r="A3500" s="1115" t="n">
        <v>91320</v>
      </c>
      <c r="B3500" s="1115" t="s">
        <v>169</v>
      </c>
      <c r="C3500" s="1115" t="n">
        <v>91320</v>
      </c>
      <c r="D3500" s="1115" t="s">
        <v>2023</v>
      </c>
      <c r="E3500" s="1115" t="s">
        <v>160</v>
      </c>
      <c r="F3500" s="1115" t="n">
        <v>20140</v>
      </c>
      <c r="G3500" s="1115" t="n">
        <v>92430</v>
      </c>
      <c r="H3500" s="1115" t="s">
        <v>3449</v>
      </c>
      <c r="I3500" s="1115" t="n">
        <v>91340</v>
      </c>
      <c r="J3500" s="1115" t="s">
        <v>1633</v>
      </c>
    </row>
    <row r="3501" customFormat="false" ht="14.1" hidden="false" customHeight="true" outlineLevel="0" collapsed="false">
      <c r="A3501" s="1115" t="n">
        <v>91330</v>
      </c>
      <c r="B3501" s="1115" t="s">
        <v>169</v>
      </c>
      <c r="C3501" s="1115" t="n">
        <v>91330</v>
      </c>
      <c r="D3501" s="1115" t="s">
        <v>3363</v>
      </c>
      <c r="E3501" s="1115" t="s">
        <v>160</v>
      </c>
      <c r="F3501" s="1115" t="n">
        <v>20200</v>
      </c>
      <c r="G3501" s="1115" t="n">
        <v>92440</v>
      </c>
      <c r="H3501" s="1115" t="s">
        <v>3791</v>
      </c>
      <c r="I3501" s="1115" t="n">
        <v>91350</v>
      </c>
      <c r="J3501" s="1115" t="s">
        <v>1633</v>
      </c>
    </row>
    <row r="3502" customFormat="false" ht="14.1" hidden="false" customHeight="true" outlineLevel="0" collapsed="false">
      <c r="A3502" s="1115" t="n">
        <v>91340</v>
      </c>
      <c r="B3502" s="1115" t="s">
        <v>169</v>
      </c>
      <c r="C3502" s="1115" t="n">
        <v>91340</v>
      </c>
      <c r="D3502" s="1115" t="s">
        <v>2013</v>
      </c>
      <c r="E3502" s="1115" t="s">
        <v>160</v>
      </c>
      <c r="F3502" s="1115" t="n">
        <v>20210</v>
      </c>
      <c r="G3502" s="1115" t="n">
        <v>92450</v>
      </c>
      <c r="H3502" s="1115" t="s">
        <v>3056</v>
      </c>
      <c r="I3502" s="1115" t="n">
        <v>91370</v>
      </c>
      <c r="J3502" s="1115" t="s">
        <v>1633</v>
      </c>
    </row>
    <row r="3503" customFormat="false" ht="14.1" hidden="false" customHeight="true" outlineLevel="0" collapsed="false">
      <c r="A3503" s="1115" t="n">
        <v>91350</v>
      </c>
      <c r="B3503" s="1115" t="s">
        <v>169</v>
      </c>
      <c r="C3503" s="1115" t="n">
        <v>91350</v>
      </c>
      <c r="D3503" s="1115" t="s">
        <v>862</v>
      </c>
      <c r="E3503" s="1115" t="s">
        <v>160</v>
      </c>
      <c r="F3503" s="1115" t="n">
        <v>20240</v>
      </c>
      <c r="G3503" s="1115" t="n">
        <v>92470</v>
      </c>
      <c r="H3503" s="1115" t="s">
        <v>3956</v>
      </c>
      <c r="I3503" s="1115" t="n">
        <v>91410</v>
      </c>
      <c r="J3503" s="1115" t="s">
        <v>1633</v>
      </c>
    </row>
    <row r="3504" customFormat="false" ht="14.1" hidden="false" customHeight="true" outlineLevel="0" collapsed="false">
      <c r="A3504" s="1115" t="n">
        <v>91370</v>
      </c>
      <c r="B3504" s="1115" t="s">
        <v>169</v>
      </c>
      <c r="C3504" s="1115" t="n">
        <v>91370</v>
      </c>
      <c r="D3504" s="1115" t="s">
        <v>3950</v>
      </c>
      <c r="E3504" s="1115" t="s">
        <v>160</v>
      </c>
      <c r="F3504" s="1115" t="n">
        <v>20300</v>
      </c>
      <c r="G3504" s="1115" t="n">
        <v>92500</v>
      </c>
      <c r="H3504" s="1115" t="s">
        <v>1415</v>
      </c>
      <c r="I3504" s="1115" t="n">
        <v>91420</v>
      </c>
      <c r="J3504" s="1115" t="s">
        <v>1633</v>
      </c>
    </row>
    <row r="3505" customFormat="false" ht="14.1" hidden="false" customHeight="true" outlineLevel="0" collapsed="false">
      <c r="A3505" s="1115" t="n">
        <v>91410</v>
      </c>
      <c r="B3505" s="1115" t="s">
        <v>169</v>
      </c>
      <c r="C3505" s="1115" t="n">
        <v>91410</v>
      </c>
      <c r="D3505" s="1115" t="s">
        <v>2019</v>
      </c>
      <c r="E3505" s="1115" t="s">
        <v>160</v>
      </c>
      <c r="F3505" s="1115" t="n">
        <v>20310</v>
      </c>
      <c r="G3505" s="1115" t="n">
        <v>92510</v>
      </c>
      <c r="H3505" s="1115" t="s">
        <v>2386</v>
      </c>
      <c r="I3505" s="1115" t="n">
        <v>91430</v>
      </c>
      <c r="J3505" s="1115" t="s">
        <v>1633</v>
      </c>
    </row>
    <row r="3506" customFormat="false" ht="14.1" hidden="false" customHeight="true" outlineLevel="0" collapsed="false">
      <c r="A3506" s="1115" t="n">
        <v>91420</v>
      </c>
      <c r="B3506" s="1115" t="s">
        <v>169</v>
      </c>
      <c r="C3506" s="1115" t="n">
        <v>91420</v>
      </c>
      <c r="D3506" s="1115" t="s">
        <v>2396</v>
      </c>
      <c r="E3506" s="1115" t="s">
        <v>160</v>
      </c>
      <c r="F3506" s="1115" t="n">
        <v>20320</v>
      </c>
      <c r="G3506" s="1115" t="n">
        <v>92520</v>
      </c>
      <c r="H3506" s="1115" t="s">
        <v>3859</v>
      </c>
      <c r="I3506" s="1115" t="n">
        <v>91500</v>
      </c>
      <c r="J3506" s="1115" t="s">
        <v>1237</v>
      </c>
    </row>
    <row r="3507" customFormat="false" ht="14.1" hidden="false" customHeight="true" outlineLevel="0" collapsed="false">
      <c r="A3507" s="1115" t="n">
        <v>91430</v>
      </c>
      <c r="B3507" s="1115" t="s">
        <v>169</v>
      </c>
      <c r="C3507" s="1115" t="n">
        <v>91430</v>
      </c>
      <c r="D3507" s="1115" t="s">
        <v>2962</v>
      </c>
      <c r="E3507" s="1115" t="s">
        <v>160</v>
      </c>
      <c r="F3507" s="1115" t="n">
        <v>20340</v>
      </c>
      <c r="G3507" s="1115" t="n">
        <v>92530</v>
      </c>
      <c r="H3507" s="1115" t="s">
        <v>3122</v>
      </c>
      <c r="I3507" s="1115" t="n">
        <v>91510</v>
      </c>
      <c r="J3507" s="1115" t="s">
        <v>1237</v>
      </c>
    </row>
    <row r="3508" customFormat="false" ht="14.1" hidden="false" customHeight="true" outlineLevel="0" collapsed="false">
      <c r="A3508" s="1115" t="n">
        <v>91500</v>
      </c>
      <c r="B3508" s="1115" t="s">
        <v>169</v>
      </c>
      <c r="C3508" s="1115" t="n">
        <v>91500</v>
      </c>
      <c r="D3508" s="1115" t="s">
        <v>1237</v>
      </c>
      <c r="E3508" s="1115" t="s">
        <v>160</v>
      </c>
      <c r="F3508" s="1115" t="n">
        <v>20350</v>
      </c>
      <c r="G3508" s="1115" t="n">
        <v>92600</v>
      </c>
      <c r="H3508" s="1115" t="s">
        <v>1373</v>
      </c>
      <c r="I3508" s="1115" t="n">
        <v>91540</v>
      </c>
      <c r="J3508" s="1115" t="s">
        <v>1237</v>
      </c>
    </row>
    <row r="3509" customFormat="false" ht="14.1" hidden="false" customHeight="true" outlineLevel="0" collapsed="false">
      <c r="A3509" s="1115" t="n">
        <v>91510</v>
      </c>
      <c r="B3509" s="1115" t="s">
        <v>169</v>
      </c>
      <c r="C3509" s="1115" t="n">
        <v>91510</v>
      </c>
      <c r="D3509" s="1115" t="s">
        <v>3743</v>
      </c>
      <c r="E3509" s="1115" t="s">
        <v>160</v>
      </c>
      <c r="F3509" s="1115" t="n">
        <v>20360</v>
      </c>
      <c r="G3509" s="1115" t="n">
        <v>92610</v>
      </c>
      <c r="H3509" s="1115" t="s">
        <v>3958</v>
      </c>
      <c r="I3509" s="1115" t="n">
        <v>91560</v>
      </c>
      <c r="J3509" s="1115" t="s">
        <v>1237</v>
      </c>
    </row>
    <row r="3510" customFormat="false" ht="14.1" hidden="false" customHeight="true" outlineLevel="0" collapsed="false">
      <c r="A3510" s="1115" t="n">
        <v>91540</v>
      </c>
      <c r="B3510" s="1115" t="s">
        <v>169</v>
      </c>
      <c r="C3510" s="1115" t="n">
        <v>91540</v>
      </c>
      <c r="D3510" s="1115" t="s">
        <v>1843</v>
      </c>
      <c r="E3510" s="1115" t="s">
        <v>160</v>
      </c>
      <c r="F3510" s="1115" t="n">
        <v>20380</v>
      </c>
      <c r="G3510" s="1115" t="n">
        <v>92620</v>
      </c>
      <c r="H3510" s="1115" t="s">
        <v>1351</v>
      </c>
      <c r="I3510" s="1115" t="n">
        <v>91600</v>
      </c>
      <c r="J3510" s="1115" t="s">
        <v>1582</v>
      </c>
    </row>
    <row r="3511" customFormat="false" ht="14.1" hidden="false" customHeight="true" outlineLevel="0" collapsed="false">
      <c r="A3511" s="1115" t="n">
        <v>91560</v>
      </c>
      <c r="B3511" s="1115" t="s">
        <v>169</v>
      </c>
      <c r="C3511" s="1115" t="n">
        <v>91560</v>
      </c>
      <c r="D3511" s="1115" t="s">
        <v>2771</v>
      </c>
      <c r="E3511" s="1115" t="s">
        <v>160</v>
      </c>
      <c r="F3511" s="1115" t="n">
        <v>20400</v>
      </c>
      <c r="G3511" s="1115" t="n">
        <v>92640</v>
      </c>
      <c r="H3511" s="1115" t="s">
        <v>2977</v>
      </c>
      <c r="I3511" s="1115" t="n">
        <v>91620</v>
      </c>
      <c r="J3511" s="1115" t="s">
        <v>1582</v>
      </c>
    </row>
    <row r="3512" customFormat="false" ht="14.1" hidden="false" customHeight="true" outlineLevel="0" collapsed="false">
      <c r="A3512" s="1115" t="n">
        <v>91600</v>
      </c>
      <c r="B3512" s="1115" t="s">
        <v>169</v>
      </c>
      <c r="C3512" s="1115" t="n">
        <v>91600</v>
      </c>
      <c r="D3512" s="1115" t="s">
        <v>1582</v>
      </c>
      <c r="E3512" s="1115" t="s">
        <v>160</v>
      </c>
      <c r="F3512" s="1115" t="n">
        <v>20460</v>
      </c>
      <c r="G3512" s="1115" t="n">
        <v>92650</v>
      </c>
      <c r="H3512" s="1115" t="s">
        <v>2841</v>
      </c>
      <c r="I3512" s="1115" t="n">
        <v>91630</v>
      </c>
      <c r="J3512" s="1115" t="s">
        <v>1582</v>
      </c>
    </row>
    <row r="3513" customFormat="false" ht="14.1" hidden="false" customHeight="true" outlineLevel="0" collapsed="false">
      <c r="A3513" s="1115" t="n">
        <v>91620</v>
      </c>
      <c r="B3513" s="1115" t="s">
        <v>169</v>
      </c>
      <c r="C3513" s="1115" t="n">
        <v>91620</v>
      </c>
      <c r="D3513" s="1115" t="s">
        <v>3813</v>
      </c>
      <c r="E3513" s="1115" t="s">
        <v>160</v>
      </c>
      <c r="F3513" s="1115" t="n">
        <v>20500</v>
      </c>
      <c r="G3513" s="1115" t="n">
        <v>92700</v>
      </c>
      <c r="H3513" s="1115" t="s">
        <v>1050</v>
      </c>
      <c r="I3513" s="1115" t="n">
        <v>91640</v>
      </c>
      <c r="J3513" s="1115" t="s">
        <v>1582</v>
      </c>
    </row>
    <row r="3514" customFormat="false" ht="14.1" hidden="false" customHeight="true" outlineLevel="0" collapsed="false">
      <c r="A3514" s="1115" t="n">
        <v>91630</v>
      </c>
      <c r="B3514" s="1115" t="s">
        <v>169</v>
      </c>
      <c r="C3514" s="1115" t="n">
        <v>91630</v>
      </c>
      <c r="D3514" s="1115" t="s">
        <v>2051</v>
      </c>
      <c r="E3514" s="1115" t="s">
        <v>160</v>
      </c>
      <c r="F3514" s="1115" t="n">
        <v>20510</v>
      </c>
      <c r="G3514" s="1115" t="n">
        <v>92710</v>
      </c>
      <c r="H3514" s="1115" t="s">
        <v>3255</v>
      </c>
      <c r="I3514" s="1115" t="n">
        <v>91660</v>
      </c>
      <c r="J3514" s="1115" t="s">
        <v>1582</v>
      </c>
    </row>
    <row r="3515" customFormat="false" ht="14.1" hidden="false" customHeight="true" outlineLevel="0" collapsed="false">
      <c r="A3515" s="1115" t="n">
        <v>91640</v>
      </c>
      <c r="B3515" s="1115" t="s">
        <v>169</v>
      </c>
      <c r="C3515" s="1115" t="n">
        <v>91640</v>
      </c>
      <c r="D3515" s="1115" t="s">
        <v>3902</v>
      </c>
      <c r="E3515" s="1115" t="s">
        <v>160</v>
      </c>
      <c r="F3515" s="1115" t="n">
        <v>20520</v>
      </c>
      <c r="G3515" s="1115" t="n">
        <v>92720</v>
      </c>
      <c r="H3515" s="1115" t="s">
        <v>2944</v>
      </c>
      <c r="I3515" s="1115" t="n">
        <v>91700</v>
      </c>
      <c r="J3515" s="1115" t="s">
        <v>1582</v>
      </c>
    </row>
    <row r="3516" customFormat="false" ht="14.1" hidden="false" customHeight="true" outlineLevel="0" collapsed="false">
      <c r="A3516" s="1115" t="n">
        <v>91660</v>
      </c>
      <c r="B3516" s="1115" t="s">
        <v>169</v>
      </c>
      <c r="C3516" s="1115" t="n">
        <v>91660</v>
      </c>
      <c r="D3516" s="1115" t="s">
        <v>733</v>
      </c>
      <c r="E3516" s="1115" t="s">
        <v>160</v>
      </c>
      <c r="F3516" s="1115" t="n">
        <v>20540</v>
      </c>
      <c r="G3516" s="1115" t="n">
        <v>92760</v>
      </c>
      <c r="H3516" s="1115" t="s">
        <v>3569</v>
      </c>
      <c r="I3516" s="1115" t="n">
        <v>91710</v>
      </c>
      <c r="J3516" s="1115" t="s">
        <v>1582</v>
      </c>
    </row>
    <row r="3517" customFormat="false" ht="14.1" hidden="false" customHeight="true" outlineLevel="0" collapsed="false">
      <c r="A3517" s="1115" t="n">
        <v>91700</v>
      </c>
      <c r="B3517" s="1115" t="s">
        <v>169</v>
      </c>
      <c r="C3517" s="1115" t="n">
        <v>91700</v>
      </c>
      <c r="D3517" s="1115" t="s">
        <v>1587</v>
      </c>
      <c r="E3517" s="1115" t="s">
        <v>160</v>
      </c>
      <c r="F3517" s="1115" t="n">
        <v>20600</v>
      </c>
      <c r="G3517" s="1115" t="n">
        <v>92810</v>
      </c>
      <c r="H3517" s="1115" t="s">
        <v>3520</v>
      </c>
      <c r="I3517" s="1115" t="n">
        <v>91720</v>
      </c>
      <c r="J3517" s="1115" t="s">
        <v>1582</v>
      </c>
    </row>
    <row r="3518" customFormat="false" ht="14.1" hidden="false" customHeight="true" outlineLevel="0" collapsed="false">
      <c r="A3518" s="1115" t="n">
        <v>91710</v>
      </c>
      <c r="B3518" s="1115" t="s">
        <v>169</v>
      </c>
      <c r="C3518" s="1115" t="n">
        <v>91710</v>
      </c>
      <c r="D3518" s="1115" t="s">
        <v>2076</v>
      </c>
      <c r="E3518" s="1115" t="s">
        <v>160</v>
      </c>
      <c r="F3518" s="1115" t="n">
        <v>20610</v>
      </c>
      <c r="G3518" s="1115" t="n">
        <v>92830</v>
      </c>
      <c r="H3518" s="1115" t="s">
        <v>3959</v>
      </c>
      <c r="I3518" s="1115" t="n">
        <v>91730</v>
      </c>
      <c r="J3518" s="1115" t="s">
        <v>1582</v>
      </c>
    </row>
    <row r="3519" customFormat="false" ht="14.1" hidden="false" customHeight="true" outlineLevel="0" collapsed="false">
      <c r="A3519" s="1115" t="n">
        <v>91720</v>
      </c>
      <c r="B3519" s="1115" t="s">
        <v>169</v>
      </c>
      <c r="C3519" s="1115" t="n">
        <v>91720</v>
      </c>
      <c r="D3519" s="1115" t="s">
        <v>3426</v>
      </c>
      <c r="E3519" s="1115" t="s">
        <v>160</v>
      </c>
      <c r="F3519" s="1115" t="n">
        <v>20700</v>
      </c>
      <c r="G3519" s="1115" t="n">
        <v>92910</v>
      </c>
      <c r="H3519" s="1115" t="s">
        <v>3933</v>
      </c>
      <c r="I3519" s="1115" t="n">
        <v>91740</v>
      </c>
      <c r="J3519" s="1115" t="s">
        <v>1582</v>
      </c>
    </row>
    <row r="3520" customFormat="false" ht="14.1" hidden="false" customHeight="true" outlineLevel="0" collapsed="false">
      <c r="A3520" s="1115" t="n">
        <v>91730</v>
      </c>
      <c r="B3520" s="1115" t="s">
        <v>169</v>
      </c>
      <c r="C3520" s="1115" t="n">
        <v>91730</v>
      </c>
      <c r="D3520" s="1115" t="s">
        <v>2225</v>
      </c>
      <c r="E3520" s="1115" t="s">
        <v>160</v>
      </c>
      <c r="F3520" s="1115" t="n">
        <v>20720</v>
      </c>
      <c r="G3520" s="1115" t="n">
        <v>92920</v>
      </c>
      <c r="H3520" s="1115" t="s">
        <v>749</v>
      </c>
      <c r="I3520" s="1115" t="n">
        <v>91750</v>
      </c>
      <c r="J3520" s="1115" t="s">
        <v>1582</v>
      </c>
    </row>
    <row r="3521" customFormat="false" ht="14.1" hidden="false" customHeight="true" outlineLevel="0" collapsed="false">
      <c r="A3521" s="1115" t="n">
        <v>91740</v>
      </c>
      <c r="B3521" s="1115" t="s">
        <v>169</v>
      </c>
      <c r="C3521" s="1115" t="n">
        <v>91740</v>
      </c>
      <c r="D3521" s="1115" t="s">
        <v>1980</v>
      </c>
      <c r="E3521" s="1115" t="s">
        <v>160</v>
      </c>
      <c r="F3521" s="1115" t="n">
        <v>20740</v>
      </c>
      <c r="G3521" s="1115" t="n">
        <v>92930</v>
      </c>
      <c r="H3521" s="1115" t="s">
        <v>1392</v>
      </c>
      <c r="I3521" s="1115" t="n">
        <v>91760</v>
      </c>
      <c r="J3521" s="1115" t="s">
        <v>1582</v>
      </c>
    </row>
    <row r="3522" customFormat="false" ht="14.1" hidden="false" customHeight="true" outlineLevel="0" collapsed="false">
      <c r="A3522" s="1115" t="n">
        <v>91750</v>
      </c>
      <c r="B3522" s="1115" t="s">
        <v>169</v>
      </c>
      <c r="C3522" s="1115" t="n">
        <v>91750</v>
      </c>
      <c r="D3522" s="1115" t="s">
        <v>3002</v>
      </c>
      <c r="E3522" s="1115" t="s">
        <v>160</v>
      </c>
      <c r="F3522" s="1115" t="n">
        <v>20750</v>
      </c>
      <c r="G3522" s="1115" t="n">
        <v>93100</v>
      </c>
      <c r="H3522" s="1115" t="s">
        <v>1368</v>
      </c>
      <c r="I3522" s="1115" t="n">
        <v>91765</v>
      </c>
      <c r="J3522" s="1115" t="s">
        <v>1582</v>
      </c>
    </row>
    <row r="3523" customFormat="false" ht="14.1" hidden="false" customHeight="true" outlineLevel="0" collapsed="false">
      <c r="A3523" s="1115" t="n">
        <v>91760</v>
      </c>
      <c r="B3523" s="1115" t="s">
        <v>169</v>
      </c>
      <c r="C3523" s="1115" t="n">
        <v>91760</v>
      </c>
      <c r="D3523" s="1115" t="s">
        <v>3904</v>
      </c>
      <c r="E3523" s="1115" t="s">
        <v>160</v>
      </c>
      <c r="F3523" s="1115" t="n">
        <v>20800</v>
      </c>
      <c r="G3523" s="1115" t="n">
        <v>93130</v>
      </c>
      <c r="H3523" s="1115" t="s">
        <v>3912</v>
      </c>
      <c r="I3523" s="1115" t="n">
        <v>91780</v>
      </c>
      <c r="J3523" s="1115" t="s">
        <v>1582</v>
      </c>
    </row>
    <row r="3524" customFormat="false" ht="14.1" hidden="false" customHeight="true" outlineLevel="0" collapsed="false">
      <c r="A3524" s="1115" t="n">
        <v>91765</v>
      </c>
      <c r="B3524" s="1115" t="s">
        <v>169</v>
      </c>
      <c r="C3524" s="1115" t="n">
        <v>91765</v>
      </c>
      <c r="D3524" s="1115" t="s">
        <v>1094</v>
      </c>
      <c r="E3524" s="1115" t="s">
        <v>160</v>
      </c>
      <c r="F3524" s="1115" t="n">
        <v>20810</v>
      </c>
      <c r="G3524" s="1115" t="n">
        <v>93140</v>
      </c>
      <c r="H3524" s="1115" t="s">
        <v>2439</v>
      </c>
      <c r="I3524" s="1115" t="n">
        <v>91790</v>
      </c>
      <c r="J3524" s="1115" t="s">
        <v>1582</v>
      </c>
    </row>
    <row r="3525" customFormat="false" ht="14.1" hidden="false" customHeight="true" outlineLevel="0" collapsed="false">
      <c r="A3525" s="1115" t="n">
        <v>91780</v>
      </c>
      <c r="B3525" s="1115" t="s">
        <v>169</v>
      </c>
      <c r="C3525" s="1115" t="n">
        <v>91780</v>
      </c>
      <c r="D3525" s="1115" t="s">
        <v>3302</v>
      </c>
      <c r="E3525" s="1115" t="s">
        <v>160</v>
      </c>
      <c r="F3525" s="1115" t="n">
        <v>20840</v>
      </c>
      <c r="G3525" s="1115" t="n">
        <v>93145</v>
      </c>
      <c r="H3525" s="1115" t="s">
        <v>2524</v>
      </c>
      <c r="I3525" s="1115" t="n">
        <v>91800</v>
      </c>
      <c r="J3525" s="1115" t="s">
        <v>1574</v>
      </c>
    </row>
    <row r="3526" customFormat="false" ht="14.1" hidden="false" customHeight="true" outlineLevel="0" collapsed="false">
      <c r="A3526" s="1115" t="n">
        <v>91790</v>
      </c>
      <c r="B3526" s="1115" t="s">
        <v>169</v>
      </c>
      <c r="C3526" s="1115" t="n">
        <v>91790</v>
      </c>
      <c r="D3526" s="1115" t="s">
        <v>3359</v>
      </c>
      <c r="E3526" s="1115" t="s">
        <v>160</v>
      </c>
      <c r="F3526" s="1115" t="n">
        <v>20850</v>
      </c>
      <c r="G3526" s="1115" t="n">
        <v>93150</v>
      </c>
      <c r="H3526" s="1115" t="s">
        <v>3960</v>
      </c>
      <c r="I3526" s="1115" t="n">
        <v>91810</v>
      </c>
      <c r="J3526" s="1115" t="s">
        <v>1574</v>
      </c>
    </row>
    <row r="3527" customFormat="false" ht="14.1" hidden="false" customHeight="true" outlineLevel="0" collapsed="false">
      <c r="A3527" s="1115" t="n">
        <v>91800</v>
      </c>
      <c r="B3527" s="1115" t="s">
        <v>169</v>
      </c>
      <c r="C3527" s="1115" t="n">
        <v>91800</v>
      </c>
      <c r="D3527" s="1115" t="s">
        <v>1574</v>
      </c>
      <c r="E3527" s="1115" t="s">
        <v>160</v>
      </c>
      <c r="F3527" s="1115" t="n">
        <v>20900</v>
      </c>
      <c r="G3527" s="1115" t="n">
        <v>93160</v>
      </c>
      <c r="H3527" s="1115" t="s">
        <v>1678</v>
      </c>
      <c r="I3527" s="1115" t="n">
        <v>91900</v>
      </c>
      <c r="J3527" s="1115" t="s">
        <v>1176</v>
      </c>
    </row>
    <row r="3528" customFormat="false" ht="14.1" hidden="false" customHeight="true" outlineLevel="0" collapsed="false">
      <c r="A3528" s="1115" t="n">
        <v>91810</v>
      </c>
      <c r="B3528" s="1115" t="s">
        <v>169</v>
      </c>
      <c r="C3528" s="1115" t="n">
        <v>91810</v>
      </c>
      <c r="D3528" s="1115" t="s">
        <v>3953</v>
      </c>
      <c r="E3528" s="1115" t="s">
        <v>160</v>
      </c>
      <c r="F3528" s="1115" t="n">
        <v>20960</v>
      </c>
      <c r="G3528" s="1115" t="n">
        <v>93170</v>
      </c>
      <c r="H3528" s="1115" t="s">
        <v>3961</v>
      </c>
      <c r="I3528" s="1115" t="n">
        <v>91910</v>
      </c>
      <c r="J3528" s="1115" t="s">
        <v>1176</v>
      </c>
    </row>
    <row r="3529" customFormat="false" ht="14.1" hidden="false" customHeight="true" outlineLevel="0" collapsed="false">
      <c r="A3529" s="1115" t="n">
        <v>91900</v>
      </c>
      <c r="B3529" s="1115" t="s">
        <v>169</v>
      </c>
      <c r="C3529" s="1115" t="n">
        <v>91900</v>
      </c>
      <c r="D3529" s="1115" t="s">
        <v>1176</v>
      </c>
      <c r="E3529" s="1115" t="s">
        <v>160</v>
      </c>
      <c r="F3529" s="1115" t="n">
        <v>20990</v>
      </c>
      <c r="G3529" s="1115" t="n">
        <v>93175</v>
      </c>
      <c r="H3529" s="1115" t="s">
        <v>2783</v>
      </c>
      <c r="I3529" s="1115" t="n">
        <v>91930</v>
      </c>
      <c r="J3529" s="1115" t="s">
        <v>1176</v>
      </c>
    </row>
    <row r="3530" customFormat="false" ht="14.1" hidden="false" customHeight="true" outlineLevel="0" collapsed="false">
      <c r="A3530" s="1115" t="n">
        <v>91910</v>
      </c>
      <c r="B3530" s="1115" t="s">
        <v>169</v>
      </c>
      <c r="C3530" s="1115" t="n">
        <v>91910</v>
      </c>
      <c r="D3530" s="1115" t="s">
        <v>3954</v>
      </c>
      <c r="E3530" s="1115" t="s">
        <v>2377</v>
      </c>
      <c r="F3530" s="1115" t="n">
        <v>31860</v>
      </c>
      <c r="G3530" s="1115" t="n">
        <v>93180</v>
      </c>
      <c r="H3530" s="1115" t="s">
        <v>1918</v>
      </c>
      <c r="I3530" s="1115" t="n">
        <v>91950</v>
      </c>
      <c r="J3530" s="1115" t="s">
        <v>1176</v>
      </c>
    </row>
    <row r="3531" customFormat="false" ht="14.1" hidden="false" customHeight="true" outlineLevel="0" collapsed="false">
      <c r="A3531" s="1115" t="n">
        <v>91930</v>
      </c>
      <c r="B3531" s="1115" t="s">
        <v>169</v>
      </c>
      <c r="C3531" s="1115" t="n">
        <v>91930</v>
      </c>
      <c r="D3531" s="1115" t="s">
        <v>854</v>
      </c>
      <c r="E3531" s="1115" t="s">
        <v>2377</v>
      </c>
      <c r="F3531" s="1115" t="n">
        <v>31860</v>
      </c>
      <c r="G3531" s="1115" t="n">
        <v>93185</v>
      </c>
      <c r="H3531" s="1115" t="s">
        <v>3239</v>
      </c>
      <c r="I3531" s="1115" t="n">
        <v>91980</v>
      </c>
      <c r="J3531" s="1115" t="s">
        <v>1195</v>
      </c>
    </row>
    <row r="3532" customFormat="false" ht="14.1" hidden="false" customHeight="true" outlineLevel="0" collapsed="false">
      <c r="A3532" s="1115" t="n">
        <v>91950</v>
      </c>
      <c r="B3532" s="1115" t="s">
        <v>169</v>
      </c>
      <c r="C3532" s="1115" t="n">
        <v>91950</v>
      </c>
      <c r="D3532" s="1115" t="s">
        <v>3936</v>
      </c>
      <c r="E3532" s="1115" t="s">
        <v>3962</v>
      </c>
      <c r="F3532" s="1115" t="n">
        <v>95645</v>
      </c>
      <c r="G3532" s="1115" t="n">
        <v>93187</v>
      </c>
      <c r="H3532" s="1115" t="s">
        <v>849</v>
      </c>
      <c r="I3532" s="1115" t="n">
        <v>92100</v>
      </c>
      <c r="J3532" s="1115" t="s">
        <v>1408</v>
      </c>
    </row>
    <row r="3533" customFormat="false" ht="14.1" hidden="false" customHeight="true" outlineLevel="0" collapsed="false">
      <c r="A3533" s="1115" t="n">
        <v>91980</v>
      </c>
      <c r="B3533" s="1115" t="s">
        <v>169</v>
      </c>
      <c r="C3533" s="1115" t="n">
        <v>91980</v>
      </c>
      <c r="D3533" s="1115" t="s">
        <v>1195</v>
      </c>
      <c r="E3533" s="1115" t="s">
        <v>3866</v>
      </c>
      <c r="F3533" s="1115" t="n">
        <v>83160</v>
      </c>
      <c r="G3533" s="1115" t="n">
        <v>93190</v>
      </c>
      <c r="H3533" s="1115" t="s">
        <v>3963</v>
      </c>
      <c r="I3533" s="1115" t="n">
        <v>92120</v>
      </c>
      <c r="J3533" s="1115" t="s">
        <v>1408</v>
      </c>
    </row>
    <row r="3534" customFormat="false" ht="14.1" hidden="false" customHeight="true" outlineLevel="0" collapsed="false">
      <c r="A3534" s="1115" t="n">
        <v>92100</v>
      </c>
      <c r="B3534" s="1115" t="s">
        <v>169</v>
      </c>
      <c r="C3534" s="1115" t="n">
        <v>92100</v>
      </c>
      <c r="D3534" s="1115" t="s">
        <v>1408</v>
      </c>
      <c r="E3534" s="1115" t="s">
        <v>2505</v>
      </c>
      <c r="F3534" s="1115" t="n">
        <v>34950</v>
      </c>
      <c r="G3534" s="1115" t="n">
        <v>93195</v>
      </c>
      <c r="H3534" s="1115" t="s">
        <v>2500</v>
      </c>
      <c r="I3534" s="1115" t="n">
        <v>92130</v>
      </c>
      <c r="J3534" s="1115" t="s">
        <v>1408</v>
      </c>
    </row>
    <row r="3535" customFormat="false" ht="14.1" hidden="false" customHeight="true" outlineLevel="0" collapsed="false">
      <c r="A3535" s="1115" t="n">
        <v>92120</v>
      </c>
      <c r="B3535" s="1115" t="s">
        <v>169</v>
      </c>
      <c r="C3535" s="1115" t="n">
        <v>92120</v>
      </c>
      <c r="D3535" s="1115" t="s">
        <v>1408</v>
      </c>
      <c r="E3535" s="1115" t="s">
        <v>3133</v>
      </c>
      <c r="F3535" s="1115" t="n">
        <v>52610</v>
      </c>
      <c r="G3535" s="1115" t="n">
        <v>93210</v>
      </c>
      <c r="H3535" s="1115" t="s">
        <v>839</v>
      </c>
      <c r="I3535" s="1115" t="n">
        <v>92140</v>
      </c>
      <c r="J3535" s="1115" t="s">
        <v>1408</v>
      </c>
    </row>
    <row r="3536" customFormat="false" ht="14.1" hidden="false" customHeight="true" outlineLevel="0" collapsed="false">
      <c r="A3536" s="1115" t="n">
        <v>92130</v>
      </c>
      <c r="B3536" s="1115" t="s">
        <v>169</v>
      </c>
      <c r="C3536" s="1115" t="n">
        <v>92130</v>
      </c>
      <c r="D3536" s="1115" t="s">
        <v>1408</v>
      </c>
      <c r="E3536" s="1115" t="s">
        <v>2716</v>
      </c>
      <c r="F3536" s="1115" t="n">
        <v>39910</v>
      </c>
      <c r="G3536" s="1115" t="n">
        <v>93215</v>
      </c>
      <c r="H3536" s="1115" t="s">
        <v>918</v>
      </c>
      <c r="I3536" s="1115" t="n">
        <v>92160</v>
      </c>
      <c r="J3536" s="1115" t="s">
        <v>1408</v>
      </c>
    </row>
    <row r="3537" customFormat="false" ht="14.1" hidden="false" customHeight="true" outlineLevel="0" collapsed="false">
      <c r="A3537" s="1115" t="n">
        <v>92140</v>
      </c>
      <c r="B3537" s="1115" t="s">
        <v>169</v>
      </c>
      <c r="C3537" s="1115" t="n">
        <v>92140</v>
      </c>
      <c r="D3537" s="1115" t="s">
        <v>3507</v>
      </c>
      <c r="E3537" s="1115" t="s">
        <v>3964</v>
      </c>
      <c r="F3537" s="1115" t="n">
        <v>97450</v>
      </c>
      <c r="G3537" s="1115" t="n">
        <v>93220</v>
      </c>
      <c r="H3537" s="1115" t="s">
        <v>3008</v>
      </c>
      <c r="I3537" s="1115" t="n">
        <v>92170</v>
      </c>
      <c r="J3537" s="1115" t="s">
        <v>1408</v>
      </c>
    </row>
    <row r="3538" customFormat="false" ht="14.1" hidden="false" customHeight="true" outlineLevel="0" collapsed="false">
      <c r="A3538" s="1115" t="n">
        <v>92160</v>
      </c>
      <c r="B3538" s="1115" t="s">
        <v>169</v>
      </c>
      <c r="C3538" s="1115" t="n">
        <v>92160</v>
      </c>
      <c r="D3538" s="1115" t="s">
        <v>3807</v>
      </c>
      <c r="E3538" s="1115" t="s">
        <v>1570</v>
      </c>
      <c r="F3538" s="1115" t="n">
        <v>14820</v>
      </c>
      <c r="G3538" s="1115" t="n">
        <v>93225</v>
      </c>
      <c r="H3538" s="1115" t="s">
        <v>3667</v>
      </c>
      <c r="I3538" s="1115" t="n">
        <v>92180</v>
      </c>
      <c r="J3538" s="1115" t="s">
        <v>1408</v>
      </c>
    </row>
    <row r="3539" customFormat="false" ht="14.1" hidden="false" customHeight="true" outlineLevel="0" collapsed="false">
      <c r="A3539" s="1115" t="n">
        <v>92170</v>
      </c>
      <c r="B3539" s="1115" t="s">
        <v>169</v>
      </c>
      <c r="C3539" s="1115" t="n">
        <v>92170</v>
      </c>
      <c r="D3539" s="1115" t="s">
        <v>3672</v>
      </c>
      <c r="E3539" s="1115" t="s">
        <v>2649</v>
      </c>
      <c r="F3539" s="1115" t="n">
        <v>38680</v>
      </c>
      <c r="G3539" s="1115" t="n">
        <v>93235</v>
      </c>
      <c r="H3539" s="1115" t="s">
        <v>3965</v>
      </c>
      <c r="I3539" s="1115" t="n">
        <v>92210</v>
      </c>
      <c r="J3539" s="1115" t="s">
        <v>1408</v>
      </c>
    </row>
    <row r="3540" customFormat="false" ht="14.1" hidden="false" customHeight="true" outlineLevel="0" collapsed="false">
      <c r="A3540" s="1115" t="n">
        <v>92180</v>
      </c>
      <c r="B3540" s="1115" t="s">
        <v>169</v>
      </c>
      <c r="C3540" s="1115" t="n">
        <v>92180</v>
      </c>
      <c r="D3540" s="1115" t="s">
        <v>2900</v>
      </c>
      <c r="E3540" s="1115" t="s">
        <v>3856</v>
      </c>
      <c r="F3540" s="1115" t="n">
        <v>82730</v>
      </c>
      <c r="G3540" s="1115" t="n">
        <v>93240</v>
      </c>
      <c r="H3540" s="1115" t="s">
        <v>3775</v>
      </c>
      <c r="I3540" s="1115" t="n">
        <v>92220</v>
      </c>
      <c r="J3540" s="1115" t="s">
        <v>1408</v>
      </c>
    </row>
    <row r="3541" customFormat="false" ht="14.1" hidden="false" customHeight="true" outlineLevel="0" collapsed="false">
      <c r="A3541" s="1115" t="n">
        <v>92210</v>
      </c>
      <c r="B3541" s="1115" t="s">
        <v>169</v>
      </c>
      <c r="C3541" s="1115" t="n">
        <v>92210</v>
      </c>
      <c r="D3541" s="1115" t="s">
        <v>910</v>
      </c>
      <c r="E3541" s="1115" t="s">
        <v>3465</v>
      </c>
      <c r="F3541" s="1115" t="n">
        <v>63610</v>
      </c>
      <c r="G3541" s="1115" t="n">
        <v>93245</v>
      </c>
      <c r="H3541" s="1115" t="s">
        <v>3365</v>
      </c>
      <c r="I3541" s="1115" t="n">
        <v>92250</v>
      </c>
      <c r="J3541" s="1115" t="s">
        <v>1408</v>
      </c>
    </row>
    <row r="3542" customFormat="false" ht="14.1" hidden="false" customHeight="true" outlineLevel="0" collapsed="false">
      <c r="A3542" s="1115" t="n">
        <v>92220</v>
      </c>
      <c r="B3542" s="1115" t="s">
        <v>169</v>
      </c>
      <c r="C3542" s="1115" t="n">
        <v>92220</v>
      </c>
      <c r="D3542" s="1115" t="s">
        <v>3559</v>
      </c>
      <c r="E3542" s="1115" t="s">
        <v>3465</v>
      </c>
      <c r="F3542" s="1115" t="n">
        <v>63610</v>
      </c>
      <c r="G3542" s="1115" t="n">
        <v>93250</v>
      </c>
      <c r="H3542" s="1115" t="s">
        <v>3816</v>
      </c>
      <c r="I3542" s="1115" t="n">
        <v>92260</v>
      </c>
      <c r="J3542" s="1115" t="s">
        <v>1408</v>
      </c>
    </row>
    <row r="3543" customFormat="false" ht="14.1" hidden="false" customHeight="true" outlineLevel="0" collapsed="false">
      <c r="A3543" s="1115" t="n">
        <v>92250</v>
      </c>
      <c r="B3543" s="1115" t="s">
        <v>169</v>
      </c>
      <c r="C3543" s="1115" t="n">
        <v>92250</v>
      </c>
      <c r="D3543" s="1115" t="s">
        <v>3957</v>
      </c>
      <c r="E3543" s="1115" t="s">
        <v>3645</v>
      </c>
      <c r="F3543" s="1115" t="n">
        <v>71210</v>
      </c>
      <c r="G3543" s="1115" t="n">
        <v>93270</v>
      </c>
      <c r="H3543" s="1115" t="s">
        <v>3876</v>
      </c>
      <c r="I3543" s="1115" t="n">
        <v>92260</v>
      </c>
      <c r="J3543" s="1115" t="s">
        <v>1497</v>
      </c>
    </row>
    <row r="3544" customFormat="false" ht="14.1" hidden="false" customHeight="true" outlineLevel="0" collapsed="false">
      <c r="A3544" s="1115" t="n">
        <v>92260</v>
      </c>
      <c r="B3544" s="1115" t="s">
        <v>169</v>
      </c>
      <c r="C3544" s="1115" t="n">
        <v>92260</v>
      </c>
      <c r="D3544" s="1115" t="s">
        <v>2554</v>
      </c>
      <c r="E3544" s="1115" t="s">
        <v>3327</v>
      </c>
      <c r="F3544" s="1115" t="n">
        <v>58940</v>
      </c>
      <c r="G3544" s="1115" t="n">
        <v>93277</v>
      </c>
      <c r="H3544" s="1115" t="s">
        <v>1912</v>
      </c>
      <c r="I3544" s="1115" t="n">
        <v>92320</v>
      </c>
      <c r="J3544" s="1115" t="s">
        <v>1497</v>
      </c>
    </row>
    <row r="3545" customFormat="false" ht="14.1" hidden="false" customHeight="true" outlineLevel="0" collapsed="false">
      <c r="A3545" s="1115" t="n">
        <v>92260</v>
      </c>
      <c r="B3545" s="1115" t="s">
        <v>169</v>
      </c>
      <c r="C3545" s="1115" t="n">
        <v>92260</v>
      </c>
      <c r="D3545" s="1115" t="s">
        <v>2554</v>
      </c>
      <c r="E3545" s="1115" t="s">
        <v>1571</v>
      </c>
      <c r="F3545" s="1115" t="n">
        <v>71200</v>
      </c>
      <c r="G3545" s="1115" t="n">
        <v>93290</v>
      </c>
      <c r="H3545" s="1115" t="s">
        <v>3581</v>
      </c>
      <c r="I3545" s="1115" t="n">
        <v>92330</v>
      </c>
      <c r="J3545" s="1115" t="s">
        <v>1497</v>
      </c>
    </row>
    <row r="3546" customFormat="false" ht="14.1" hidden="false" customHeight="true" outlineLevel="0" collapsed="false">
      <c r="A3546" s="1115" t="n">
        <v>92320</v>
      </c>
      <c r="B3546" s="1115" t="s">
        <v>169</v>
      </c>
      <c r="C3546" s="1115" t="n">
        <v>92320</v>
      </c>
      <c r="D3546" s="1115" t="s">
        <v>1497</v>
      </c>
      <c r="E3546" s="1115" t="s">
        <v>3136</v>
      </c>
      <c r="F3546" s="1115" t="n">
        <v>52740</v>
      </c>
      <c r="G3546" s="1115" t="n">
        <v>93310</v>
      </c>
      <c r="H3546" s="1115" t="s">
        <v>1717</v>
      </c>
      <c r="I3546" s="1115" t="n">
        <v>92350</v>
      </c>
      <c r="J3546" s="1115" t="s">
        <v>1497</v>
      </c>
    </row>
    <row r="3547" customFormat="false" ht="14.1" hidden="false" customHeight="true" outlineLevel="0" collapsed="false">
      <c r="A3547" s="1115" t="n">
        <v>92330</v>
      </c>
      <c r="B3547" s="1115" t="s">
        <v>169</v>
      </c>
      <c r="C3547" s="1115" t="n">
        <v>92330</v>
      </c>
      <c r="D3547" s="1115" t="s">
        <v>2253</v>
      </c>
      <c r="E3547" s="1115" t="s">
        <v>1013</v>
      </c>
      <c r="F3547" s="1115" t="n">
        <v>4300</v>
      </c>
      <c r="G3547" s="1115" t="n">
        <v>93320</v>
      </c>
      <c r="H3547" s="1115" t="s">
        <v>1107</v>
      </c>
      <c r="I3547" s="1115" t="n">
        <v>92400</v>
      </c>
      <c r="J3547" s="1115" t="s">
        <v>1497</v>
      </c>
    </row>
    <row r="3548" customFormat="false" ht="14.1" hidden="false" customHeight="true" outlineLevel="0" collapsed="false">
      <c r="A3548" s="1115" t="n">
        <v>92350</v>
      </c>
      <c r="B3548" s="1115" t="s">
        <v>169</v>
      </c>
      <c r="C3548" s="1115" t="n">
        <v>92350</v>
      </c>
      <c r="D3548" s="1115" t="s">
        <v>3714</v>
      </c>
      <c r="E3548" s="1115" t="s">
        <v>1013</v>
      </c>
      <c r="F3548" s="1115" t="n">
        <v>4310</v>
      </c>
      <c r="G3548" s="1115" t="n">
        <v>93340</v>
      </c>
      <c r="H3548" s="1115" t="s">
        <v>3851</v>
      </c>
      <c r="I3548" s="1115" t="n">
        <v>92420</v>
      </c>
      <c r="J3548" s="1115" t="s">
        <v>1497</v>
      </c>
    </row>
    <row r="3549" customFormat="false" ht="14.1" hidden="false" customHeight="true" outlineLevel="0" collapsed="false">
      <c r="A3549" s="1115" t="n">
        <v>92400</v>
      </c>
      <c r="B3549" s="1115" t="s">
        <v>169</v>
      </c>
      <c r="C3549" s="1115" t="n">
        <v>92400</v>
      </c>
      <c r="D3549" s="1115" t="s">
        <v>1459</v>
      </c>
      <c r="E3549" s="1115" t="s">
        <v>1013</v>
      </c>
      <c r="F3549" s="1115" t="n">
        <v>4320</v>
      </c>
      <c r="G3549" s="1115" t="n">
        <v>93350</v>
      </c>
      <c r="H3549" s="1115" t="s">
        <v>2000</v>
      </c>
      <c r="I3549" s="1115" t="n">
        <v>92430</v>
      </c>
      <c r="J3549" s="1115" t="s">
        <v>1497</v>
      </c>
    </row>
    <row r="3550" customFormat="false" ht="14.1" hidden="false" customHeight="true" outlineLevel="0" collapsed="false">
      <c r="A3550" s="1115" t="n">
        <v>92420</v>
      </c>
      <c r="B3550" s="1115" t="s">
        <v>169</v>
      </c>
      <c r="C3550" s="1115" t="n">
        <v>92420</v>
      </c>
      <c r="D3550" s="1115" t="s">
        <v>3944</v>
      </c>
      <c r="E3550" s="1115" t="s">
        <v>3085</v>
      </c>
      <c r="F3550" s="1115" t="n">
        <v>51650</v>
      </c>
      <c r="G3550" s="1115" t="n">
        <v>93390</v>
      </c>
      <c r="H3550" s="1115" t="s">
        <v>3630</v>
      </c>
      <c r="I3550" s="1115" t="n">
        <v>92440</v>
      </c>
      <c r="J3550" s="1115" t="s">
        <v>1497</v>
      </c>
    </row>
    <row r="3551" customFormat="false" ht="14.1" hidden="false" customHeight="true" outlineLevel="0" collapsed="false">
      <c r="A3551" s="1115" t="n">
        <v>92430</v>
      </c>
      <c r="B3551" s="1115" t="s">
        <v>169</v>
      </c>
      <c r="C3551" s="1115" t="n">
        <v>92430</v>
      </c>
      <c r="D3551" s="1115" t="s">
        <v>3449</v>
      </c>
      <c r="E3551" s="1115" t="s">
        <v>3890</v>
      </c>
      <c r="F3551" s="1115" t="n">
        <v>85140</v>
      </c>
      <c r="G3551" s="1115" t="n">
        <v>93400</v>
      </c>
      <c r="H3551" s="1115" t="s">
        <v>1545</v>
      </c>
      <c r="I3551" s="1115" t="n">
        <v>92450</v>
      </c>
      <c r="J3551" s="1115" t="s">
        <v>1497</v>
      </c>
    </row>
    <row r="3552" customFormat="false" ht="14.1" hidden="false" customHeight="true" outlineLevel="0" collapsed="false">
      <c r="A3552" s="1115" t="n">
        <v>92440</v>
      </c>
      <c r="B3552" s="1115" t="s">
        <v>169</v>
      </c>
      <c r="C3552" s="1115" t="n">
        <v>92440</v>
      </c>
      <c r="D3552" s="1115" t="s">
        <v>3791</v>
      </c>
      <c r="E3552" s="1115" t="s">
        <v>3892</v>
      </c>
      <c r="F3552" s="1115" t="n">
        <v>85150</v>
      </c>
      <c r="G3552" s="1115" t="n">
        <v>93420</v>
      </c>
      <c r="H3552" s="1115" t="s">
        <v>2055</v>
      </c>
      <c r="I3552" s="1115" t="n">
        <v>92470</v>
      </c>
      <c r="J3552" s="1115" t="s">
        <v>1497</v>
      </c>
    </row>
    <row r="3553" customFormat="false" ht="14.1" hidden="false" customHeight="true" outlineLevel="0" collapsed="false">
      <c r="A3553" s="1115" t="n">
        <v>92450</v>
      </c>
      <c r="B3553" s="1115" t="s">
        <v>169</v>
      </c>
      <c r="C3553" s="1115" t="n">
        <v>92450</v>
      </c>
      <c r="D3553" s="1115" t="s">
        <v>3056</v>
      </c>
      <c r="E3553" s="1115" t="s">
        <v>3822</v>
      </c>
      <c r="F3553" s="1115" t="n">
        <v>81420</v>
      </c>
      <c r="G3553" s="1115" t="n">
        <v>93440</v>
      </c>
      <c r="H3553" s="1115" t="s">
        <v>3043</v>
      </c>
      <c r="I3553" s="1115" t="n">
        <v>92500</v>
      </c>
      <c r="J3553" s="1115" t="s">
        <v>1497</v>
      </c>
    </row>
    <row r="3554" customFormat="false" ht="14.1" hidden="false" customHeight="true" outlineLevel="0" collapsed="false">
      <c r="A3554" s="1115" t="n">
        <v>92470</v>
      </c>
      <c r="B3554" s="1115" t="s">
        <v>169</v>
      </c>
      <c r="C3554" s="1115" t="n">
        <v>92470</v>
      </c>
      <c r="D3554" s="1115" t="s">
        <v>3956</v>
      </c>
      <c r="E3554" s="1115" t="s">
        <v>1574</v>
      </c>
      <c r="F3554" s="1115" t="n">
        <v>91800</v>
      </c>
      <c r="G3554" s="1115" t="n">
        <v>93460</v>
      </c>
      <c r="H3554" s="1115" t="s">
        <v>2475</v>
      </c>
      <c r="I3554" s="1115" t="n">
        <v>92510</v>
      </c>
      <c r="J3554" s="1115" t="s">
        <v>1497</v>
      </c>
    </row>
    <row r="3555" customFormat="false" ht="14.1" hidden="false" customHeight="true" outlineLevel="0" collapsed="false">
      <c r="A3555" s="1115" t="n">
        <v>92500</v>
      </c>
      <c r="B3555" s="1115" t="s">
        <v>169</v>
      </c>
      <c r="C3555" s="1115" t="n">
        <v>92500</v>
      </c>
      <c r="D3555" s="1115" t="s">
        <v>1415</v>
      </c>
      <c r="E3555" s="1115" t="s">
        <v>1662</v>
      </c>
      <c r="F3555" s="1115" t="n">
        <v>14620</v>
      </c>
      <c r="G3555" s="1115" t="n">
        <v>93470</v>
      </c>
      <c r="H3555" s="1115" t="s">
        <v>1939</v>
      </c>
      <c r="I3555" s="1115" t="n">
        <v>92520</v>
      </c>
      <c r="J3555" s="1115" t="s">
        <v>1497</v>
      </c>
    </row>
    <row r="3556" customFormat="false" ht="14.1" hidden="false" customHeight="true" outlineLevel="0" collapsed="false">
      <c r="A3556" s="1115" t="n">
        <v>92510</v>
      </c>
      <c r="B3556" s="1115" t="s">
        <v>169</v>
      </c>
      <c r="C3556" s="1115" t="n">
        <v>92510</v>
      </c>
      <c r="D3556" s="1115" t="s">
        <v>2386</v>
      </c>
      <c r="E3556" s="1115" t="s">
        <v>3966</v>
      </c>
      <c r="F3556" s="1115" t="n">
        <v>93530</v>
      </c>
      <c r="G3556" s="1115" t="n">
        <v>93510</v>
      </c>
      <c r="H3556" s="1115" t="s">
        <v>1962</v>
      </c>
      <c r="I3556" s="1115" t="n">
        <v>92530</v>
      </c>
      <c r="J3556" s="1115" t="s">
        <v>1497</v>
      </c>
    </row>
    <row r="3557" customFormat="false" ht="14.1" hidden="false" customHeight="true" outlineLevel="0" collapsed="false">
      <c r="A3557" s="1115" t="n">
        <v>92520</v>
      </c>
      <c r="B3557" s="1115" t="s">
        <v>169</v>
      </c>
      <c r="C3557" s="1115" t="n">
        <v>92520</v>
      </c>
      <c r="D3557" s="1115" t="s">
        <v>3859</v>
      </c>
      <c r="E3557" s="1115" t="s">
        <v>3967</v>
      </c>
      <c r="F3557" s="1115" t="n">
        <v>93540</v>
      </c>
      <c r="G3557" s="1115" t="n">
        <v>93520</v>
      </c>
      <c r="H3557" s="1115" t="s">
        <v>3804</v>
      </c>
      <c r="I3557" s="1115" t="n">
        <v>92600</v>
      </c>
      <c r="J3557" s="1115" t="s">
        <v>1497</v>
      </c>
    </row>
    <row r="3558" customFormat="false" ht="14.1" hidden="false" customHeight="true" outlineLevel="0" collapsed="false">
      <c r="A3558" s="1115" t="n">
        <v>92530</v>
      </c>
      <c r="B3558" s="1115" t="s">
        <v>169</v>
      </c>
      <c r="C3558" s="1115" t="n">
        <v>92530</v>
      </c>
      <c r="D3558" s="1115" t="s">
        <v>3122</v>
      </c>
      <c r="E3558" s="1115" t="s">
        <v>1532</v>
      </c>
      <c r="F3558" s="1115" t="n">
        <v>10120</v>
      </c>
      <c r="G3558" s="1115" t="n">
        <v>93530</v>
      </c>
      <c r="H3558" s="1115" t="s">
        <v>3966</v>
      </c>
      <c r="I3558" s="1115" t="n">
        <v>92610</v>
      </c>
      <c r="J3558" s="1115" t="s">
        <v>1497</v>
      </c>
    </row>
    <row r="3559" customFormat="false" ht="14.1" hidden="false" customHeight="true" outlineLevel="0" collapsed="false">
      <c r="A3559" s="1115" t="n">
        <v>92600</v>
      </c>
      <c r="B3559" s="1115" t="s">
        <v>169</v>
      </c>
      <c r="C3559" s="1115" t="n">
        <v>92600</v>
      </c>
      <c r="D3559" s="1115" t="s">
        <v>1373</v>
      </c>
      <c r="E3559" s="1115" t="s">
        <v>3556</v>
      </c>
      <c r="F3559" s="1115" t="n">
        <v>66295</v>
      </c>
      <c r="G3559" s="1115" t="n">
        <v>93540</v>
      </c>
      <c r="H3559" s="1115" t="s">
        <v>3967</v>
      </c>
      <c r="I3559" s="1115" t="n">
        <v>92620</v>
      </c>
      <c r="J3559" s="1115" t="s">
        <v>1497</v>
      </c>
    </row>
    <row r="3560" customFormat="false" ht="14.1" hidden="false" customHeight="true" outlineLevel="0" collapsed="false">
      <c r="A3560" s="1115" t="n">
        <v>92610</v>
      </c>
      <c r="B3560" s="1115" t="s">
        <v>169</v>
      </c>
      <c r="C3560" s="1115" t="n">
        <v>92610</v>
      </c>
      <c r="D3560" s="1115" t="s">
        <v>3958</v>
      </c>
      <c r="E3560" s="1115" t="s">
        <v>3529</v>
      </c>
      <c r="F3560" s="1115" t="n">
        <v>65460</v>
      </c>
      <c r="G3560" s="1115" t="n">
        <v>93550</v>
      </c>
      <c r="H3560" s="1115" t="s">
        <v>3052</v>
      </c>
      <c r="I3560" s="1115" t="n">
        <v>92640</v>
      </c>
      <c r="J3560" s="1115" t="s">
        <v>1497</v>
      </c>
    </row>
    <row r="3561" customFormat="false" ht="14.1" hidden="false" customHeight="true" outlineLevel="0" collapsed="false">
      <c r="A3561" s="1115" t="n">
        <v>92620</v>
      </c>
      <c r="B3561" s="1115" t="s">
        <v>169</v>
      </c>
      <c r="C3561" s="1115" t="n">
        <v>92620</v>
      </c>
      <c r="D3561" s="1115" t="s">
        <v>1351</v>
      </c>
      <c r="E3561" s="1115" t="s">
        <v>3968</v>
      </c>
      <c r="F3561" s="1115" t="n">
        <v>95315</v>
      </c>
      <c r="G3561" s="1115" t="n">
        <v>93590</v>
      </c>
      <c r="H3561" s="1115" t="s">
        <v>3969</v>
      </c>
      <c r="I3561" s="1115" t="n">
        <v>92650</v>
      </c>
      <c r="J3561" s="1115" t="s">
        <v>1497</v>
      </c>
    </row>
    <row r="3562" customFormat="false" ht="14.1" hidden="false" customHeight="true" outlineLevel="0" collapsed="false">
      <c r="A3562" s="1115" t="n">
        <v>92640</v>
      </c>
      <c r="B3562" s="1115" t="s">
        <v>169</v>
      </c>
      <c r="C3562" s="1115" t="n">
        <v>92640</v>
      </c>
      <c r="D3562" s="1115" t="s">
        <v>2977</v>
      </c>
      <c r="E3562" s="1115" t="s">
        <v>3929</v>
      </c>
      <c r="F3562" s="1115" t="n">
        <v>89110</v>
      </c>
      <c r="G3562" s="1115" t="n">
        <v>93600</v>
      </c>
      <c r="H3562" s="1115" t="s">
        <v>1130</v>
      </c>
      <c r="I3562" s="1115" t="n">
        <v>92700</v>
      </c>
      <c r="J3562" s="1115" t="s">
        <v>1497</v>
      </c>
    </row>
    <row r="3563" customFormat="false" ht="14.1" hidden="false" customHeight="true" outlineLevel="0" collapsed="false">
      <c r="A3563" s="1115" t="n">
        <v>92650</v>
      </c>
      <c r="B3563" s="1115" t="s">
        <v>169</v>
      </c>
      <c r="C3563" s="1115" t="n">
        <v>92650</v>
      </c>
      <c r="D3563" s="1115" t="s">
        <v>2841</v>
      </c>
      <c r="E3563" s="1115" t="s">
        <v>3970</v>
      </c>
      <c r="F3563" s="1115" t="n">
        <v>93715</v>
      </c>
      <c r="G3563" s="1115" t="n">
        <v>93630</v>
      </c>
      <c r="H3563" s="1115" t="s">
        <v>2707</v>
      </c>
      <c r="I3563" s="1115" t="n">
        <v>92710</v>
      </c>
      <c r="J3563" s="1115" t="s">
        <v>1497</v>
      </c>
    </row>
    <row r="3564" customFormat="false" ht="14.1" hidden="false" customHeight="true" outlineLevel="0" collapsed="false">
      <c r="A3564" s="1115" t="n">
        <v>92700</v>
      </c>
      <c r="B3564" s="1115" t="s">
        <v>169</v>
      </c>
      <c r="C3564" s="1115" t="n">
        <v>92700</v>
      </c>
      <c r="D3564" s="1115" t="s">
        <v>1050</v>
      </c>
      <c r="E3564" s="1115" t="s">
        <v>3971</v>
      </c>
      <c r="F3564" s="1115" t="n">
        <v>95665</v>
      </c>
      <c r="G3564" s="1115" t="n">
        <v>93640</v>
      </c>
      <c r="H3564" s="1115" t="s">
        <v>3524</v>
      </c>
      <c r="I3564" s="1115" t="n">
        <v>92720</v>
      </c>
      <c r="J3564" s="1115" t="s">
        <v>1497</v>
      </c>
    </row>
    <row r="3565" customFormat="false" ht="14.1" hidden="false" customHeight="true" outlineLevel="0" collapsed="false">
      <c r="A3565" s="1115" t="n">
        <v>92710</v>
      </c>
      <c r="B3565" s="1115" t="s">
        <v>169</v>
      </c>
      <c r="C3565" s="1115" t="n">
        <v>92710</v>
      </c>
      <c r="D3565" s="1115" t="s">
        <v>3255</v>
      </c>
      <c r="E3565" s="1115" t="s">
        <v>1576</v>
      </c>
      <c r="F3565" s="1115" t="n">
        <v>63600</v>
      </c>
      <c r="G3565" s="1115" t="n">
        <v>93650</v>
      </c>
      <c r="H3565" s="1115" t="s">
        <v>3641</v>
      </c>
      <c r="I3565" s="1115" t="n">
        <v>92760</v>
      </c>
      <c r="J3565" s="1115" t="s">
        <v>1497</v>
      </c>
    </row>
    <row r="3566" customFormat="false" ht="14.1" hidden="false" customHeight="true" outlineLevel="0" collapsed="false">
      <c r="A3566" s="1115" t="n">
        <v>92720</v>
      </c>
      <c r="B3566" s="1115" t="s">
        <v>169</v>
      </c>
      <c r="C3566" s="1115" t="n">
        <v>92720</v>
      </c>
      <c r="D3566" s="1115" t="s">
        <v>2944</v>
      </c>
      <c r="E3566" s="1115" t="s">
        <v>3965</v>
      </c>
      <c r="F3566" s="1115" t="n">
        <v>93235</v>
      </c>
      <c r="G3566" s="1115" t="n">
        <v>93660</v>
      </c>
      <c r="H3566" s="1115" t="s">
        <v>3391</v>
      </c>
      <c r="I3566" s="1115" t="n">
        <v>92810</v>
      </c>
      <c r="J3566" s="1115" t="s">
        <v>1497</v>
      </c>
    </row>
    <row r="3567" customFormat="false" ht="14.1" hidden="false" customHeight="true" outlineLevel="0" collapsed="false">
      <c r="A3567" s="1115" t="n">
        <v>92760</v>
      </c>
      <c r="B3567" s="1115" t="s">
        <v>169</v>
      </c>
      <c r="C3567" s="1115" t="n">
        <v>92760</v>
      </c>
      <c r="D3567" s="1115" t="s">
        <v>3569</v>
      </c>
      <c r="E3567" s="1115" t="s">
        <v>3815</v>
      </c>
      <c r="F3567" s="1115" t="n">
        <v>81280</v>
      </c>
      <c r="G3567" s="1115" t="n">
        <v>93670</v>
      </c>
      <c r="H3567" s="1115" t="s">
        <v>1305</v>
      </c>
      <c r="I3567" s="1115" t="n">
        <v>92830</v>
      </c>
      <c r="J3567" s="1115" t="s">
        <v>1497</v>
      </c>
    </row>
    <row r="3568" customFormat="false" ht="14.1" hidden="false" customHeight="true" outlineLevel="0" collapsed="false">
      <c r="A3568" s="1115" t="n">
        <v>92810</v>
      </c>
      <c r="B3568" s="1115" t="s">
        <v>169</v>
      </c>
      <c r="C3568" s="1115" t="n">
        <v>92810</v>
      </c>
      <c r="D3568" s="1115" t="s">
        <v>3520</v>
      </c>
      <c r="E3568" s="1115" t="s">
        <v>1882</v>
      </c>
      <c r="F3568" s="1115" t="n">
        <v>19690</v>
      </c>
      <c r="G3568" s="1115" t="n">
        <v>93680</v>
      </c>
      <c r="H3568" s="1115" t="s">
        <v>3972</v>
      </c>
      <c r="I3568" s="1115" t="n">
        <v>92910</v>
      </c>
      <c r="J3568" s="1115" t="s">
        <v>1392</v>
      </c>
    </row>
    <row r="3569" customFormat="false" ht="14.1" hidden="false" customHeight="true" outlineLevel="0" collapsed="false">
      <c r="A3569" s="1115" t="n">
        <v>92830</v>
      </c>
      <c r="B3569" s="1115" t="s">
        <v>169</v>
      </c>
      <c r="C3569" s="1115" t="n">
        <v>92830</v>
      </c>
      <c r="D3569" s="1115" t="s">
        <v>3959</v>
      </c>
      <c r="E3569" s="1115" t="s">
        <v>3199</v>
      </c>
      <c r="F3569" s="1115" t="n">
        <v>54740</v>
      </c>
      <c r="G3569" s="1115" t="n">
        <v>93690</v>
      </c>
      <c r="H3569" s="1115" t="s">
        <v>3781</v>
      </c>
      <c r="I3569" s="1115" t="n">
        <v>92920</v>
      </c>
      <c r="J3569" s="1115" t="s">
        <v>1392</v>
      </c>
    </row>
    <row r="3570" customFormat="false" ht="14.1" hidden="false" customHeight="true" outlineLevel="0" collapsed="false">
      <c r="A3570" s="1115" t="n">
        <v>92910</v>
      </c>
      <c r="B3570" s="1115" t="s">
        <v>169</v>
      </c>
      <c r="C3570" s="1115" t="n">
        <v>92910</v>
      </c>
      <c r="D3570" s="1115" t="s">
        <v>3933</v>
      </c>
      <c r="E3570" s="1115" t="s">
        <v>3817</v>
      </c>
      <c r="F3570" s="1115" t="n">
        <v>81290</v>
      </c>
      <c r="G3570" s="1115" t="n">
        <v>93710</v>
      </c>
      <c r="H3570" s="1115" t="s">
        <v>2234</v>
      </c>
      <c r="I3570" s="1115" t="n">
        <v>92930</v>
      </c>
      <c r="J3570" s="1115" t="s">
        <v>1392</v>
      </c>
    </row>
    <row r="3571" customFormat="false" ht="14.1" hidden="false" customHeight="true" outlineLevel="0" collapsed="false">
      <c r="A3571" s="1115" t="n">
        <v>92920</v>
      </c>
      <c r="B3571" s="1115" t="s">
        <v>169</v>
      </c>
      <c r="C3571" s="1115" t="n">
        <v>92920</v>
      </c>
      <c r="D3571" s="1115" t="s">
        <v>749</v>
      </c>
      <c r="E3571" s="1115" t="s">
        <v>1577</v>
      </c>
      <c r="F3571" s="1115" t="n">
        <v>68370</v>
      </c>
      <c r="G3571" s="1115" t="n">
        <v>93715</v>
      </c>
      <c r="H3571" s="1115" t="s">
        <v>3970</v>
      </c>
      <c r="I3571" s="1115" t="n">
        <v>93100</v>
      </c>
      <c r="J3571" s="1115" t="s">
        <v>1368</v>
      </c>
    </row>
    <row r="3572" customFormat="false" ht="14.1" hidden="false" customHeight="true" outlineLevel="0" collapsed="false">
      <c r="A3572" s="1115" t="n">
        <v>92930</v>
      </c>
      <c r="B3572" s="1115" t="s">
        <v>169</v>
      </c>
      <c r="C3572" s="1115" t="n">
        <v>92930</v>
      </c>
      <c r="D3572" s="1115" t="s">
        <v>1392</v>
      </c>
      <c r="E3572" s="1115" t="s">
        <v>1579</v>
      </c>
      <c r="F3572" s="1115" t="n">
        <v>28400</v>
      </c>
      <c r="G3572" s="1115" t="n">
        <v>93717</v>
      </c>
      <c r="H3572" s="1115" t="s">
        <v>3875</v>
      </c>
      <c r="I3572" s="1115" t="n">
        <v>93130</v>
      </c>
      <c r="J3572" s="1115" t="s">
        <v>1368</v>
      </c>
    </row>
    <row r="3573" customFormat="false" ht="14.1" hidden="false" customHeight="true" outlineLevel="0" collapsed="false">
      <c r="A3573" s="1115" t="n">
        <v>93100</v>
      </c>
      <c r="B3573" s="1115" t="s">
        <v>168</v>
      </c>
      <c r="C3573" s="1115" t="n">
        <v>93100</v>
      </c>
      <c r="D3573" s="1115" t="s">
        <v>1368</v>
      </c>
      <c r="E3573" s="1115" t="s">
        <v>2971</v>
      </c>
      <c r="F3573" s="1115" t="n">
        <v>46810</v>
      </c>
      <c r="G3573" s="1115" t="n">
        <v>93720</v>
      </c>
      <c r="H3573" s="1115" t="s">
        <v>2374</v>
      </c>
      <c r="I3573" s="1115" t="n">
        <v>93140</v>
      </c>
      <c r="J3573" s="1115" t="s">
        <v>1368</v>
      </c>
    </row>
    <row r="3574" customFormat="false" ht="14.1" hidden="false" customHeight="true" outlineLevel="0" collapsed="false">
      <c r="A3574" s="1115" t="n">
        <v>93130</v>
      </c>
      <c r="B3574" s="1115" t="s">
        <v>168</v>
      </c>
      <c r="C3574" s="1115" t="n">
        <v>93130</v>
      </c>
      <c r="D3574" s="1115" t="s">
        <v>3912</v>
      </c>
      <c r="E3574" s="1115" t="s">
        <v>2165</v>
      </c>
      <c r="F3574" s="1115" t="n">
        <v>26910</v>
      </c>
      <c r="G3574" s="1115" t="n">
        <v>93725</v>
      </c>
      <c r="H3574" s="1115" t="s">
        <v>3086</v>
      </c>
      <c r="I3574" s="1115" t="n">
        <v>93145</v>
      </c>
      <c r="J3574" s="1115" t="s">
        <v>1368</v>
      </c>
    </row>
    <row r="3575" customFormat="false" ht="14.1" hidden="false" customHeight="true" outlineLevel="0" collapsed="false">
      <c r="A3575" s="1115" t="n">
        <v>93140</v>
      </c>
      <c r="B3575" s="1115" t="s">
        <v>168</v>
      </c>
      <c r="C3575" s="1115" t="n">
        <v>93140</v>
      </c>
      <c r="D3575" s="1115" t="s">
        <v>2439</v>
      </c>
      <c r="E3575" s="1115" t="s">
        <v>3973</v>
      </c>
      <c r="F3575" s="1115" t="n">
        <v>99760</v>
      </c>
      <c r="G3575" s="1115" t="n">
        <v>93730</v>
      </c>
      <c r="H3575" s="1115" t="s">
        <v>3623</v>
      </c>
      <c r="I3575" s="1115" t="n">
        <v>93150</v>
      </c>
      <c r="J3575" s="1115" t="s">
        <v>1368</v>
      </c>
    </row>
    <row r="3576" customFormat="false" ht="14.1" hidden="false" customHeight="true" outlineLevel="0" collapsed="false">
      <c r="A3576" s="1115" t="n">
        <v>93145</v>
      </c>
      <c r="B3576" s="1115" t="s">
        <v>168</v>
      </c>
      <c r="C3576" s="1115" t="n">
        <v>93145</v>
      </c>
      <c r="D3576" s="1115" t="s">
        <v>2524</v>
      </c>
      <c r="E3576" s="1115" t="s">
        <v>3974</v>
      </c>
      <c r="F3576" s="1115" t="n">
        <v>97370</v>
      </c>
      <c r="G3576" s="1115" t="n">
        <v>93750</v>
      </c>
      <c r="H3576" s="1115" t="s">
        <v>3867</v>
      </c>
      <c r="I3576" s="1115" t="n">
        <v>93160</v>
      </c>
      <c r="J3576" s="1115" t="s">
        <v>1368</v>
      </c>
    </row>
    <row r="3577" customFormat="false" ht="14.1" hidden="false" customHeight="true" outlineLevel="0" collapsed="false">
      <c r="A3577" s="1115" t="n">
        <v>93150</v>
      </c>
      <c r="B3577" s="1115" t="s">
        <v>168</v>
      </c>
      <c r="C3577" s="1115" t="n">
        <v>93150</v>
      </c>
      <c r="D3577" s="1115" t="s">
        <v>3960</v>
      </c>
      <c r="E3577" s="1115" t="s">
        <v>3376</v>
      </c>
      <c r="F3577" s="1115" t="n">
        <v>61440</v>
      </c>
      <c r="G3577" s="1115" t="n">
        <v>93760</v>
      </c>
      <c r="H3577" s="1115" t="s">
        <v>3228</v>
      </c>
      <c r="I3577" s="1115" t="n">
        <v>93170</v>
      </c>
      <c r="J3577" s="1115" t="s">
        <v>1368</v>
      </c>
    </row>
    <row r="3578" customFormat="false" ht="14.1" hidden="false" customHeight="true" outlineLevel="0" collapsed="false">
      <c r="A3578" s="1115" t="n">
        <v>93160</v>
      </c>
      <c r="B3578" s="1115" t="s">
        <v>168</v>
      </c>
      <c r="C3578" s="1115" t="n">
        <v>93160</v>
      </c>
      <c r="D3578" s="1115" t="s">
        <v>1678</v>
      </c>
      <c r="E3578" s="1115" t="s">
        <v>2928</v>
      </c>
      <c r="F3578" s="1115" t="n">
        <v>44870</v>
      </c>
      <c r="G3578" s="1115" t="n">
        <v>93770</v>
      </c>
      <c r="H3578" s="1115" t="s">
        <v>2738</v>
      </c>
      <c r="I3578" s="1115" t="n">
        <v>93175</v>
      </c>
      <c r="J3578" s="1115" t="s">
        <v>1368</v>
      </c>
    </row>
    <row r="3579" customFormat="false" ht="14.1" hidden="false" customHeight="true" outlineLevel="0" collapsed="false">
      <c r="A3579" s="1115" t="n">
        <v>93170</v>
      </c>
      <c r="B3579" s="1115" t="s">
        <v>168</v>
      </c>
      <c r="C3579" s="1115" t="n">
        <v>93170</v>
      </c>
      <c r="D3579" s="1115" t="s">
        <v>3961</v>
      </c>
      <c r="E3579" s="1115" t="s">
        <v>2160</v>
      </c>
      <c r="F3579" s="1115" t="n">
        <v>26510</v>
      </c>
      <c r="G3579" s="1115" t="n">
        <v>93780</v>
      </c>
      <c r="H3579" s="1115" t="s">
        <v>3934</v>
      </c>
      <c r="I3579" s="1115" t="n">
        <v>93180</v>
      </c>
      <c r="J3579" s="1115" t="s">
        <v>1368</v>
      </c>
    </row>
    <row r="3580" customFormat="false" ht="14.1" hidden="false" customHeight="true" outlineLevel="0" collapsed="false">
      <c r="A3580" s="1115" t="n">
        <v>93175</v>
      </c>
      <c r="B3580" s="1115" t="s">
        <v>168</v>
      </c>
      <c r="C3580" s="1115" t="n">
        <v>93175</v>
      </c>
      <c r="D3580" s="1115" t="s">
        <v>2783</v>
      </c>
      <c r="E3580" s="1115" t="s">
        <v>1129</v>
      </c>
      <c r="F3580" s="1115" t="n">
        <v>2470</v>
      </c>
      <c r="G3580" s="1115" t="n">
        <v>93790</v>
      </c>
      <c r="H3580" s="1115" t="s">
        <v>1950</v>
      </c>
      <c r="I3580" s="1115" t="n">
        <v>93185</v>
      </c>
      <c r="J3580" s="1115" t="s">
        <v>1368</v>
      </c>
    </row>
    <row r="3581" customFormat="false" ht="14.1" hidden="false" customHeight="true" outlineLevel="0" collapsed="false">
      <c r="A3581" s="1115" t="n">
        <v>93180</v>
      </c>
      <c r="B3581" s="1115" t="s">
        <v>168</v>
      </c>
      <c r="C3581" s="1115" t="n">
        <v>93180</v>
      </c>
      <c r="D3581" s="1115" t="s">
        <v>1918</v>
      </c>
      <c r="E3581" s="1115" t="s">
        <v>1792</v>
      </c>
      <c r="F3581" s="1115" t="n">
        <v>17150</v>
      </c>
      <c r="G3581" s="1115" t="n">
        <v>93815</v>
      </c>
      <c r="H3581" s="1115" t="s">
        <v>2711</v>
      </c>
      <c r="I3581" s="1115" t="n">
        <v>93187</v>
      </c>
      <c r="J3581" s="1115" t="s">
        <v>1368</v>
      </c>
    </row>
    <row r="3582" customFormat="false" ht="14.1" hidden="false" customHeight="true" outlineLevel="0" collapsed="false">
      <c r="A3582" s="1115" t="n">
        <v>93185</v>
      </c>
      <c r="B3582" s="1115" t="s">
        <v>168</v>
      </c>
      <c r="C3582" s="1115" t="n">
        <v>93185</v>
      </c>
      <c r="D3582" s="1115" t="s">
        <v>3239</v>
      </c>
      <c r="E3582" s="1115" t="s">
        <v>3745</v>
      </c>
      <c r="F3582" s="1115" t="n">
        <v>75830</v>
      </c>
      <c r="G3582" s="1115" t="n">
        <v>93820</v>
      </c>
      <c r="H3582" s="1115" t="s">
        <v>793</v>
      </c>
      <c r="I3582" s="1115" t="n">
        <v>93190</v>
      </c>
      <c r="J3582" s="1115" t="s">
        <v>1368</v>
      </c>
    </row>
    <row r="3583" customFormat="false" ht="14.1" hidden="false" customHeight="true" outlineLevel="0" collapsed="false">
      <c r="A3583" s="1115" t="n">
        <v>93187</v>
      </c>
      <c r="B3583" s="1115" t="s">
        <v>168</v>
      </c>
      <c r="C3583" s="1115" t="n">
        <v>93187</v>
      </c>
      <c r="D3583" s="1115" t="s">
        <v>849</v>
      </c>
      <c r="E3583" s="1115" t="s">
        <v>1581</v>
      </c>
      <c r="F3583" s="1115" t="n">
        <v>31700</v>
      </c>
      <c r="G3583" s="1115" t="n">
        <v>93825</v>
      </c>
      <c r="H3583" s="1115" t="s">
        <v>3752</v>
      </c>
      <c r="I3583" s="1115" t="n">
        <v>93195</v>
      </c>
      <c r="J3583" s="1115" t="s">
        <v>1368</v>
      </c>
    </row>
    <row r="3584" customFormat="false" ht="14.1" hidden="false" customHeight="true" outlineLevel="0" collapsed="false">
      <c r="A3584" s="1115" t="n">
        <v>93190</v>
      </c>
      <c r="B3584" s="1115" t="s">
        <v>168</v>
      </c>
      <c r="C3584" s="1115" t="n">
        <v>93190</v>
      </c>
      <c r="D3584" s="1115" t="s">
        <v>3963</v>
      </c>
      <c r="E3584" s="1115" t="s">
        <v>1581</v>
      </c>
      <c r="F3584" s="1115" t="n">
        <v>31760</v>
      </c>
      <c r="G3584" s="1115" t="n">
        <v>93830</v>
      </c>
      <c r="H3584" s="1115" t="s">
        <v>2445</v>
      </c>
      <c r="I3584" s="1115" t="n">
        <v>93210</v>
      </c>
      <c r="J3584" s="1115" t="s">
        <v>1368</v>
      </c>
    </row>
    <row r="3585" customFormat="false" ht="14.1" hidden="false" customHeight="true" outlineLevel="0" collapsed="false">
      <c r="A3585" s="1115" t="n">
        <v>93195</v>
      </c>
      <c r="B3585" s="1115" t="s">
        <v>168</v>
      </c>
      <c r="C3585" s="1115" t="n">
        <v>93195</v>
      </c>
      <c r="D3585" s="1115" t="s">
        <v>2500</v>
      </c>
      <c r="E3585" s="1115" t="s">
        <v>2369</v>
      </c>
      <c r="F3585" s="1115" t="n">
        <v>31720</v>
      </c>
      <c r="G3585" s="1115" t="n">
        <v>93840</v>
      </c>
      <c r="H3585" s="1115" t="s">
        <v>3504</v>
      </c>
      <c r="I3585" s="1115" t="n">
        <v>93215</v>
      </c>
      <c r="J3585" s="1115" t="s">
        <v>1368</v>
      </c>
    </row>
    <row r="3586" customFormat="false" ht="14.1" hidden="false" customHeight="true" outlineLevel="0" collapsed="false">
      <c r="A3586" s="1115" t="n">
        <v>93210</v>
      </c>
      <c r="B3586" s="1115" t="s">
        <v>168</v>
      </c>
      <c r="C3586" s="1115" t="n">
        <v>93210</v>
      </c>
      <c r="D3586" s="1115" t="s">
        <v>839</v>
      </c>
      <c r="E3586" s="1115" t="s">
        <v>3190</v>
      </c>
      <c r="F3586" s="1115" t="n">
        <v>54510</v>
      </c>
      <c r="G3586" s="1115" t="n">
        <v>93850</v>
      </c>
      <c r="H3586" s="1115" t="s">
        <v>2824</v>
      </c>
      <c r="I3586" s="1115" t="n">
        <v>93220</v>
      </c>
      <c r="J3586" s="1115" t="s">
        <v>1368</v>
      </c>
    </row>
    <row r="3587" customFormat="false" ht="14.1" hidden="false" customHeight="true" outlineLevel="0" collapsed="false">
      <c r="A3587" s="1115" t="n">
        <v>93215</v>
      </c>
      <c r="B3587" s="1115" t="s">
        <v>168</v>
      </c>
      <c r="C3587" s="1115" t="n">
        <v>93215</v>
      </c>
      <c r="D3587" s="1115" t="s">
        <v>918</v>
      </c>
      <c r="E3587" s="1115" t="s">
        <v>3835</v>
      </c>
      <c r="F3587" s="1115" t="n">
        <v>82170</v>
      </c>
      <c r="G3587" s="1115" t="n">
        <v>93855</v>
      </c>
      <c r="H3587" s="1115" t="s">
        <v>2998</v>
      </c>
      <c r="I3587" s="1115" t="n">
        <v>93225</v>
      </c>
      <c r="J3587" s="1115" t="s">
        <v>1368</v>
      </c>
    </row>
    <row r="3588" customFormat="false" ht="14.1" hidden="false" customHeight="true" outlineLevel="0" collapsed="false">
      <c r="A3588" s="1115" t="n">
        <v>93220</v>
      </c>
      <c r="B3588" s="1115" t="s">
        <v>168</v>
      </c>
      <c r="C3588" s="1115" t="n">
        <v>93220</v>
      </c>
      <c r="D3588" s="1115" t="s">
        <v>3008</v>
      </c>
      <c r="E3588" s="1115" t="s">
        <v>1582</v>
      </c>
      <c r="F3588" s="1115" t="n">
        <v>91600</v>
      </c>
      <c r="G3588" s="1115" t="n">
        <v>93860</v>
      </c>
      <c r="H3588" s="1115" t="s">
        <v>3771</v>
      </c>
      <c r="I3588" s="1115" t="n">
        <v>93235</v>
      </c>
      <c r="J3588" s="1115" t="s">
        <v>1368</v>
      </c>
    </row>
    <row r="3589" customFormat="false" ht="14.1" hidden="false" customHeight="true" outlineLevel="0" collapsed="false">
      <c r="A3589" s="1115" t="n">
        <v>93225</v>
      </c>
      <c r="B3589" s="1115" t="s">
        <v>168</v>
      </c>
      <c r="C3589" s="1115" t="n">
        <v>93225</v>
      </c>
      <c r="D3589" s="1115" t="s">
        <v>3667</v>
      </c>
      <c r="E3589" s="1115" t="s">
        <v>3678</v>
      </c>
      <c r="F3589" s="1115" t="n">
        <v>72260</v>
      </c>
      <c r="G3589" s="1115" t="n">
        <v>93870</v>
      </c>
      <c r="H3589" s="1115" t="s">
        <v>3901</v>
      </c>
      <c r="I3589" s="1115" t="n">
        <v>93240</v>
      </c>
      <c r="J3589" s="1115" t="s">
        <v>1368</v>
      </c>
    </row>
    <row r="3590" customFormat="false" ht="14.1" hidden="false" customHeight="true" outlineLevel="0" collapsed="false">
      <c r="A3590" s="1115" t="n">
        <v>93235</v>
      </c>
      <c r="B3590" s="1115" t="s">
        <v>168</v>
      </c>
      <c r="C3590" s="1115" t="n">
        <v>93235</v>
      </c>
      <c r="D3590" s="1115" t="s">
        <v>3965</v>
      </c>
      <c r="E3590" s="1115" t="s">
        <v>1583</v>
      </c>
      <c r="F3590" s="1115" t="n">
        <v>99980</v>
      </c>
      <c r="G3590" s="1115" t="n">
        <v>93875</v>
      </c>
      <c r="H3590" s="1115" t="s">
        <v>2088</v>
      </c>
      <c r="I3590" s="1115" t="n">
        <v>93245</v>
      </c>
      <c r="J3590" s="1115" t="s">
        <v>1368</v>
      </c>
    </row>
    <row r="3591" customFormat="false" ht="14.1" hidden="false" customHeight="true" outlineLevel="0" collapsed="false">
      <c r="A3591" s="1115" t="n">
        <v>93240</v>
      </c>
      <c r="B3591" s="1115" t="s">
        <v>168</v>
      </c>
      <c r="C3591" s="1115" t="n">
        <v>93240</v>
      </c>
      <c r="D3591" s="1115" t="s">
        <v>3775</v>
      </c>
      <c r="E3591" s="1115" t="s">
        <v>3492</v>
      </c>
      <c r="F3591" s="1115" t="n">
        <v>64420</v>
      </c>
      <c r="G3591" s="1115" t="n">
        <v>93880</v>
      </c>
      <c r="H3591" s="1115" t="s">
        <v>3915</v>
      </c>
      <c r="I3591" s="1115" t="n">
        <v>93250</v>
      </c>
      <c r="J3591" s="1115" t="s">
        <v>1368</v>
      </c>
    </row>
    <row r="3592" customFormat="false" ht="14.1" hidden="false" customHeight="true" outlineLevel="0" collapsed="false">
      <c r="A3592" s="1115" t="n">
        <v>93245</v>
      </c>
      <c r="B3592" s="1115" t="s">
        <v>168</v>
      </c>
      <c r="C3592" s="1115" t="n">
        <v>93245</v>
      </c>
      <c r="D3592" s="1115" t="s">
        <v>3365</v>
      </c>
      <c r="E3592" s="1115" t="s">
        <v>2943</v>
      </c>
      <c r="F3592" s="1115" t="n">
        <v>45410</v>
      </c>
      <c r="G3592" s="1115" t="n">
        <v>93890</v>
      </c>
      <c r="H3592" s="1115" t="s">
        <v>3615</v>
      </c>
      <c r="I3592" s="1115" t="n">
        <v>93270</v>
      </c>
      <c r="J3592" s="1115" t="s">
        <v>1368</v>
      </c>
    </row>
    <row r="3593" customFormat="false" ht="14.1" hidden="false" customHeight="true" outlineLevel="0" collapsed="false">
      <c r="A3593" s="1115" t="n">
        <v>93250</v>
      </c>
      <c r="B3593" s="1115" t="s">
        <v>168</v>
      </c>
      <c r="C3593" s="1115" t="n">
        <v>93250</v>
      </c>
      <c r="D3593" s="1115" t="s">
        <v>3816</v>
      </c>
      <c r="E3593" s="1115" t="s">
        <v>3231</v>
      </c>
      <c r="F3593" s="1115" t="n">
        <v>56330</v>
      </c>
      <c r="G3593" s="1115" t="n">
        <v>93920</v>
      </c>
      <c r="H3593" s="1115" t="s">
        <v>3270</v>
      </c>
      <c r="I3593" s="1115" t="n">
        <v>93277</v>
      </c>
      <c r="J3593" s="1115" t="s">
        <v>1368</v>
      </c>
    </row>
    <row r="3594" customFormat="false" ht="14.1" hidden="false" customHeight="true" outlineLevel="0" collapsed="false">
      <c r="A3594" s="1115" t="n">
        <v>93270</v>
      </c>
      <c r="B3594" s="1115" t="s">
        <v>168</v>
      </c>
      <c r="C3594" s="1115" t="n">
        <v>93270</v>
      </c>
      <c r="D3594" s="1115" t="s">
        <v>3876</v>
      </c>
      <c r="E3594" s="1115" t="s">
        <v>1990</v>
      </c>
      <c r="F3594" s="1115" t="n">
        <v>21740</v>
      </c>
      <c r="G3594" s="1115" t="n">
        <v>93925</v>
      </c>
      <c r="H3594" s="1115" t="s">
        <v>2454</v>
      </c>
      <c r="I3594" s="1115" t="n">
        <v>93290</v>
      </c>
      <c r="J3594" s="1115" t="s">
        <v>1368</v>
      </c>
    </row>
    <row r="3595" customFormat="false" ht="14.1" hidden="false" customHeight="true" outlineLevel="0" collapsed="false">
      <c r="A3595" s="1115" t="n">
        <v>93277</v>
      </c>
      <c r="B3595" s="1115" t="s">
        <v>168</v>
      </c>
      <c r="C3595" s="1115" t="n">
        <v>93277</v>
      </c>
      <c r="D3595" s="1115" t="s">
        <v>1912</v>
      </c>
      <c r="E3595" s="1115" t="s">
        <v>3341</v>
      </c>
      <c r="F3595" s="1115" t="n">
        <v>59730</v>
      </c>
      <c r="G3595" s="1115" t="n">
        <v>93930</v>
      </c>
      <c r="H3595" s="1115" t="s">
        <v>2087</v>
      </c>
      <c r="I3595" s="1115" t="n">
        <v>93310</v>
      </c>
      <c r="J3595" s="1115" t="s">
        <v>1368</v>
      </c>
    </row>
    <row r="3596" customFormat="false" ht="14.1" hidden="false" customHeight="true" outlineLevel="0" collapsed="false">
      <c r="A3596" s="1115" t="n">
        <v>93290</v>
      </c>
      <c r="B3596" s="1115" t="s">
        <v>168</v>
      </c>
      <c r="C3596" s="1115" t="n">
        <v>93290</v>
      </c>
      <c r="D3596" s="1115" t="s">
        <v>3581</v>
      </c>
      <c r="E3596" s="1115" t="s">
        <v>1584</v>
      </c>
      <c r="F3596" s="1115" t="n">
        <v>41230</v>
      </c>
      <c r="G3596" s="1115" t="n">
        <v>93940</v>
      </c>
      <c r="H3596" s="1115" t="s">
        <v>3975</v>
      </c>
      <c r="I3596" s="1115" t="n">
        <v>93320</v>
      </c>
      <c r="J3596" s="1115" t="s">
        <v>1368</v>
      </c>
    </row>
    <row r="3597" customFormat="false" ht="14.1" hidden="false" customHeight="true" outlineLevel="0" collapsed="false">
      <c r="A3597" s="1115" t="n">
        <v>93310</v>
      </c>
      <c r="B3597" s="1115" t="s">
        <v>168</v>
      </c>
      <c r="C3597" s="1115" t="n">
        <v>93310</v>
      </c>
      <c r="D3597" s="1115" t="s">
        <v>1717</v>
      </c>
      <c r="E3597" s="1115" t="s">
        <v>3799</v>
      </c>
      <c r="F3597" s="1115" t="n">
        <v>79850</v>
      </c>
      <c r="G3597" s="1115" t="n">
        <v>93950</v>
      </c>
      <c r="H3597" s="1115" t="s">
        <v>3906</v>
      </c>
      <c r="I3597" s="1115" t="n">
        <v>93340</v>
      </c>
      <c r="J3597" s="1115" t="s">
        <v>1368</v>
      </c>
    </row>
    <row r="3598" customFormat="false" ht="14.1" hidden="false" customHeight="true" outlineLevel="0" collapsed="false">
      <c r="A3598" s="1115" t="n">
        <v>93320</v>
      </c>
      <c r="B3598" s="1115" t="s">
        <v>168</v>
      </c>
      <c r="C3598" s="1115" t="n">
        <v>93320</v>
      </c>
      <c r="D3598" s="1115" t="s">
        <v>1107</v>
      </c>
      <c r="E3598" s="1115" t="s">
        <v>3854</v>
      </c>
      <c r="F3598" s="1115" t="n">
        <v>82660</v>
      </c>
      <c r="G3598" s="1115" t="n">
        <v>93970</v>
      </c>
      <c r="H3598" s="1115" t="s">
        <v>2416</v>
      </c>
      <c r="I3598" s="1115" t="n">
        <v>93350</v>
      </c>
      <c r="J3598" s="1115" t="s">
        <v>1368</v>
      </c>
    </row>
    <row r="3599" customFormat="false" ht="14.1" hidden="false" customHeight="true" outlineLevel="0" collapsed="false">
      <c r="A3599" s="1115" t="n">
        <v>93340</v>
      </c>
      <c r="B3599" s="1115" t="s">
        <v>168</v>
      </c>
      <c r="C3599" s="1115" t="n">
        <v>93340</v>
      </c>
      <c r="D3599" s="1115" t="s">
        <v>3851</v>
      </c>
      <c r="E3599" s="1115" t="s">
        <v>1585</v>
      </c>
      <c r="F3599" s="1115" t="n">
        <v>66900</v>
      </c>
      <c r="G3599" s="1115" t="n">
        <v>93980</v>
      </c>
      <c r="H3599" s="1115" t="s">
        <v>1504</v>
      </c>
      <c r="I3599" s="1115" t="n">
        <v>93390</v>
      </c>
      <c r="J3599" s="1115" t="s">
        <v>1368</v>
      </c>
    </row>
    <row r="3600" customFormat="false" ht="14.1" hidden="false" customHeight="true" outlineLevel="0" collapsed="false">
      <c r="A3600" s="1115" t="n">
        <v>93350</v>
      </c>
      <c r="B3600" s="1115" t="s">
        <v>168</v>
      </c>
      <c r="C3600" s="1115" t="n">
        <v>93350</v>
      </c>
      <c r="D3600" s="1115" t="s">
        <v>2000</v>
      </c>
      <c r="E3600" s="1115" t="s">
        <v>2010</v>
      </c>
      <c r="F3600" s="1115" t="n">
        <v>21930</v>
      </c>
      <c r="G3600" s="1115" t="n">
        <v>93990</v>
      </c>
      <c r="H3600" s="1115" t="s">
        <v>2814</v>
      </c>
      <c r="I3600" s="1115" t="n">
        <v>93400</v>
      </c>
      <c r="J3600" s="1115" t="s">
        <v>1545</v>
      </c>
    </row>
    <row r="3601" customFormat="false" ht="14.1" hidden="false" customHeight="true" outlineLevel="0" collapsed="false">
      <c r="A3601" s="1115" t="n">
        <v>93390</v>
      </c>
      <c r="B3601" s="1115" t="s">
        <v>168</v>
      </c>
      <c r="C3601" s="1115" t="n">
        <v>93390</v>
      </c>
      <c r="D3601" s="1115" t="s">
        <v>3630</v>
      </c>
      <c r="E3601" s="1115" t="s">
        <v>1586</v>
      </c>
      <c r="F3601" s="1115" t="n">
        <v>23500</v>
      </c>
      <c r="G3601" s="1115" t="n">
        <v>94007</v>
      </c>
      <c r="H3601" s="1115" t="s">
        <v>781</v>
      </c>
      <c r="I3601" s="1115" t="n">
        <v>93420</v>
      </c>
      <c r="J3601" s="1115" t="s">
        <v>1545</v>
      </c>
    </row>
    <row r="3602" customFormat="false" ht="14.1" hidden="false" customHeight="true" outlineLevel="0" collapsed="false">
      <c r="A3602" s="1115" t="n">
        <v>93400</v>
      </c>
      <c r="B3602" s="1115" t="s">
        <v>168</v>
      </c>
      <c r="C3602" s="1115" t="n">
        <v>93400</v>
      </c>
      <c r="D3602" s="1115" t="s">
        <v>1545</v>
      </c>
      <c r="E3602" s="1115" t="s">
        <v>1586</v>
      </c>
      <c r="F3602" s="1115" t="n">
        <v>23520</v>
      </c>
      <c r="G3602" s="1115" t="n">
        <v>94100</v>
      </c>
      <c r="H3602" s="1115" t="s">
        <v>781</v>
      </c>
      <c r="I3602" s="1115" t="n">
        <v>93440</v>
      </c>
      <c r="J3602" s="1115" t="s">
        <v>1545</v>
      </c>
    </row>
    <row r="3603" customFormat="false" ht="14.1" hidden="false" customHeight="true" outlineLevel="0" collapsed="false">
      <c r="A3603" s="1115" t="n">
        <v>93420</v>
      </c>
      <c r="B3603" s="1115" t="s">
        <v>168</v>
      </c>
      <c r="C3603" s="1115" t="n">
        <v>93420</v>
      </c>
      <c r="D3603" s="1115" t="s">
        <v>2055</v>
      </c>
      <c r="E3603" s="1115" t="s">
        <v>1586</v>
      </c>
      <c r="F3603" s="1115" t="n">
        <v>23530</v>
      </c>
      <c r="G3603" s="1115" t="n">
        <v>94130</v>
      </c>
      <c r="H3603" s="1115" t="s">
        <v>781</v>
      </c>
      <c r="I3603" s="1115" t="n">
        <v>93460</v>
      </c>
      <c r="J3603" s="1115" t="s">
        <v>1545</v>
      </c>
    </row>
    <row r="3604" customFormat="false" ht="14.1" hidden="false" customHeight="true" outlineLevel="0" collapsed="false">
      <c r="A3604" s="1115" t="n">
        <v>93440</v>
      </c>
      <c r="B3604" s="1115" t="s">
        <v>168</v>
      </c>
      <c r="C3604" s="1115" t="n">
        <v>93440</v>
      </c>
      <c r="D3604" s="1115" t="s">
        <v>3043</v>
      </c>
      <c r="E3604" s="1115" t="s">
        <v>1716</v>
      </c>
      <c r="F3604" s="1115" t="n">
        <v>16100</v>
      </c>
      <c r="G3604" s="1115" t="n">
        <v>94200</v>
      </c>
      <c r="H3604" s="1115" t="s">
        <v>781</v>
      </c>
      <c r="I3604" s="1115" t="n">
        <v>93470</v>
      </c>
      <c r="J3604" s="1115" t="s">
        <v>1545</v>
      </c>
    </row>
    <row r="3605" customFormat="false" ht="14.1" hidden="false" customHeight="true" outlineLevel="0" collapsed="false">
      <c r="A3605" s="1115" t="n">
        <v>93460</v>
      </c>
      <c r="B3605" s="1115" t="s">
        <v>168</v>
      </c>
      <c r="C3605" s="1115" t="n">
        <v>93460</v>
      </c>
      <c r="D3605" s="1115" t="s">
        <v>2475</v>
      </c>
      <c r="E3605" s="1115" t="s">
        <v>1197</v>
      </c>
      <c r="F3605" s="1115" t="n">
        <v>3710</v>
      </c>
      <c r="G3605" s="1115" t="n">
        <v>94300</v>
      </c>
      <c r="H3605" s="1115" t="s">
        <v>781</v>
      </c>
      <c r="I3605" s="1115" t="n">
        <v>93510</v>
      </c>
      <c r="J3605" s="1115" t="s">
        <v>1545</v>
      </c>
    </row>
    <row r="3606" customFormat="false" ht="14.1" hidden="false" customHeight="true" outlineLevel="0" collapsed="false">
      <c r="A3606" s="1115" t="n">
        <v>93470</v>
      </c>
      <c r="B3606" s="1115" t="s">
        <v>168</v>
      </c>
      <c r="C3606" s="1115" t="n">
        <v>93470</v>
      </c>
      <c r="D3606" s="1115" t="s">
        <v>1939</v>
      </c>
      <c r="E3606" s="1115" t="s">
        <v>3960</v>
      </c>
      <c r="F3606" s="1115" t="n">
        <v>93150</v>
      </c>
      <c r="G3606" s="1115" t="n">
        <v>94400</v>
      </c>
      <c r="H3606" s="1115" t="s">
        <v>1038</v>
      </c>
      <c r="I3606" s="1115" t="n">
        <v>93520</v>
      </c>
      <c r="J3606" s="1115" t="s">
        <v>1545</v>
      </c>
    </row>
    <row r="3607" customFormat="false" ht="14.1" hidden="false" customHeight="true" outlineLevel="0" collapsed="false">
      <c r="A3607" s="1115" t="n">
        <v>93510</v>
      </c>
      <c r="B3607" s="1115" t="s">
        <v>168</v>
      </c>
      <c r="C3607" s="1115" t="n">
        <v>93510</v>
      </c>
      <c r="D3607" s="1115" t="s">
        <v>1962</v>
      </c>
      <c r="E3607" s="1115" t="s">
        <v>3921</v>
      </c>
      <c r="F3607" s="1115" t="n">
        <v>88420</v>
      </c>
      <c r="G3607" s="1115" t="n">
        <v>94430</v>
      </c>
      <c r="H3607" s="1115" t="s">
        <v>1568</v>
      </c>
      <c r="I3607" s="1115" t="n">
        <v>93530</v>
      </c>
      <c r="J3607" s="1115" t="s">
        <v>1545</v>
      </c>
    </row>
    <row r="3608" customFormat="false" ht="14.1" hidden="false" customHeight="true" outlineLevel="0" collapsed="false">
      <c r="A3608" s="1115" t="n">
        <v>93520</v>
      </c>
      <c r="B3608" s="1115" t="s">
        <v>168</v>
      </c>
      <c r="C3608" s="1115" t="n">
        <v>93520</v>
      </c>
      <c r="D3608" s="1115" t="s">
        <v>3804</v>
      </c>
      <c r="E3608" s="1115" t="s">
        <v>2737</v>
      </c>
      <c r="F3608" s="1115" t="n">
        <v>40800</v>
      </c>
      <c r="G3608" s="1115" t="n">
        <v>94460</v>
      </c>
      <c r="H3608" s="1115" t="s">
        <v>1568</v>
      </c>
      <c r="I3608" s="1115" t="n">
        <v>93540</v>
      </c>
      <c r="J3608" s="1115" t="s">
        <v>1545</v>
      </c>
    </row>
    <row r="3609" customFormat="false" ht="14.1" hidden="false" customHeight="true" outlineLevel="0" collapsed="false">
      <c r="A3609" s="1115" t="n">
        <v>93530</v>
      </c>
      <c r="B3609" s="1115" t="s">
        <v>168</v>
      </c>
      <c r="C3609" s="1115" t="n">
        <v>93530</v>
      </c>
      <c r="D3609" s="1115" t="s">
        <v>3966</v>
      </c>
      <c r="E3609" s="1115" t="s">
        <v>3773</v>
      </c>
      <c r="F3609" s="1115" t="n">
        <v>77910</v>
      </c>
      <c r="G3609" s="1115" t="n">
        <v>94500</v>
      </c>
      <c r="H3609" s="1115" t="s">
        <v>2931</v>
      </c>
      <c r="I3609" s="1115" t="n">
        <v>93550</v>
      </c>
      <c r="J3609" s="1115" t="s">
        <v>1545</v>
      </c>
    </row>
    <row r="3610" customFormat="false" ht="14.1" hidden="false" customHeight="true" outlineLevel="0" collapsed="false">
      <c r="A3610" s="1115" t="n">
        <v>93540</v>
      </c>
      <c r="B3610" s="1115" t="s">
        <v>168</v>
      </c>
      <c r="C3610" s="1115" t="n">
        <v>93540</v>
      </c>
      <c r="D3610" s="1115" t="s">
        <v>3967</v>
      </c>
      <c r="E3610" s="1115" t="s">
        <v>1587</v>
      </c>
      <c r="F3610" s="1115" t="n">
        <v>91700</v>
      </c>
      <c r="G3610" s="1115" t="n">
        <v>94600</v>
      </c>
      <c r="H3610" s="1115" t="s">
        <v>781</v>
      </c>
      <c r="I3610" s="1115" t="n">
        <v>93590</v>
      </c>
      <c r="J3610" s="1115" t="s">
        <v>1545</v>
      </c>
    </row>
    <row r="3611" customFormat="false" ht="14.1" hidden="false" customHeight="true" outlineLevel="0" collapsed="false">
      <c r="A3611" s="1115" t="n">
        <v>93550</v>
      </c>
      <c r="B3611" s="1115" t="s">
        <v>168</v>
      </c>
      <c r="C3611" s="1115" t="n">
        <v>93550</v>
      </c>
      <c r="D3611" s="1115" t="s">
        <v>3052</v>
      </c>
      <c r="E3611" s="1115" t="s">
        <v>3976</v>
      </c>
      <c r="F3611" s="1115" t="n">
        <v>99710</v>
      </c>
      <c r="G3611" s="1115" t="n">
        <v>94700</v>
      </c>
      <c r="H3611" s="1115" t="s">
        <v>781</v>
      </c>
      <c r="I3611" s="1115" t="n">
        <v>93600</v>
      </c>
      <c r="J3611" s="1115" t="s">
        <v>1130</v>
      </c>
    </row>
    <row r="3612" customFormat="false" ht="14.1" hidden="false" customHeight="true" outlineLevel="0" collapsed="false">
      <c r="A3612" s="1115" t="n">
        <v>93590</v>
      </c>
      <c r="B3612" s="1115" t="s">
        <v>168</v>
      </c>
      <c r="C3612" s="1115" t="n">
        <v>93590</v>
      </c>
      <c r="D3612" s="1115" t="s">
        <v>3969</v>
      </c>
      <c r="E3612" s="1115" t="s">
        <v>3044</v>
      </c>
      <c r="F3612" s="1115" t="n">
        <v>49930</v>
      </c>
      <c r="G3612" s="1115" t="n">
        <v>94730</v>
      </c>
      <c r="H3612" s="1115" t="s">
        <v>781</v>
      </c>
      <c r="I3612" s="1115" t="n">
        <v>93630</v>
      </c>
      <c r="J3612" s="1115" t="s">
        <v>1130</v>
      </c>
    </row>
    <row r="3613" customFormat="false" ht="14.1" hidden="false" customHeight="true" outlineLevel="0" collapsed="false">
      <c r="A3613" s="1115" t="n">
        <v>93600</v>
      </c>
      <c r="B3613" s="1115" t="s">
        <v>168</v>
      </c>
      <c r="C3613" s="1115" t="n">
        <v>93600</v>
      </c>
      <c r="D3613" s="1115" t="s">
        <v>1130</v>
      </c>
      <c r="E3613" s="1115" t="s">
        <v>3296</v>
      </c>
      <c r="F3613" s="1115" t="n">
        <v>58540</v>
      </c>
      <c r="G3613" s="1115" t="n">
        <v>94800</v>
      </c>
      <c r="H3613" s="1115" t="s">
        <v>781</v>
      </c>
      <c r="I3613" s="1115" t="n">
        <v>93640</v>
      </c>
      <c r="J3613" s="1115" t="s">
        <v>1130</v>
      </c>
    </row>
    <row r="3614" customFormat="false" ht="14.1" hidden="false" customHeight="true" outlineLevel="0" collapsed="false">
      <c r="A3614" s="1115" t="n">
        <v>93630</v>
      </c>
      <c r="B3614" s="1115" t="s">
        <v>168</v>
      </c>
      <c r="C3614" s="1115" t="n">
        <v>93630</v>
      </c>
      <c r="D3614" s="1115" t="s">
        <v>2707</v>
      </c>
      <c r="E3614" s="1115" t="s">
        <v>3940</v>
      </c>
      <c r="F3614" s="1115" t="n">
        <v>89680</v>
      </c>
      <c r="G3614" s="1115" t="n">
        <v>94830</v>
      </c>
      <c r="H3614" s="1115" t="s">
        <v>781</v>
      </c>
      <c r="I3614" s="1115" t="n">
        <v>93650</v>
      </c>
      <c r="J3614" s="1115" t="s">
        <v>1130</v>
      </c>
    </row>
    <row r="3615" customFormat="false" ht="14.1" hidden="false" customHeight="true" outlineLevel="0" collapsed="false">
      <c r="A3615" s="1115" t="n">
        <v>93640</v>
      </c>
      <c r="B3615" s="1115" t="s">
        <v>168</v>
      </c>
      <c r="C3615" s="1115" t="n">
        <v>93640</v>
      </c>
      <c r="D3615" s="1115" t="s">
        <v>3524</v>
      </c>
      <c r="E3615" s="1115" t="s">
        <v>3687</v>
      </c>
      <c r="F3615" s="1115" t="n">
        <v>72710</v>
      </c>
      <c r="G3615" s="1115" t="n">
        <v>94900</v>
      </c>
      <c r="H3615" s="1115" t="s">
        <v>781</v>
      </c>
      <c r="I3615" s="1115" t="n">
        <v>93660</v>
      </c>
      <c r="J3615" s="1115" t="s">
        <v>1130</v>
      </c>
    </row>
    <row r="3616" customFormat="false" ht="14.1" hidden="false" customHeight="true" outlineLevel="0" collapsed="false">
      <c r="A3616" s="1115" t="n">
        <v>93650</v>
      </c>
      <c r="B3616" s="1115" t="s">
        <v>168</v>
      </c>
      <c r="C3616" s="1115" t="n">
        <v>93650</v>
      </c>
      <c r="D3616" s="1115" t="s">
        <v>3641</v>
      </c>
      <c r="E3616" s="1115" t="s">
        <v>165</v>
      </c>
      <c r="F3616" s="1115" t="n">
        <v>65100</v>
      </c>
      <c r="G3616" s="1115" t="n">
        <v>95100</v>
      </c>
      <c r="H3616" s="1115" t="s">
        <v>1119</v>
      </c>
      <c r="I3616" s="1115" t="n">
        <v>93670</v>
      </c>
      <c r="J3616" s="1115" t="s">
        <v>1130</v>
      </c>
    </row>
    <row r="3617" customFormat="false" ht="14.1" hidden="false" customHeight="true" outlineLevel="0" collapsed="false">
      <c r="A3617" s="1115" t="n">
        <v>93660</v>
      </c>
      <c r="B3617" s="1115" t="s">
        <v>168</v>
      </c>
      <c r="C3617" s="1115" t="n">
        <v>93660</v>
      </c>
      <c r="D3617" s="1115" t="s">
        <v>3391</v>
      </c>
      <c r="E3617" s="1115" t="s">
        <v>165</v>
      </c>
      <c r="F3617" s="1115" t="n">
        <v>65100</v>
      </c>
      <c r="G3617" s="1115" t="n">
        <v>95110</v>
      </c>
      <c r="H3617" s="1115" t="s">
        <v>1119</v>
      </c>
      <c r="I3617" s="1115" t="n">
        <v>93680</v>
      </c>
      <c r="J3617" s="1115" t="s">
        <v>1130</v>
      </c>
    </row>
    <row r="3618" customFormat="false" ht="14.1" hidden="false" customHeight="true" outlineLevel="0" collapsed="false">
      <c r="A3618" s="1115" t="n">
        <v>93670</v>
      </c>
      <c r="B3618" s="1115" t="s">
        <v>168</v>
      </c>
      <c r="C3618" s="1115" t="n">
        <v>93670</v>
      </c>
      <c r="D3618" s="1115" t="s">
        <v>1305</v>
      </c>
      <c r="E3618" s="1115" t="s">
        <v>165</v>
      </c>
      <c r="F3618" s="1115" t="n">
        <v>65120</v>
      </c>
      <c r="G3618" s="1115" t="n">
        <v>95120</v>
      </c>
      <c r="H3618" s="1115" t="s">
        <v>3246</v>
      </c>
      <c r="I3618" s="1115" t="n">
        <v>93690</v>
      </c>
      <c r="J3618" s="1115" t="s">
        <v>1130</v>
      </c>
    </row>
    <row r="3619" customFormat="false" ht="14.1" hidden="false" customHeight="true" outlineLevel="0" collapsed="false">
      <c r="A3619" s="1115" t="n">
        <v>93680</v>
      </c>
      <c r="B3619" s="1115" t="s">
        <v>168</v>
      </c>
      <c r="C3619" s="1115" t="n">
        <v>93680</v>
      </c>
      <c r="D3619" s="1115" t="s">
        <v>3972</v>
      </c>
      <c r="E3619" s="1115" t="s">
        <v>165</v>
      </c>
      <c r="F3619" s="1115" t="n">
        <v>65130</v>
      </c>
      <c r="G3619" s="1115" t="n">
        <v>95130</v>
      </c>
      <c r="H3619" s="1115" t="s">
        <v>1847</v>
      </c>
      <c r="I3619" s="1115" t="n">
        <v>93710</v>
      </c>
      <c r="J3619" s="1115" t="s">
        <v>1130</v>
      </c>
    </row>
    <row r="3620" customFormat="false" ht="14.1" hidden="false" customHeight="true" outlineLevel="0" collapsed="false">
      <c r="A3620" s="1115" t="n">
        <v>93690</v>
      </c>
      <c r="B3620" s="1115" t="s">
        <v>168</v>
      </c>
      <c r="C3620" s="1115" t="n">
        <v>93690</v>
      </c>
      <c r="D3620" s="1115" t="s">
        <v>3781</v>
      </c>
      <c r="E3620" s="1115" t="s">
        <v>165</v>
      </c>
      <c r="F3620" s="1115" t="n">
        <v>65140</v>
      </c>
      <c r="G3620" s="1115" t="n">
        <v>95150</v>
      </c>
      <c r="H3620" s="1115" t="s">
        <v>1414</v>
      </c>
      <c r="I3620" s="1115" t="n">
        <v>93715</v>
      </c>
      <c r="J3620" s="1115" t="s">
        <v>1130</v>
      </c>
    </row>
    <row r="3621" customFormat="false" ht="14.1" hidden="false" customHeight="true" outlineLevel="0" collapsed="false">
      <c r="A3621" s="1115" t="n">
        <v>93710</v>
      </c>
      <c r="B3621" s="1115" t="s">
        <v>168</v>
      </c>
      <c r="C3621" s="1115" t="n">
        <v>93710</v>
      </c>
      <c r="D3621" s="1115" t="s">
        <v>2234</v>
      </c>
      <c r="E3621" s="1115" t="s">
        <v>165</v>
      </c>
      <c r="F3621" s="1115" t="n">
        <v>65170</v>
      </c>
      <c r="G3621" s="1115" t="n">
        <v>95160</v>
      </c>
      <c r="H3621" s="1115" t="s">
        <v>3387</v>
      </c>
      <c r="I3621" s="1115" t="n">
        <v>93717</v>
      </c>
      <c r="J3621" s="1115" t="s">
        <v>1130</v>
      </c>
    </row>
    <row r="3622" customFormat="false" ht="14.1" hidden="false" customHeight="true" outlineLevel="0" collapsed="false">
      <c r="A3622" s="1115" t="n">
        <v>93715</v>
      </c>
      <c r="B3622" s="1115" t="s">
        <v>168</v>
      </c>
      <c r="C3622" s="1115" t="n">
        <v>93715</v>
      </c>
      <c r="D3622" s="1115" t="s">
        <v>3970</v>
      </c>
      <c r="E3622" s="1115" t="s">
        <v>165</v>
      </c>
      <c r="F3622" s="1115" t="n">
        <v>65200</v>
      </c>
      <c r="G3622" s="1115" t="n">
        <v>95170</v>
      </c>
      <c r="H3622" s="1115" t="s">
        <v>2887</v>
      </c>
      <c r="I3622" s="1115" t="n">
        <v>93720</v>
      </c>
      <c r="J3622" s="1115" t="s">
        <v>1130</v>
      </c>
    </row>
    <row r="3623" customFormat="false" ht="14.1" hidden="false" customHeight="true" outlineLevel="0" collapsed="false">
      <c r="A3623" s="1115" t="n">
        <v>93717</v>
      </c>
      <c r="B3623" s="1115" t="s">
        <v>168</v>
      </c>
      <c r="C3623" s="1115" t="n">
        <v>93717</v>
      </c>
      <c r="D3623" s="1115" t="s">
        <v>3875</v>
      </c>
      <c r="E3623" s="1115" t="s">
        <v>165</v>
      </c>
      <c r="F3623" s="1115" t="n">
        <v>65210</v>
      </c>
      <c r="G3623" s="1115" t="n">
        <v>95180</v>
      </c>
      <c r="H3623" s="1115" t="s">
        <v>3755</v>
      </c>
      <c r="I3623" s="1115" t="n">
        <v>93725</v>
      </c>
      <c r="J3623" s="1115" t="s">
        <v>1130</v>
      </c>
    </row>
    <row r="3624" customFormat="false" ht="14.1" hidden="false" customHeight="true" outlineLevel="0" collapsed="false">
      <c r="A3624" s="1115" t="n">
        <v>93720</v>
      </c>
      <c r="B3624" s="1115" t="s">
        <v>168</v>
      </c>
      <c r="C3624" s="1115" t="n">
        <v>93720</v>
      </c>
      <c r="D3624" s="1115" t="s">
        <v>2374</v>
      </c>
      <c r="E3624" s="1115" t="s">
        <v>165</v>
      </c>
      <c r="F3624" s="1115" t="n">
        <v>65220</v>
      </c>
      <c r="G3624" s="1115" t="n">
        <v>95200</v>
      </c>
      <c r="H3624" s="1115" t="s">
        <v>1500</v>
      </c>
      <c r="I3624" s="1115" t="n">
        <v>93730</v>
      </c>
      <c r="J3624" s="1115" t="s">
        <v>1130</v>
      </c>
    </row>
    <row r="3625" customFormat="false" ht="14.1" hidden="false" customHeight="true" outlineLevel="0" collapsed="false">
      <c r="A3625" s="1115" t="n">
        <v>93725</v>
      </c>
      <c r="B3625" s="1115" t="s">
        <v>168</v>
      </c>
      <c r="C3625" s="1115" t="n">
        <v>93725</v>
      </c>
      <c r="D3625" s="1115" t="s">
        <v>3086</v>
      </c>
      <c r="E3625" s="1115" t="s">
        <v>165</v>
      </c>
      <c r="F3625" s="1115" t="n">
        <v>65230</v>
      </c>
      <c r="G3625" s="1115" t="n">
        <v>95210</v>
      </c>
      <c r="H3625" s="1115" t="s">
        <v>1209</v>
      </c>
      <c r="I3625" s="1115" t="n">
        <v>93750</v>
      </c>
      <c r="J3625" s="1115" t="s">
        <v>1130</v>
      </c>
    </row>
    <row r="3626" customFormat="false" ht="14.1" hidden="false" customHeight="true" outlineLevel="0" collapsed="false">
      <c r="A3626" s="1115" t="n">
        <v>93730</v>
      </c>
      <c r="B3626" s="1115" t="s">
        <v>168</v>
      </c>
      <c r="C3626" s="1115" t="n">
        <v>93730</v>
      </c>
      <c r="D3626" s="1115" t="s">
        <v>3623</v>
      </c>
      <c r="E3626" s="1115" t="s">
        <v>165</v>
      </c>
      <c r="F3626" s="1115" t="n">
        <v>65250</v>
      </c>
      <c r="G3626" s="1115" t="n">
        <v>95215</v>
      </c>
      <c r="H3626" s="1115" t="s">
        <v>2754</v>
      </c>
      <c r="I3626" s="1115" t="n">
        <v>93760</v>
      </c>
      <c r="J3626" s="1115" t="s">
        <v>1130</v>
      </c>
    </row>
    <row r="3627" customFormat="false" ht="14.1" hidden="false" customHeight="true" outlineLevel="0" collapsed="false">
      <c r="A3627" s="1115" t="n">
        <v>93750</v>
      </c>
      <c r="B3627" s="1115" t="s">
        <v>168</v>
      </c>
      <c r="C3627" s="1115" t="n">
        <v>93750</v>
      </c>
      <c r="D3627" s="1115" t="s">
        <v>3867</v>
      </c>
      <c r="E3627" s="1115" t="s">
        <v>165</v>
      </c>
      <c r="F3627" s="1115" t="n">
        <v>65280</v>
      </c>
      <c r="G3627" s="1115" t="n">
        <v>95220</v>
      </c>
      <c r="H3627" s="1115" t="s">
        <v>3855</v>
      </c>
      <c r="I3627" s="1115" t="n">
        <v>93770</v>
      </c>
      <c r="J3627" s="1115" t="s">
        <v>1130</v>
      </c>
    </row>
    <row r="3628" customFormat="false" ht="14.1" hidden="false" customHeight="true" outlineLevel="0" collapsed="false">
      <c r="A3628" s="1115" t="n">
        <v>93760</v>
      </c>
      <c r="B3628" s="1115" t="s">
        <v>168</v>
      </c>
      <c r="C3628" s="1115" t="n">
        <v>93760</v>
      </c>
      <c r="D3628" s="1115" t="s">
        <v>3228</v>
      </c>
      <c r="E3628" s="1115" t="s">
        <v>165</v>
      </c>
      <c r="F3628" s="1115" t="n">
        <v>65290</v>
      </c>
      <c r="G3628" s="1115" t="n">
        <v>95225</v>
      </c>
      <c r="H3628" s="1115" t="s">
        <v>3977</v>
      </c>
      <c r="I3628" s="1115" t="n">
        <v>93780</v>
      </c>
      <c r="J3628" s="1115" t="s">
        <v>1130</v>
      </c>
    </row>
    <row r="3629" customFormat="false" ht="14.1" hidden="false" customHeight="true" outlineLevel="0" collapsed="false">
      <c r="A3629" s="1115" t="n">
        <v>93770</v>
      </c>
      <c r="B3629" s="1115" t="s">
        <v>168</v>
      </c>
      <c r="C3629" s="1115" t="n">
        <v>93770</v>
      </c>
      <c r="D3629" s="1115" t="s">
        <v>2738</v>
      </c>
      <c r="E3629" s="1115" t="s">
        <v>165</v>
      </c>
      <c r="F3629" s="1115" t="n">
        <v>65300</v>
      </c>
      <c r="G3629" s="1115" t="n">
        <v>95230</v>
      </c>
      <c r="H3629" s="1115" t="s">
        <v>3116</v>
      </c>
      <c r="I3629" s="1115" t="n">
        <v>93790</v>
      </c>
      <c r="J3629" s="1115" t="s">
        <v>1130</v>
      </c>
    </row>
    <row r="3630" customFormat="false" ht="14.1" hidden="false" customHeight="true" outlineLevel="0" collapsed="false">
      <c r="A3630" s="1115" t="n">
        <v>93780</v>
      </c>
      <c r="B3630" s="1115" t="s">
        <v>168</v>
      </c>
      <c r="C3630" s="1115" t="n">
        <v>93780</v>
      </c>
      <c r="D3630" s="1115" t="s">
        <v>3934</v>
      </c>
      <c r="E3630" s="1115" t="s">
        <v>165</v>
      </c>
      <c r="F3630" s="1115" t="n">
        <v>65320</v>
      </c>
      <c r="G3630" s="1115" t="n">
        <v>95240</v>
      </c>
      <c r="H3630" s="1115" t="s">
        <v>3978</v>
      </c>
      <c r="I3630" s="1115" t="n">
        <v>93815</v>
      </c>
      <c r="J3630" s="1115" t="s">
        <v>1130</v>
      </c>
    </row>
    <row r="3631" customFormat="false" ht="14.1" hidden="false" customHeight="true" outlineLevel="0" collapsed="false">
      <c r="A3631" s="1115" t="n">
        <v>93790</v>
      </c>
      <c r="B3631" s="1115" t="s">
        <v>168</v>
      </c>
      <c r="C3631" s="1115" t="n">
        <v>93790</v>
      </c>
      <c r="D3631" s="1115" t="s">
        <v>1950</v>
      </c>
      <c r="E3631" s="1115" t="s">
        <v>165</v>
      </c>
      <c r="F3631" s="1115" t="n">
        <v>65350</v>
      </c>
      <c r="G3631" s="1115" t="n">
        <v>95245</v>
      </c>
      <c r="H3631" s="1115" t="s">
        <v>3979</v>
      </c>
      <c r="I3631" s="1115" t="n">
        <v>93820</v>
      </c>
      <c r="J3631" s="1115" t="s">
        <v>1130</v>
      </c>
    </row>
    <row r="3632" customFormat="false" ht="14.1" hidden="false" customHeight="true" outlineLevel="0" collapsed="false">
      <c r="A3632" s="1115" t="n">
        <v>93815</v>
      </c>
      <c r="B3632" s="1115" t="s">
        <v>168</v>
      </c>
      <c r="C3632" s="1115" t="n">
        <v>93815</v>
      </c>
      <c r="D3632" s="1115" t="s">
        <v>2711</v>
      </c>
      <c r="E3632" s="1115" t="s">
        <v>165</v>
      </c>
      <c r="F3632" s="1115" t="n">
        <v>65360</v>
      </c>
      <c r="G3632" s="1115" t="n">
        <v>95250</v>
      </c>
      <c r="H3632" s="1115" t="s">
        <v>3865</v>
      </c>
      <c r="I3632" s="1115" t="n">
        <v>93825</v>
      </c>
      <c r="J3632" s="1115" t="s">
        <v>1130</v>
      </c>
    </row>
    <row r="3633" customFormat="false" ht="14.1" hidden="false" customHeight="true" outlineLevel="0" collapsed="false">
      <c r="A3633" s="1115" t="n">
        <v>93820</v>
      </c>
      <c r="B3633" s="1115" t="s">
        <v>168</v>
      </c>
      <c r="C3633" s="1115" t="n">
        <v>93820</v>
      </c>
      <c r="D3633" s="1115" t="s">
        <v>793</v>
      </c>
      <c r="E3633" s="1115" t="s">
        <v>165</v>
      </c>
      <c r="F3633" s="1115" t="n">
        <v>65370</v>
      </c>
      <c r="G3633" s="1115" t="n">
        <v>95255</v>
      </c>
      <c r="H3633" s="1115" t="s">
        <v>867</v>
      </c>
      <c r="I3633" s="1115" t="n">
        <v>93830</v>
      </c>
      <c r="J3633" s="1115" t="s">
        <v>1130</v>
      </c>
    </row>
    <row r="3634" customFormat="false" ht="14.1" hidden="false" customHeight="true" outlineLevel="0" collapsed="false">
      <c r="A3634" s="1115" t="n">
        <v>93825</v>
      </c>
      <c r="B3634" s="1115" t="s">
        <v>168</v>
      </c>
      <c r="C3634" s="1115" t="n">
        <v>93825</v>
      </c>
      <c r="D3634" s="1115" t="s">
        <v>3752</v>
      </c>
      <c r="E3634" s="1115" t="s">
        <v>165</v>
      </c>
      <c r="F3634" s="1115" t="n">
        <v>65380</v>
      </c>
      <c r="G3634" s="1115" t="n">
        <v>95260</v>
      </c>
      <c r="H3634" s="1115" t="s">
        <v>3911</v>
      </c>
      <c r="I3634" s="1115" t="n">
        <v>93840</v>
      </c>
      <c r="J3634" s="1115" t="s">
        <v>1130</v>
      </c>
    </row>
    <row r="3635" customFormat="false" ht="14.1" hidden="false" customHeight="true" outlineLevel="0" collapsed="false">
      <c r="A3635" s="1115" t="n">
        <v>93830</v>
      </c>
      <c r="B3635" s="1115" t="s">
        <v>168</v>
      </c>
      <c r="C3635" s="1115" t="n">
        <v>93830</v>
      </c>
      <c r="D3635" s="1115" t="s">
        <v>2445</v>
      </c>
      <c r="E3635" s="1115" t="s">
        <v>165</v>
      </c>
      <c r="F3635" s="1115" t="n">
        <v>65390</v>
      </c>
      <c r="G3635" s="1115" t="n">
        <v>95270</v>
      </c>
      <c r="H3635" s="1115" t="s">
        <v>3980</v>
      </c>
      <c r="I3635" s="1115" t="n">
        <v>93850</v>
      </c>
      <c r="J3635" s="1115" t="s">
        <v>1130</v>
      </c>
    </row>
    <row r="3636" customFormat="false" ht="14.1" hidden="false" customHeight="true" outlineLevel="0" collapsed="false">
      <c r="A3636" s="1115" t="n">
        <v>93840</v>
      </c>
      <c r="B3636" s="1115" t="s">
        <v>168</v>
      </c>
      <c r="C3636" s="1115" t="n">
        <v>93840</v>
      </c>
      <c r="D3636" s="1115" t="s">
        <v>3504</v>
      </c>
      <c r="E3636" s="1115" t="s">
        <v>3981</v>
      </c>
      <c r="F3636" s="1115" t="n">
        <v>95830</v>
      </c>
      <c r="G3636" s="1115" t="n">
        <v>95280</v>
      </c>
      <c r="H3636" s="1115" t="s">
        <v>3379</v>
      </c>
      <c r="I3636" s="1115" t="n">
        <v>93855</v>
      </c>
      <c r="J3636" s="1115" t="s">
        <v>1130</v>
      </c>
    </row>
    <row r="3637" customFormat="false" ht="14.1" hidden="false" customHeight="true" outlineLevel="0" collapsed="false">
      <c r="A3637" s="1115" t="n">
        <v>93850</v>
      </c>
      <c r="B3637" s="1115" t="s">
        <v>168</v>
      </c>
      <c r="C3637" s="1115" t="n">
        <v>93850</v>
      </c>
      <c r="D3637" s="1115" t="s">
        <v>2824</v>
      </c>
      <c r="E3637" s="1115" t="s">
        <v>2870</v>
      </c>
      <c r="F3637" s="1115" t="n">
        <v>43560</v>
      </c>
      <c r="G3637" s="1115" t="n">
        <v>95285</v>
      </c>
      <c r="H3637" s="1115" t="s">
        <v>3982</v>
      </c>
      <c r="I3637" s="1115" t="n">
        <v>93860</v>
      </c>
      <c r="J3637" s="1115" t="s">
        <v>1130</v>
      </c>
    </row>
    <row r="3638" customFormat="false" ht="14.1" hidden="false" customHeight="true" outlineLevel="0" collapsed="false">
      <c r="A3638" s="1115" t="n">
        <v>93855</v>
      </c>
      <c r="B3638" s="1115" t="s">
        <v>168</v>
      </c>
      <c r="C3638" s="1115" t="n">
        <v>93855</v>
      </c>
      <c r="D3638" s="1115" t="s">
        <v>2998</v>
      </c>
      <c r="E3638" s="1115" t="s">
        <v>2370</v>
      </c>
      <c r="F3638" s="1115" t="n">
        <v>31740</v>
      </c>
      <c r="G3638" s="1115" t="n">
        <v>95290</v>
      </c>
      <c r="H3638" s="1115" t="s">
        <v>2961</v>
      </c>
      <c r="I3638" s="1115" t="n">
        <v>93870</v>
      </c>
      <c r="J3638" s="1115" t="s">
        <v>1130</v>
      </c>
    </row>
    <row r="3639" customFormat="false" ht="14.1" hidden="false" customHeight="true" outlineLevel="0" collapsed="false">
      <c r="A3639" s="1115" t="n">
        <v>93860</v>
      </c>
      <c r="B3639" s="1115" t="s">
        <v>168</v>
      </c>
      <c r="C3639" s="1115" t="n">
        <v>93860</v>
      </c>
      <c r="D3639" s="1115" t="s">
        <v>3771</v>
      </c>
      <c r="E3639" s="1115" t="s">
        <v>1852</v>
      </c>
      <c r="F3639" s="1115" t="n">
        <v>19220</v>
      </c>
      <c r="G3639" s="1115" t="n">
        <v>95295</v>
      </c>
      <c r="H3639" s="1115" t="s">
        <v>3749</v>
      </c>
      <c r="I3639" s="1115" t="n">
        <v>93875</v>
      </c>
      <c r="J3639" s="1115" t="s">
        <v>1130</v>
      </c>
    </row>
    <row r="3640" customFormat="false" ht="14.1" hidden="false" customHeight="true" outlineLevel="0" collapsed="false">
      <c r="A3640" s="1115" t="n">
        <v>93870</v>
      </c>
      <c r="B3640" s="1115" t="s">
        <v>168</v>
      </c>
      <c r="C3640" s="1115" t="n">
        <v>93870</v>
      </c>
      <c r="D3640" s="1115" t="s">
        <v>3901</v>
      </c>
      <c r="E3640" s="1115" t="s">
        <v>1589</v>
      </c>
      <c r="F3640" s="1115" t="n">
        <v>21310</v>
      </c>
      <c r="G3640" s="1115" t="n">
        <v>95300</v>
      </c>
      <c r="H3640" s="1115" t="s">
        <v>1562</v>
      </c>
      <c r="I3640" s="1115" t="n">
        <v>93880</v>
      </c>
      <c r="J3640" s="1115" t="s">
        <v>1130</v>
      </c>
    </row>
    <row r="3641" customFormat="false" ht="14.1" hidden="false" customHeight="true" outlineLevel="0" collapsed="false">
      <c r="A3641" s="1115" t="n">
        <v>93875</v>
      </c>
      <c r="B3641" s="1115" t="s">
        <v>168</v>
      </c>
      <c r="C3641" s="1115" t="n">
        <v>93875</v>
      </c>
      <c r="D3641" s="1115" t="s">
        <v>2088</v>
      </c>
      <c r="E3641" s="1115" t="s">
        <v>3172</v>
      </c>
      <c r="F3641" s="1115" t="n">
        <v>54270</v>
      </c>
      <c r="G3641" s="1115" t="n">
        <v>95310</v>
      </c>
      <c r="H3641" s="1115" t="s">
        <v>2988</v>
      </c>
      <c r="I3641" s="1115" t="n">
        <v>93890</v>
      </c>
      <c r="J3641" s="1115" t="s">
        <v>1130</v>
      </c>
    </row>
    <row r="3642" customFormat="false" ht="14.1" hidden="false" customHeight="true" outlineLevel="0" collapsed="false">
      <c r="A3642" s="1115" t="n">
        <v>93880</v>
      </c>
      <c r="B3642" s="1115" t="s">
        <v>168</v>
      </c>
      <c r="C3642" s="1115" t="n">
        <v>93880</v>
      </c>
      <c r="D3642" s="1115" t="s">
        <v>3915</v>
      </c>
      <c r="E3642" s="1115" t="s">
        <v>3872</v>
      </c>
      <c r="F3642" s="1115" t="n">
        <v>83450</v>
      </c>
      <c r="G3642" s="1115" t="n">
        <v>95315</v>
      </c>
      <c r="H3642" s="1115" t="s">
        <v>3968</v>
      </c>
      <c r="I3642" s="1115" t="n">
        <v>93920</v>
      </c>
      <c r="J3642" s="1115" t="s">
        <v>1130</v>
      </c>
    </row>
    <row r="3643" customFormat="false" ht="14.1" hidden="false" customHeight="true" outlineLevel="0" collapsed="false">
      <c r="A3643" s="1115" t="n">
        <v>93890</v>
      </c>
      <c r="B3643" s="1115" t="s">
        <v>168</v>
      </c>
      <c r="C3643" s="1115" t="n">
        <v>93890</v>
      </c>
      <c r="D3643" s="1115" t="s">
        <v>3615</v>
      </c>
      <c r="E3643" s="1115" t="s">
        <v>2591</v>
      </c>
      <c r="F3643" s="1115" t="n">
        <v>37340</v>
      </c>
      <c r="G3643" s="1115" t="n">
        <v>95320</v>
      </c>
      <c r="H3643" s="1115" t="s">
        <v>3089</v>
      </c>
      <c r="I3643" s="1115" t="n">
        <v>93925</v>
      </c>
      <c r="J3643" s="1115" t="s">
        <v>1130</v>
      </c>
    </row>
    <row r="3644" customFormat="false" ht="14.1" hidden="false" customHeight="true" outlineLevel="0" collapsed="false">
      <c r="A3644" s="1115" t="n">
        <v>93920</v>
      </c>
      <c r="B3644" s="1115" t="s">
        <v>168</v>
      </c>
      <c r="C3644" s="1115" t="n">
        <v>93920</v>
      </c>
      <c r="D3644" s="1115" t="s">
        <v>3270</v>
      </c>
      <c r="E3644" s="1115" t="s">
        <v>1403</v>
      </c>
      <c r="F3644" s="1115" t="n">
        <v>7510</v>
      </c>
      <c r="G3644" s="1115" t="n">
        <v>95325</v>
      </c>
      <c r="H3644" s="1115" t="s">
        <v>3442</v>
      </c>
      <c r="I3644" s="1115" t="n">
        <v>93930</v>
      </c>
      <c r="J3644" s="1115" t="s">
        <v>1130</v>
      </c>
    </row>
    <row r="3645" customFormat="false" ht="14.1" hidden="false" customHeight="true" outlineLevel="0" collapsed="false">
      <c r="A3645" s="1115" t="n">
        <v>93925</v>
      </c>
      <c r="B3645" s="1115" t="s">
        <v>168</v>
      </c>
      <c r="C3645" s="1115" t="n">
        <v>93925</v>
      </c>
      <c r="D3645" s="1115" t="s">
        <v>2454</v>
      </c>
      <c r="E3645" s="1115" t="s">
        <v>1886</v>
      </c>
      <c r="F3645" s="1115" t="n">
        <v>19770</v>
      </c>
      <c r="G3645" s="1115" t="n">
        <v>95330</v>
      </c>
      <c r="H3645" s="1115" t="s">
        <v>2152</v>
      </c>
      <c r="I3645" s="1115" t="n">
        <v>93940</v>
      </c>
      <c r="J3645" s="1115" t="s">
        <v>1130</v>
      </c>
    </row>
    <row r="3646" customFormat="false" ht="14.1" hidden="false" customHeight="true" outlineLevel="0" collapsed="false">
      <c r="A3646" s="1115" t="n">
        <v>93930</v>
      </c>
      <c r="B3646" s="1115" t="s">
        <v>168</v>
      </c>
      <c r="C3646" s="1115" t="n">
        <v>93930</v>
      </c>
      <c r="D3646" s="1115" t="s">
        <v>2087</v>
      </c>
      <c r="E3646" s="1115" t="s">
        <v>2986</v>
      </c>
      <c r="F3646" s="1115" t="n">
        <v>47440</v>
      </c>
      <c r="G3646" s="1115" t="n">
        <v>95335</v>
      </c>
      <c r="H3646" s="1115" t="s">
        <v>3983</v>
      </c>
      <c r="I3646" s="1115" t="n">
        <v>93950</v>
      </c>
      <c r="J3646" s="1115" t="s">
        <v>1130</v>
      </c>
    </row>
    <row r="3647" customFormat="false" ht="14.1" hidden="false" customHeight="true" outlineLevel="0" collapsed="false">
      <c r="A3647" s="1115" t="n">
        <v>93940</v>
      </c>
      <c r="B3647" s="1115" t="s">
        <v>168</v>
      </c>
      <c r="C3647" s="1115" t="n">
        <v>93940</v>
      </c>
      <c r="D3647" s="1115" t="s">
        <v>3975</v>
      </c>
      <c r="E3647" s="1115" t="s">
        <v>2852</v>
      </c>
      <c r="F3647" s="1115" t="n">
        <v>42950</v>
      </c>
      <c r="G3647" s="1115" t="n">
        <v>95340</v>
      </c>
      <c r="H3647" s="1115" t="s">
        <v>3035</v>
      </c>
      <c r="I3647" s="1115" t="n">
        <v>93970</v>
      </c>
      <c r="J3647" s="1115" t="s">
        <v>1130</v>
      </c>
    </row>
    <row r="3648" customFormat="false" ht="14.1" hidden="false" customHeight="true" outlineLevel="0" collapsed="false">
      <c r="A3648" s="1115" t="n">
        <v>93950</v>
      </c>
      <c r="B3648" s="1115" t="s">
        <v>168</v>
      </c>
      <c r="C3648" s="1115" t="n">
        <v>93950</v>
      </c>
      <c r="D3648" s="1115" t="s">
        <v>3906</v>
      </c>
      <c r="E3648" s="1115" t="s">
        <v>1591</v>
      </c>
      <c r="F3648" s="1115" t="n">
        <v>37600</v>
      </c>
      <c r="G3648" s="1115" t="n">
        <v>95345</v>
      </c>
      <c r="H3648" s="1115" t="s">
        <v>2822</v>
      </c>
      <c r="I3648" s="1115" t="n">
        <v>93980</v>
      </c>
      <c r="J3648" s="1115" t="s">
        <v>1130</v>
      </c>
    </row>
    <row r="3649" customFormat="false" ht="14.1" hidden="false" customHeight="true" outlineLevel="0" collapsed="false">
      <c r="A3649" s="1115" t="n">
        <v>93970</v>
      </c>
      <c r="B3649" s="1115" t="s">
        <v>168</v>
      </c>
      <c r="C3649" s="1115" t="n">
        <v>93970</v>
      </c>
      <c r="D3649" s="1115" t="s">
        <v>2416</v>
      </c>
      <c r="E3649" s="1115" t="s">
        <v>1591</v>
      </c>
      <c r="F3649" s="1115" t="n">
        <v>37620</v>
      </c>
      <c r="G3649" s="1115" t="n">
        <v>95350</v>
      </c>
      <c r="H3649" s="1115" t="s">
        <v>3558</v>
      </c>
      <c r="I3649" s="1115" t="n">
        <v>93990</v>
      </c>
      <c r="J3649" s="1115" t="s">
        <v>1130</v>
      </c>
    </row>
    <row r="3650" customFormat="false" ht="14.1" hidden="false" customHeight="true" outlineLevel="0" collapsed="false">
      <c r="A3650" s="1115" t="n">
        <v>93980</v>
      </c>
      <c r="B3650" s="1115" t="s">
        <v>168</v>
      </c>
      <c r="C3650" s="1115" t="n">
        <v>93980</v>
      </c>
      <c r="D3650" s="1115" t="s">
        <v>1504</v>
      </c>
      <c r="E3650" s="1115" t="s">
        <v>1591</v>
      </c>
      <c r="F3650" s="1115" t="n">
        <v>37630</v>
      </c>
      <c r="G3650" s="1115" t="n">
        <v>95355</v>
      </c>
      <c r="H3650" s="1115" t="s">
        <v>2481</v>
      </c>
      <c r="I3650" s="1115" t="n">
        <v>94007</v>
      </c>
      <c r="J3650" s="1115" t="s">
        <v>781</v>
      </c>
    </row>
    <row r="3651" customFormat="false" ht="14.1" hidden="false" customHeight="true" outlineLevel="0" collapsed="false">
      <c r="A3651" s="1115" t="n">
        <v>93990</v>
      </c>
      <c r="B3651" s="1115" t="s">
        <v>168</v>
      </c>
      <c r="C3651" s="1115" t="n">
        <v>93990</v>
      </c>
      <c r="D3651" s="1115" t="s">
        <v>2814</v>
      </c>
      <c r="E3651" s="1115" t="s">
        <v>1591</v>
      </c>
      <c r="F3651" s="1115" t="n">
        <v>37650</v>
      </c>
      <c r="G3651" s="1115" t="n">
        <v>95360</v>
      </c>
      <c r="H3651" s="1115" t="s">
        <v>1923</v>
      </c>
      <c r="I3651" s="1115" t="n">
        <v>94100</v>
      </c>
      <c r="J3651" s="1115" t="s">
        <v>781</v>
      </c>
    </row>
    <row r="3652" customFormat="false" ht="14.1" hidden="false" customHeight="true" outlineLevel="0" collapsed="false">
      <c r="A3652" s="1115" t="n">
        <v>94007</v>
      </c>
      <c r="B3652" s="1115" t="s">
        <v>169</v>
      </c>
      <c r="C3652" s="1115" t="n">
        <v>94007</v>
      </c>
      <c r="D3652" s="1115" t="s">
        <v>781</v>
      </c>
      <c r="E3652" s="1115" t="s">
        <v>1591</v>
      </c>
      <c r="F3652" s="1115" t="n">
        <v>37680</v>
      </c>
      <c r="G3652" s="1115" t="n">
        <v>95365</v>
      </c>
      <c r="H3652" s="1115" t="s">
        <v>3158</v>
      </c>
      <c r="I3652" s="1115" t="n">
        <v>94130</v>
      </c>
      <c r="J3652" s="1115" t="s">
        <v>781</v>
      </c>
    </row>
    <row r="3653" customFormat="false" ht="14.1" hidden="false" customHeight="true" outlineLevel="0" collapsed="false">
      <c r="A3653" s="1115" t="n">
        <v>94100</v>
      </c>
      <c r="B3653" s="1115" t="s">
        <v>169</v>
      </c>
      <c r="C3653" s="1115" t="n">
        <v>94100</v>
      </c>
      <c r="D3653" s="1115" t="s">
        <v>781</v>
      </c>
      <c r="E3653" s="1115" t="s">
        <v>1593</v>
      </c>
      <c r="F3653" s="1115" t="n">
        <v>45370</v>
      </c>
      <c r="G3653" s="1115" t="n">
        <v>95370</v>
      </c>
      <c r="H3653" s="1115" t="s">
        <v>1973</v>
      </c>
      <c r="I3653" s="1115" t="n">
        <v>94200</v>
      </c>
      <c r="J3653" s="1115" t="s">
        <v>781</v>
      </c>
    </row>
    <row r="3654" customFormat="false" ht="14.1" hidden="false" customHeight="true" outlineLevel="0" collapsed="false">
      <c r="A3654" s="1115" t="n">
        <v>94130</v>
      </c>
      <c r="B3654" s="1115" t="s">
        <v>169</v>
      </c>
      <c r="C3654" s="1115" t="n">
        <v>94130</v>
      </c>
      <c r="D3654" s="1115" t="s">
        <v>781</v>
      </c>
      <c r="E3654" s="1115" t="s">
        <v>3784</v>
      </c>
      <c r="F3654" s="1115" t="n">
        <v>79190</v>
      </c>
      <c r="G3654" s="1115" t="n">
        <v>95375</v>
      </c>
      <c r="H3654" s="1115" t="s">
        <v>3984</v>
      </c>
      <c r="I3654" s="1115" t="n">
        <v>94300</v>
      </c>
      <c r="J3654" s="1115" t="s">
        <v>781</v>
      </c>
    </row>
    <row r="3655" customFormat="false" ht="14.1" hidden="false" customHeight="true" outlineLevel="0" collapsed="false">
      <c r="A3655" s="1115" t="n">
        <v>94200</v>
      </c>
      <c r="B3655" s="1115" t="s">
        <v>169</v>
      </c>
      <c r="C3655" s="1115" t="n">
        <v>94200</v>
      </c>
      <c r="D3655" s="1115" t="s">
        <v>781</v>
      </c>
      <c r="E3655" s="1115" t="s">
        <v>2597</v>
      </c>
      <c r="F3655" s="1115" t="n">
        <v>37420</v>
      </c>
      <c r="G3655" s="1115" t="n">
        <v>95390</v>
      </c>
      <c r="H3655" s="1115" t="s">
        <v>3476</v>
      </c>
      <c r="I3655" s="1115" t="n">
        <v>94400</v>
      </c>
      <c r="J3655" s="1115" t="s">
        <v>1038</v>
      </c>
    </row>
    <row r="3656" customFormat="false" ht="14.1" hidden="false" customHeight="true" outlineLevel="0" collapsed="false">
      <c r="A3656" s="1115" t="n">
        <v>94300</v>
      </c>
      <c r="B3656" s="1115" t="s">
        <v>169</v>
      </c>
      <c r="C3656" s="1115" t="n">
        <v>94300</v>
      </c>
      <c r="D3656" s="1115" t="s">
        <v>781</v>
      </c>
      <c r="E3656" s="1115" t="s">
        <v>2922</v>
      </c>
      <c r="F3656" s="1115" t="n">
        <v>44770</v>
      </c>
      <c r="G3656" s="1115" t="n">
        <v>95400</v>
      </c>
      <c r="H3656" s="1115" t="s">
        <v>1568</v>
      </c>
      <c r="I3656" s="1115" t="n">
        <v>94430</v>
      </c>
      <c r="J3656" s="1115" t="s">
        <v>1568</v>
      </c>
    </row>
    <row r="3657" customFormat="false" ht="14.1" hidden="false" customHeight="true" outlineLevel="0" collapsed="false">
      <c r="A3657" s="1115" t="n">
        <v>94400</v>
      </c>
      <c r="B3657" s="1115" t="s">
        <v>169</v>
      </c>
      <c r="C3657" s="1115" t="n">
        <v>94400</v>
      </c>
      <c r="D3657" s="1115" t="s">
        <v>1038</v>
      </c>
      <c r="E3657" s="1115" t="s">
        <v>3718</v>
      </c>
      <c r="F3657" s="1115" t="n">
        <v>74210</v>
      </c>
      <c r="G3657" s="1115" t="n">
        <v>95410</v>
      </c>
      <c r="H3657" s="1115" t="s">
        <v>1568</v>
      </c>
      <c r="I3657" s="1115" t="n">
        <v>94460</v>
      </c>
      <c r="J3657" s="1115" t="s">
        <v>1568</v>
      </c>
    </row>
    <row r="3658" customFormat="false" ht="14.1" hidden="false" customHeight="true" outlineLevel="0" collapsed="false">
      <c r="A3658" s="1115" t="n">
        <v>94430</v>
      </c>
      <c r="B3658" s="1115" t="s">
        <v>169</v>
      </c>
      <c r="C3658" s="1115" t="n">
        <v>94430</v>
      </c>
      <c r="D3658" s="1115" t="s">
        <v>1568</v>
      </c>
      <c r="E3658" s="1115" t="s">
        <v>1475</v>
      </c>
      <c r="F3658" s="1115" t="n">
        <v>7910</v>
      </c>
      <c r="G3658" s="1115" t="n">
        <v>95420</v>
      </c>
      <c r="H3658" s="1115" t="s">
        <v>1568</v>
      </c>
      <c r="I3658" s="1115" t="n">
        <v>94500</v>
      </c>
      <c r="J3658" s="1115" t="s">
        <v>1568</v>
      </c>
    </row>
    <row r="3659" customFormat="false" ht="14.1" hidden="false" customHeight="true" outlineLevel="0" collapsed="false">
      <c r="A3659" s="1115" t="n">
        <v>94460</v>
      </c>
      <c r="B3659" s="1115" t="s">
        <v>169</v>
      </c>
      <c r="C3659" s="1115" t="n">
        <v>94460</v>
      </c>
      <c r="D3659" s="1115" t="s">
        <v>1568</v>
      </c>
      <c r="E3659" s="1115" t="s">
        <v>2760</v>
      </c>
      <c r="F3659" s="1115" t="n">
        <v>41360</v>
      </c>
      <c r="G3659" s="1115" t="n">
        <v>95430</v>
      </c>
      <c r="H3659" s="1115" t="s">
        <v>1568</v>
      </c>
      <c r="I3659" s="1115" t="n">
        <v>94600</v>
      </c>
      <c r="J3659" s="1115" t="s">
        <v>1568</v>
      </c>
    </row>
    <row r="3660" customFormat="false" ht="14.1" hidden="false" customHeight="true" outlineLevel="0" collapsed="false">
      <c r="A3660" s="1115" t="n">
        <v>94500</v>
      </c>
      <c r="B3660" s="1115" t="s">
        <v>169</v>
      </c>
      <c r="C3660" s="1115" t="n">
        <v>94500</v>
      </c>
      <c r="D3660" s="1115" t="s">
        <v>2931</v>
      </c>
      <c r="E3660" s="1115" t="s">
        <v>3985</v>
      </c>
      <c r="F3660" s="1115" t="n">
        <v>98650</v>
      </c>
      <c r="G3660" s="1115" t="n">
        <v>95440</v>
      </c>
      <c r="H3660" s="1115" t="s">
        <v>1568</v>
      </c>
      <c r="I3660" s="1115" t="n">
        <v>94700</v>
      </c>
      <c r="J3660" s="1115" t="s">
        <v>1568</v>
      </c>
    </row>
    <row r="3661" customFormat="false" ht="14.1" hidden="false" customHeight="true" outlineLevel="0" collapsed="false">
      <c r="A3661" s="1115" t="n">
        <v>94600</v>
      </c>
      <c r="B3661" s="1115" t="s">
        <v>169</v>
      </c>
      <c r="C3661" s="1115" t="n">
        <v>94600</v>
      </c>
      <c r="D3661" s="1115" t="s">
        <v>781</v>
      </c>
      <c r="E3661" s="1115" t="s">
        <v>3573</v>
      </c>
      <c r="F3661" s="1115" t="n">
        <v>66570</v>
      </c>
      <c r="G3661" s="1115" t="n">
        <v>95450</v>
      </c>
      <c r="H3661" s="1115" t="s">
        <v>1568</v>
      </c>
      <c r="I3661" s="1115" t="n">
        <v>94730</v>
      </c>
      <c r="J3661" s="1115" t="s">
        <v>1568</v>
      </c>
    </row>
    <row r="3662" customFormat="false" ht="14.1" hidden="false" customHeight="true" outlineLevel="0" collapsed="false">
      <c r="A3662" s="1115" t="n">
        <v>94700</v>
      </c>
      <c r="B3662" s="1115" t="s">
        <v>169</v>
      </c>
      <c r="C3662" s="1115" t="n">
        <v>94700</v>
      </c>
      <c r="D3662" s="1115" t="s">
        <v>781</v>
      </c>
      <c r="E3662" s="1115" t="s">
        <v>1943</v>
      </c>
      <c r="F3662" s="1115" t="n">
        <v>21275</v>
      </c>
      <c r="G3662" s="1115" t="n">
        <v>95460</v>
      </c>
      <c r="H3662" s="1115" t="s">
        <v>1568</v>
      </c>
      <c r="I3662" s="1115" t="n">
        <v>94800</v>
      </c>
      <c r="J3662" s="1115" t="s">
        <v>1568</v>
      </c>
    </row>
    <row r="3663" customFormat="false" ht="14.1" hidden="false" customHeight="true" outlineLevel="0" collapsed="false">
      <c r="A3663" s="1115" t="n">
        <v>94730</v>
      </c>
      <c r="B3663" s="1115" t="s">
        <v>169</v>
      </c>
      <c r="C3663" s="1115" t="n">
        <v>94730</v>
      </c>
      <c r="D3663" s="1115" t="s">
        <v>781</v>
      </c>
      <c r="E3663" s="1115" t="s">
        <v>3505</v>
      </c>
      <c r="F3663" s="1115" t="n">
        <v>64660</v>
      </c>
      <c r="G3663" s="1115" t="n">
        <v>95470</v>
      </c>
      <c r="H3663" s="1115" t="s">
        <v>1568</v>
      </c>
      <c r="I3663" s="1115" t="n">
        <v>94830</v>
      </c>
      <c r="J3663" s="1115" t="s">
        <v>1568</v>
      </c>
    </row>
    <row r="3664" customFormat="false" ht="14.1" hidden="false" customHeight="true" outlineLevel="0" collapsed="false">
      <c r="A3664" s="1115" t="n">
        <v>94800</v>
      </c>
      <c r="B3664" s="1115" t="s">
        <v>169</v>
      </c>
      <c r="C3664" s="1115" t="n">
        <v>94800</v>
      </c>
      <c r="D3664" s="1115" t="s">
        <v>781</v>
      </c>
      <c r="E3664" s="1115" t="s">
        <v>1964</v>
      </c>
      <c r="F3664" s="1115" t="n">
        <v>21495</v>
      </c>
      <c r="G3664" s="1115" t="n">
        <v>95490</v>
      </c>
      <c r="H3664" s="1115" t="s">
        <v>1568</v>
      </c>
      <c r="I3664" s="1115" t="n">
        <v>94900</v>
      </c>
      <c r="J3664" s="1115" t="s">
        <v>1568</v>
      </c>
    </row>
    <row r="3665" customFormat="false" ht="14.1" hidden="false" customHeight="true" outlineLevel="0" collapsed="false">
      <c r="A3665" s="1115" t="n">
        <v>94830</v>
      </c>
      <c r="B3665" s="1115" t="s">
        <v>169</v>
      </c>
      <c r="C3665" s="1115" t="n">
        <v>94830</v>
      </c>
      <c r="D3665" s="1115" t="s">
        <v>781</v>
      </c>
      <c r="E3665" s="1115" t="s">
        <v>1594</v>
      </c>
      <c r="F3665" s="1115" t="n">
        <v>75700</v>
      </c>
      <c r="G3665" s="1115" t="n">
        <v>95500</v>
      </c>
      <c r="H3665" s="1115" t="s">
        <v>1568</v>
      </c>
      <c r="I3665" s="1115" t="n">
        <v>95100</v>
      </c>
      <c r="J3665" s="1115" t="s">
        <v>1568</v>
      </c>
    </row>
    <row r="3666" customFormat="false" ht="14.1" hidden="false" customHeight="true" outlineLevel="0" collapsed="false">
      <c r="A3666" s="1115" t="n">
        <v>94900</v>
      </c>
      <c r="B3666" s="1115" t="s">
        <v>169</v>
      </c>
      <c r="C3666" s="1115" t="n">
        <v>94900</v>
      </c>
      <c r="D3666" s="1115" t="s">
        <v>781</v>
      </c>
      <c r="E3666" s="1115" t="s">
        <v>1663</v>
      </c>
      <c r="F3666" s="1115" t="n">
        <v>14630</v>
      </c>
      <c r="G3666" s="1115" t="n">
        <v>95520</v>
      </c>
      <c r="H3666" s="1115" t="s">
        <v>1568</v>
      </c>
      <c r="I3666" s="1115" t="n">
        <v>95110</v>
      </c>
      <c r="J3666" s="1115" t="s">
        <v>1568</v>
      </c>
    </row>
    <row r="3667" customFormat="false" ht="14.1" hidden="false" customHeight="true" outlineLevel="0" collapsed="false">
      <c r="A3667" s="1115" t="n">
        <v>95100</v>
      </c>
      <c r="B3667" s="1115" t="s">
        <v>169</v>
      </c>
      <c r="C3667" s="1115" t="n">
        <v>95100</v>
      </c>
      <c r="D3667" s="1115" t="s">
        <v>1119</v>
      </c>
      <c r="E3667" s="1115" t="s">
        <v>1596</v>
      </c>
      <c r="F3667" s="1115" t="n">
        <v>38200</v>
      </c>
      <c r="G3667" s="1115" t="n">
        <v>95530</v>
      </c>
      <c r="H3667" s="1115" t="s">
        <v>1568</v>
      </c>
      <c r="I3667" s="1115" t="n">
        <v>95120</v>
      </c>
      <c r="J3667" s="1115" t="s">
        <v>1568</v>
      </c>
    </row>
    <row r="3668" customFormat="false" ht="14.1" hidden="false" customHeight="true" outlineLevel="0" collapsed="false">
      <c r="A3668" s="1115" t="n">
        <v>95110</v>
      </c>
      <c r="B3668" s="1115" t="s">
        <v>169</v>
      </c>
      <c r="C3668" s="1115" t="n">
        <v>95110</v>
      </c>
      <c r="D3668" s="1115" t="s">
        <v>1119</v>
      </c>
      <c r="E3668" s="1115" t="s">
        <v>1596</v>
      </c>
      <c r="F3668" s="1115" t="n">
        <v>38210</v>
      </c>
      <c r="G3668" s="1115" t="n">
        <v>95540</v>
      </c>
      <c r="H3668" s="1115" t="s">
        <v>1568</v>
      </c>
      <c r="I3668" s="1115" t="n">
        <v>95130</v>
      </c>
      <c r="J3668" s="1115" t="s">
        <v>1568</v>
      </c>
    </row>
    <row r="3669" customFormat="false" ht="14.1" hidden="false" customHeight="true" outlineLevel="0" collapsed="false">
      <c r="A3669" s="1115" t="n">
        <v>95120</v>
      </c>
      <c r="B3669" s="1115" t="s">
        <v>169</v>
      </c>
      <c r="C3669" s="1115" t="n">
        <v>95120</v>
      </c>
      <c r="D3669" s="1115" t="s">
        <v>3246</v>
      </c>
      <c r="E3669" s="1115" t="s">
        <v>1598</v>
      </c>
      <c r="F3669" s="1115" t="n">
        <v>32610</v>
      </c>
      <c r="G3669" s="1115" t="n">
        <v>95560</v>
      </c>
      <c r="H3669" s="1115" t="s">
        <v>1568</v>
      </c>
      <c r="I3669" s="1115" t="n">
        <v>95150</v>
      </c>
      <c r="J3669" s="1115" t="s">
        <v>1568</v>
      </c>
    </row>
    <row r="3670" customFormat="false" ht="14.1" hidden="false" customHeight="true" outlineLevel="0" collapsed="false">
      <c r="A3670" s="1115" t="n">
        <v>95130</v>
      </c>
      <c r="B3670" s="1115" t="s">
        <v>169</v>
      </c>
      <c r="C3670" s="1115" t="n">
        <v>95130</v>
      </c>
      <c r="D3670" s="1115" t="s">
        <v>1847</v>
      </c>
      <c r="E3670" s="1115" t="s">
        <v>2229</v>
      </c>
      <c r="F3670" s="1115" t="n">
        <v>28450</v>
      </c>
      <c r="G3670" s="1115" t="n">
        <v>95590</v>
      </c>
      <c r="H3670" s="1115" t="s">
        <v>1568</v>
      </c>
      <c r="I3670" s="1115" t="n">
        <v>95160</v>
      </c>
      <c r="J3670" s="1115" t="s">
        <v>1568</v>
      </c>
    </row>
    <row r="3671" customFormat="false" ht="14.1" hidden="false" customHeight="true" outlineLevel="0" collapsed="false">
      <c r="A3671" s="1115" t="n">
        <v>95150</v>
      </c>
      <c r="B3671" s="1115" t="s">
        <v>169</v>
      </c>
      <c r="C3671" s="1115" t="n">
        <v>95150</v>
      </c>
      <c r="D3671" s="1115" t="s">
        <v>1414</v>
      </c>
      <c r="E3671" s="1115" t="s">
        <v>3515</v>
      </c>
      <c r="F3671" s="1115" t="n">
        <v>64810</v>
      </c>
      <c r="G3671" s="1115" t="n">
        <v>95600</v>
      </c>
      <c r="H3671" s="1115" t="s">
        <v>1637</v>
      </c>
      <c r="I3671" s="1115" t="n">
        <v>95170</v>
      </c>
      <c r="J3671" s="1115" t="s">
        <v>1568</v>
      </c>
    </row>
    <row r="3672" customFormat="false" ht="14.1" hidden="false" customHeight="true" outlineLevel="0" collapsed="false">
      <c r="A3672" s="1115" t="n">
        <v>95160</v>
      </c>
      <c r="B3672" s="1115" t="s">
        <v>169</v>
      </c>
      <c r="C3672" s="1115" t="n">
        <v>95160</v>
      </c>
      <c r="D3672" s="1115" t="s">
        <v>3387</v>
      </c>
      <c r="E3672" s="1115" t="s">
        <v>3515</v>
      </c>
      <c r="F3672" s="1115" t="n">
        <v>64810</v>
      </c>
      <c r="G3672" s="1115" t="n">
        <v>95610</v>
      </c>
      <c r="H3672" s="1115" t="s">
        <v>2142</v>
      </c>
      <c r="I3672" s="1115" t="n">
        <v>95180</v>
      </c>
      <c r="J3672" s="1115" t="s">
        <v>1568</v>
      </c>
    </row>
    <row r="3673" customFormat="false" ht="14.1" hidden="false" customHeight="true" outlineLevel="0" collapsed="false">
      <c r="A3673" s="1115" t="n">
        <v>95170</v>
      </c>
      <c r="B3673" s="1115" t="s">
        <v>169</v>
      </c>
      <c r="C3673" s="1115" t="n">
        <v>95170</v>
      </c>
      <c r="D3673" s="1115" t="s">
        <v>2887</v>
      </c>
      <c r="E3673" s="1115" t="s">
        <v>3969</v>
      </c>
      <c r="F3673" s="1115" t="n">
        <v>93590</v>
      </c>
      <c r="G3673" s="1115" t="n">
        <v>95620</v>
      </c>
      <c r="H3673" s="1115" t="s">
        <v>718</v>
      </c>
      <c r="I3673" s="1115" t="n">
        <v>95200</v>
      </c>
      <c r="J3673" s="1115" t="s">
        <v>1500</v>
      </c>
    </row>
    <row r="3674" customFormat="false" ht="14.1" hidden="false" customHeight="true" outlineLevel="0" collapsed="false">
      <c r="A3674" s="1115" t="n">
        <v>95180</v>
      </c>
      <c r="B3674" s="1115" t="s">
        <v>169</v>
      </c>
      <c r="C3674" s="1115" t="n">
        <v>95180</v>
      </c>
      <c r="D3674" s="1115" t="s">
        <v>3755</v>
      </c>
      <c r="E3674" s="1115" t="s">
        <v>1953</v>
      </c>
      <c r="F3674" s="1115" t="n">
        <v>21410</v>
      </c>
      <c r="G3674" s="1115" t="n">
        <v>95630</v>
      </c>
      <c r="H3674" s="1115" t="s">
        <v>3681</v>
      </c>
      <c r="I3674" s="1115" t="n">
        <v>95210</v>
      </c>
      <c r="J3674" s="1115" t="s">
        <v>1500</v>
      </c>
    </row>
    <row r="3675" customFormat="false" ht="14.1" hidden="false" customHeight="true" outlineLevel="0" collapsed="false">
      <c r="A3675" s="1115" t="n">
        <v>95200</v>
      </c>
      <c r="B3675" s="1115" t="s">
        <v>169</v>
      </c>
      <c r="C3675" s="1115" t="n">
        <v>95200</v>
      </c>
      <c r="D3675" s="1115" t="s">
        <v>1500</v>
      </c>
      <c r="E3675" s="1115" t="s">
        <v>3055</v>
      </c>
      <c r="F3675" s="1115" t="n">
        <v>51130</v>
      </c>
      <c r="G3675" s="1115" t="n">
        <v>95635</v>
      </c>
      <c r="H3675" s="1115" t="s">
        <v>2319</v>
      </c>
      <c r="I3675" s="1115" t="n">
        <v>95215</v>
      </c>
      <c r="J3675" s="1115" t="s">
        <v>1500</v>
      </c>
    </row>
    <row r="3676" customFormat="false" ht="14.1" hidden="false" customHeight="true" outlineLevel="0" collapsed="false">
      <c r="A3676" s="1115" t="n">
        <v>95210</v>
      </c>
      <c r="B3676" s="1115" t="s">
        <v>169</v>
      </c>
      <c r="C3676" s="1115" t="n">
        <v>95210</v>
      </c>
      <c r="D3676" s="1115" t="s">
        <v>1209</v>
      </c>
      <c r="E3676" s="1115" t="s">
        <v>1193</v>
      </c>
      <c r="F3676" s="1115" t="n">
        <v>3510</v>
      </c>
      <c r="G3676" s="1115" t="n">
        <v>95640</v>
      </c>
      <c r="H3676" s="1115" t="s">
        <v>2046</v>
      </c>
      <c r="I3676" s="1115" t="n">
        <v>95220</v>
      </c>
      <c r="J3676" s="1115" t="s">
        <v>1500</v>
      </c>
    </row>
    <row r="3677" customFormat="false" ht="14.1" hidden="false" customHeight="true" outlineLevel="0" collapsed="false">
      <c r="A3677" s="1115" t="n">
        <v>95215</v>
      </c>
      <c r="B3677" s="1115" t="s">
        <v>169</v>
      </c>
      <c r="C3677" s="1115" t="n">
        <v>95215</v>
      </c>
      <c r="D3677" s="1115" t="s">
        <v>2754</v>
      </c>
      <c r="E3677" s="1115" t="s">
        <v>157</v>
      </c>
      <c r="F3677" s="1115" t="n">
        <v>1200</v>
      </c>
      <c r="G3677" s="1115" t="n">
        <v>95645</v>
      </c>
      <c r="H3677" s="1115" t="s">
        <v>3962</v>
      </c>
      <c r="I3677" s="1115" t="n">
        <v>95225</v>
      </c>
      <c r="J3677" s="1115" t="s">
        <v>1500</v>
      </c>
    </row>
    <row r="3678" customFormat="false" ht="14.1" hidden="false" customHeight="true" outlineLevel="0" collapsed="false">
      <c r="A3678" s="1115" t="n">
        <v>95220</v>
      </c>
      <c r="B3678" s="1115" t="s">
        <v>169</v>
      </c>
      <c r="C3678" s="1115" t="n">
        <v>95220</v>
      </c>
      <c r="D3678" s="1115" t="s">
        <v>3855</v>
      </c>
      <c r="E3678" s="1115" t="s">
        <v>157</v>
      </c>
      <c r="F3678" s="1115" t="n">
        <v>1200</v>
      </c>
      <c r="G3678" s="1115" t="n">
        <v>95650</v>
      </c>
      <c r="H3678" s="1115" t="s">
        <v>3618</v>
      </c>
      <c r="I3678" s="1115" t="n">
        <v>95230</v>
      </c>
      <c r="J3678" s="1115" t="s">
        <v>1500</v>
      </c>
    </row>
    <row r="3679" customFormat="false" ht="14.1" hidden="false" customHeight="true" outlineLevel="0" collapsed="false">
      <c r="A3679" s="1115" t="n">
        <v>95225</v>
      </c>
      <c r="B3679" s="1115" t="s">
        <v>169</v>
      </c>
      <c r="C3679" s="1115" t="n">
        <v>95225</v>
      </c>
      <c r="D3679" s="1115" t="s">
        <v>3977</v>
      </c>
      <c r="E3679" s="1115" t="s">
        <v>157</v>
      </c>
      <c r="F3679" s="1115" t="n">
        <v>1230</v>
      </c>
      <c r="G3679" s="1115" t="n">
        <v>95655</v>
      </c>
      <c r="H3679" s="1115" t="s">
        <v>1178</v>
      </c>
      <c r="I3679" s="1115" t="n">
        <v>95240</v>
      </c>
      <c r="J3679" s="1115" t="s">
        <v>1500</v>
      </c>
    </row>
    <row r="3680" customFormat="false" ht="14.1" hidden="false" customHeight="true" outlineLevel="0" collapsed="false">
      <c r="A3680" s="1115" t="n">
        <v>95230</v>
      </c>
      <c r="B3680" s="1115" t="s">
        <v>169</v>
      </c>
      <c r="C3680" s="1115" t="n">
        <v>95230</v>
      </c>
      <c r="D3680" s="1115" t="s">
        <v>3116</v>
      </c>
      <c r="E3680" s="1115" t="s">
        <v>157</v>
      </c>
      <c r="F3680" s="1115" t="n">
        <v>1260</v>
      </c>
      <c r="G3680" s="1115" t="n">
        <v>95660</v>
      </c>
      <c r="H3680" s="1115" t="s">
        <v>3577</v>
      </c>
      <c r="I3680" s="1115" t="n">
        <v>95245</v>
      </c>
      <c r="J3680" s="1115" t="s">
        <v>1500</v>
      </c>
    </row>
    <row r="3681" customFormat="false" ht="14.1" hidden="false" customHeight="true" outlineLevel="0" collapsed="false">
      <c r="A3681" s="1115" t="n">
        <v>95240</v>
      </c>
      <c r="B3681" s="1115" t="s">
        <v>169</v>
      </c>
      <c r="C3681" s="1115" t="n">
        <v>95240</v>
      </c>
      <c r="D3681" s="1115" t="s">
        <v>3978</v>
      </c>
      <c r="E3681" s="1115" t="s">
        <v>157</v>
      </c>
      <c r="F3681" s="1115" t="n">
        <v>1280</v>
      </c>
      <c r="G3681" s="1115" t="n">
        <v>95660</v>
      </c>
      <c r="H3681" s="1115" t="s">
        <v>2235</v>
      </c>
      <c r="I3681" s="1115" t="n">
        <v>95250</v>
      </c>
      <c r="J3681" s="1115" t="s">
        <v>1500</v>
      </c>
    </row>
    <row r="3682" customFormat="false" ht="14.1" hidden="false" customHeight="true" outlineLevel="0" collapsed="false">
      <c r="A3682" s="1115" t="n">
        <v>95245</v>
      </c>
      <c r="B3682" s="1115" t="s">
        <v>169</v>
      </c>
      <c r="C3682" s="1115" t="n">
        <v>95245</v>
      </c>
      <c r="D3682" s="1115" t="s">
        <v>3979</v>
      </c>
      <c r="E3682" s="1115" t="s">
        <v>157</v>
      </c>
      <c r="F3682" s="1115" t="n">
        <v>1300</v>
      </c>
      <c r="G3682" s="1115" t="n">
        <v>95665</v>
      </c>
      <c r="H3682" s="1115" t="s">
        <v>3594</v>
      </c>
      <c r="I3682" s="1115" t="n">
        <v>95255</v>
      </c>
      <c r="J3682" s="1115" t="s">
        <v>1500</v>
      </c>
    </row>
    <row r="3683" customFormat="false" ht="14.1" hidden="false" customHeight="true" outlineLevel="0" collapsed="false">
      <c r="A3683" s="1115" t="n">
        <v>95250</v>
      </c>
      <c r="B3683" s="1115" t="s">
        <v>169</v>
      </c>
      <c r="C3683" s="1115" t="n">
        <v>95250</v>
      </c>
      <c r="D3683" s="1115" t="s">
        <v>3865</v>
      </c>
      <c r="E3683" s="1115" t="s">
        <v>157</v>
      </c>
      <c r="F3683" s="1115" t="n">
        <v>1350</v>
      </c>
      <c r="G3683" s="1115" t="n">
        <v>95665</v>
      </c>
      <c r="H3683" s="1115" t="s">
        <v>3971</v>
      </c>
      <c r="I3683" s="1115" t="n">
        <v>95260</v>
      </c>
      <c r="J3683" s="1115" t="s">
        <v>1500</v>
      </c>
    </row>
    <row r="3684" customFormat="false" ht="14.1" hidden="false" customHeight="true" outlineLevel="0" collapsed="false">
      <c r="A3684" s="1115" t="n">
        <v>95255</v>
      </c>
      <c r="B3684" s="1115" t="s">
        <v>169</v>
      </c>
      <c r="C3684" s="1115" t="n">
        <v>95255</v>
      </c>
      <c r="D3684" s="1115" t="s">
        <v>867</v>
      </c>
      <c r="E3684" s="1115" t="s">
        <v>157</v>
      </c>
      <c r="F3684" s="1115" t="n">
        <v>1360</v>
      </c>
      <c r="G3684" s="1115" t="n">
        <v>95667</v>
      </c>
      <c r="H3684" s="1115" t="s">
        <v>3647</v>
      </c>
      <c r="I3684" s="1115" t="n">
        <v>95270</v>
      </c>
      <c r="J3684" s="1115" t="s">
        <v>1500</v>
      </c>
    </row>
    <row r="3685" customFormat="false" ht="14.1" hidden="false" customHeight="true" outlineLevel="0" collapsed="false">
      <c r="A3685" s="1115" t="n">
        <v>95260</v>
      </c>
      <c r="B3685" s="1115" t="s">
        <v>169</v>
      </c>
      <c r="C3685" s="1115" t="n">
        <v>95260</v>
      </c>
      <c r="D3685" s="1115" t="s">
        <v>3911</v>
      </c>
      <c r="E3685" s="1115" t="s">
        <v>157</v>
      </c>
      <c r="F3685" s="1115" t="n">
        <v>1370</v>
      </c>
      <c r="G3685" s="1115" t="n">
        <v>95670</v>
      </c>
      <c r="H3685" s="1115" t="s">
        <v>3539</v>
      </c>
      <c r="I3685" s="1115" t="n">
        <v>95280</v>
      </c>
      <c r="J3685" s="1115" t="s">
        <v>1418</v>
      </c>
    </row>
    <row r="3686" customFormat="false" ht="14.1" hidden="false" customHeight="true" outlineLevel="0" collapsed="false">
      <c r="A3686" s="1115" t="n">
        <v>95270</v>
      </c>
      <c r="B3686" s="1115" t="s">
        <v>169</v>
      </c>
      <c r="C3686" s="1115" t="n">
        <v>95270</v>
      </c>
      <c r="D3686" s="1115" t="s">
        <v>3980</v>
      </c>
      <c r="E3686" s="1115" t="s">
        <v>157</v>
      </c>
      <c r="F3686" s="1115" t="n">
        <v>1380</v>
      </c>
      <c r="G3686" s="1115" t="n">
        <v>95675</v>
      </c>
      <c r="H3686" s="1115" t="s">
        <v>3164</v>
      </c>
      <c r="I3686" s="1115" t="n">
        <v>95285</v>
      </c>
      <c r="J3686" s="1115" t="s">
        <v>1418</v>
      </c>
    </row>
    <row r="3687" customFormat="false" ht="14.1" hidden="false" customHeight="true" outlineLevel="0" collapsed="false">
      <c r="A3687" s="1115" t="n">
        <v>95280</v>
      </c>
      <c r="B3687" s="1115" t="s">
        <v>169</v>
      </c>
      <c r="C3687" s="1115" t="n">
        <v>95280</v>
      </c>
      <c r="D3687" s="1115" t="s">
        <v>3379</v>
      </c>
      <c r="E3687" s="1115" t="s">
        <v>157</v>
      </c>
      <c r="F3687" s="1115" t="n">
        <v>1390</v>
      </c>
      <c r="G3687" s="1115" t="n">
        <v>95680</v>
      </c>
      <c r="H3687" s="1115" t="s">
        <v>3009</v>
      </c>
      <c r="I3687" s="1115" t="n">
        <v>95290</v>
      </c>
      <c r="J3687" s="1115" t="s">
        <v>1418</v>
      </c>
    </row>
    <row r="3688" customFormat="false" ht="14.1" hidden="false" customHeight="true" outlineLevel="0" collapsed="false">
      <c r="A3688" s="1115" t="n">
        <v>95285</v>
      </c>
      <c r="B3688" s="1115" t="s">
        <v>169</v>
      </c>
      <c r="C3688" s="1115" t="n">
        <v>95285</v>
      </c>
      <c r="D3688" s="1115" t="s">
        <v>3982</v>
      </c>
      <c r="E3688" s="1115" t="s">
        <v>157</v>
      </c>
      <c r="F3688" s="1115" t="n">
        <v>1400</v>
      </c>
      <c r="G3688" s="1115" t="n">
        <v>95690</v>
      </c>
      <c r="H3688" s="1115" t="s">
        <v>3162</v>
      </c>
      <c r="I3688" s="1115" t="n">
        <v>95295</v>
      </c>
      <c r="J3688" s="1115" t="s">
        <v>1418</v>
      </c>
    </row>
    <row r="3689" customFormat="false" ht="14.1" hidden="false" customHeight="true" outlineLevel="0" collapsed="false">
      <c r="A3689" s="1115" t="n">
        <v>95290</v>
      </c>
      <c r="B3689" s="1115" t="s">
        <v>169</v>
      </c>
      <c r="C3689" s="1115" t="n">
        <v>95290</v>
      </c>
      <c r="D3689" s="1115" t="s">
        <v>2961</v>
      </c>
      <c r="E3689" s="1115" t="s">
        <v>157</v>
      </c>
      <c r="F3689" s="1115" t="n">
        <v>1420</v>
      </c>
      <c r="G3689" s="1115" t="n">
        <v>95695</v>
      </c>
      <c r="H3689" s="1115" t="s">
        <v>2237</v>
      </c>
      <c r="I3689" s="1115" t="n">
        <v>95300</v>
      </c>
      <c r="J3689" s="1115" t="s">
        <v>1562</v>
      </c>
    </row>
    <row r="3690" customFormat="false" ht="14.1" hidden="false" customHeight="true" outlineLevel="0" collapsed="false">
      <c r="A3690" s="1115" t="n">
        <v>95295</v>
      </c>
      <c r="B3690" s="1115" t="s">
        <v>169</v>
      </c>
      <c r="C3690" s="1115" t="n">
        <v>95295</v>
      </c>
      <c r="D3690" s="1115" t="s">
        <v>3749</v>
      </c>
      <c r="E3690" s="1115" t="s">
        <v>157</v>
      </c>
      <c r="F3690" s="1115" t="n">
        <v>1450</v>
      </c>
      <c r="G3690" s="1115" t="n">
        <v>95700</v>
      </c>
      <c r="H3690" s="1115" t="s">
        <v>1326</v>
      </c>
      <c r="I3690" s="1115" t="n">
        <v>95310</v>
      </c>
      <c r="J3690" s="1115" t="s">
        <v>1562</v>
      </c>
    </row>
    <row r="3691" customFormat="false" ht="14.1" hidden="false" customHeight="true" outlineLevel="0" collapsed="false">
      <c r="A3691" s="1115" t="n">
        <v>95300</v>
      </c>
      <c r="B3691" s="1115" t="s">
        <v>169</v>
      </c>
      <c r="C3691" s="1115" t="n">
        <v>95300</v>
      </c>
      <c r="D3691" s="1115" t="s">
        <v>1562</v>
      </c>
      <c r="E3691" s="1115" t="s">
        <v>157</v>
      </c>
      <c r="F3691" s="1115" t="n">
        <v>1480</v>
      </c>
      <c r="G3691" s="1115" t="n">
        <v>95710</v>
      </c>
      <c r="H3691" s="1115" t="s">
        <v>3277</v>
      </c>
      <c r="I3691" s="1115" t="n">
        <v>95315</v>
      </c>
      <c r="J3691" s="1115" t="s">
        <v>1562</v>
      </c>
    </row>
    <row r="3692" customFormat="false" ht="14.1" hidden="false" customHeight="true" outlineLevel="0" collapsed="false">
      <c r="A3692" s="1115" t="n">
        <v>95310</v>
      </c>
      <c r="B3692" s="1115" t="s">
        <v>169</v>
      </c>
      <c r="C3692" s="1115" t="n">
        <v>95310</v>
      </c>
      <c r="D3692" s="1115" t="s">
        <v>2988</v>
      </c>
      <c r="E3692" s="1115" t="s">
        <v>157</v>
      </c>
      <c r="F3692" s="1115" t="n">
        <v>1490</v>
      </c>
      <c r="G3692" s="1115" t="n">
        <v>95720</v>
      </c>
      <c r="H3692" s="1115" t="s">
        <v>1998</v>
      </c>
      <c r="I3692" s="1115" t="n">
        <v>95320</v>
      </c>
      <c r="J3692" s="1115" t="s">
        <v>1562</v>
      </c>
    </row>
    <row r="3693" customFormat="false" ht="14.1" hidden="false" customHeight="true" outlineLevel="0" collapsed="false">
      <c r="A3693" s="1115" t="n">
        <v>95315</v>
      </c>
      <c r="B3693" s="1115" t="s">
        <v>169</v>
      </c>
      <c r="C3693" s="1115" t="n">
        <v>95315</v>
      </c>
      <c r="D3693" s="1115" t="s">
        <v>3968</v>
      </c>
      <c r="E3693" s="1115" t="s">
        <v>157</v>
      </c>
      <c r="F3693" s="1115" t="n">
        <v>1510</v>
      </c>
      <c r="G3693" s="1115" t="n">
        <v>95730</v>
      </c>
      <c r="H3693" s="1115" t="s">
        <v>3986</v>
      </c>
      <c r="I3693" s="1115" t="n">
        <v>95325</v>
      </c>
      <c r="J3693" s="1115" t="s">
        <v>1562</v>
      </c>
    </row>
    <row r="3694" customFormat="false" ht="14.1" hidden="false" customHeight="true" outlineLevel="0" collapsed="false">
      <c r="A3694" s="1115" t="n">
        <v>95320</v>
      </c>
      <c r="B3694" s="1115" t="s">
        <v>169</v>
      </c>
      <c r="C3694" s="1115" t="n">
        <v>95320</v>
      </c>
      <c r="D3694" s="1115" t="s">
        <v>3089</v>
      </c>
      <c r="E3694" s="1115" t="s">
        <v>157</v>
      </c>
      <c r="F3694" s="1115" t="n">
        <v>1600</v>
      </c>
      <c r="G3694" s="1115" t="n">
        <v>95750</v>
      </c>
      <c r="H3694" s="1115" t="s">
        <v>2112</v>
      </c>
      <c r="I3694" s="1115" t="n">
        <v>95330</v>
      </c>
      <c r="J3694" s="1115" t="s">
        <v>1562</v>
      </c>
    </row>
    <row r="3695" customFormat="false" ht="14.1" hidden="false" customHeight="true" outlineLevel="0" collapsed="false">
      <c r="A3695" s="1115" t="n">
        <v>95325</v>
      </c>
      <c r="B3695" s="1115" t="s">
        <v>169</v>
      </c>
      <c r="C3695" s="1115" t="n">
        <v>95325</v>
      </c>
      <c r="D3695" s="1115" t="s">
        <v>3442</v>
      </c>
      <c r="E3695" s="1115" t="s">
        <v>157</v>
      </c>
      <c r="F3695" s="1115" t="n">
        <v>1610</v>
      </c>
      <c r="G3695" s="1115" t="n">
        <v>95760</v>
      </c>
      <c r="H3695" s="1115" t="s">
        <v>2551</v>
      </c>
      <c r="I3695" s="1115" t="n">
        <v>95335</v>
      </c>
      <c r="J3695" s="1115" t="s">
        <v>1562</v>
      </c>
    </row>
    <row r="3696" customFormat="false" ht="14.1" hidden="false" customHeight="true" outlineLevel="0" collapsed="false">
      <c r="A3696" s="1115" t="n">
        <v>95330</v>
      </c>
      <c r="B3696" s="1115" t="s">
        <v>169</v>
      </c>
      <c r="C3696" s="1115" t="n">
        <v>95330</v>
      </c>
      <c r="D3696" s="1115" t="s">
        <v>2152</v>
      </c>
      <c r="E3696" s="1115" t="s">
        <v>157</v>
      </c>
      <c r="F3696" s="1115" t="n">
        <v>1620</v>
      </c>
      <c r="G3696" s="1115" t="n">
        <v>95770</v>
      </c>
      <c r="H3696" s="1115" t="s">
        <v>2895</v>
      </c>
      <c r="I3696" s="1115" t="n">
        <v>95340</v>
      </c>
      <c r="J3696" s="1115" t="s">
        <v>1562</v>
      </c>
    </row>
    <row r="3697" customFormat="false" ht="14.1" hidden="false" customHeight="true" outlineLevel="0" collapsed="false">
      <c r="A3697" s="1115" t="n">
        <v>95335</v>
      </c>
      <c r="B3697" s="1115" t="s">
        <v>169</v>
      </c>
      <c r="C3697" s="1115" t="n">
        <v>95335</v>
      </c>
      <c r="D3697" s="1115" t="s">
        <v>3983</v>
      </c>
      <c r="E3697" s="1115" t="s">
        <v>157</v>
      </c>
      <c r="F3697" s="1115" t="n">
        <v>1630</v>
      </c>
      <c r="G3697" s="1115" t="n">
        <v>95780</v>
      </c>
      <c r="H3697" s="1115" t="s">
        <v>3861</v>
      </c>
      <c r="I3697" s="1115" t="n">
        <v>95345</v>
      </c>
      <c r="J3697" s="1115" t="s">
        <v>1562</v>
      </c>
    </row>
    <row r="3698" customFormat="false" ht="14.1" hidden="false" customHeight="true" outlineLevel="0" collapsed="false">
      <c r="A3698" s="1115" t="n">
        <v>95340</v>
      </c>
      <c r="B3698" s="1115" t="s">
        <v>169</v>
      </c>
      <c r="C3698" s="1115" t="n">
        <v>95340</v>
      </c>
      <c r="D3698" s="1115" t="s">
        <v>3035</v>
      </c>
      <c r="E3698" s="1115" t="s">
        <v>157</v>
      </c>
      <c r="F3698" s="1115" t="n">
        <v>1640</v>
      </c>
      <c r="G3698" s="1115" t="n">
        <v>95790</v>
      </c>
      <c r="H3698" s="1115" t="s">
        <v>2893</v>
      </c>
      <c r="I3698" s="1115" t="n">
        <v>95350</v>
      </c>
      <c r="J3698" s="1115" t="s">
        <v>1562</v>
      </c>
    </row>
    <row r="3699" customFormat="false" ht="14.1" hidden="false" customHeight="true" outlineLevel="0" collapsed="false">
      <c r="A3699" s="1115" t="n">
        <v>95345</v>
      </c>
      <c r="B3699" s="1115" t="s">
        <v>169</v>
      </c>
      <c r="C3699" s="1115" t="n">
        <v>95345</v>
      </c>
      <c r="D3699" s="1115" t="s">
        <v>2822</v>
      </c>
      <c r="E3699" s="1115" t="s">
        <v>157</v>
      </c>
      <c r="F3699" s="1115" t="n">
        <v>1650</v>
      </c>
      <c r="G3699" s="1115" t="n">
        <v>95800</v>
      </c>
      <c r="H3699" s="1115" t="s">
        <v>3845</v>
      </c>
      <c r="I3699" s="1115" t="n">
        <v>95355</v>
      </c>
      <c r="J3699" s="1115" t="s">
        <v>1562</v>
      </c>
    </row>
    <row r="3700" customFormat="false" ht="14.1" hidden="false" customHeight="true" outlineLevel="0" collapsed="false">
      <c r="A3700" s="1115" t="n">
        <v>95350</v>
      </c>
      <c r="B3700" s="1115" t="s">
        <v>169</v>
      </c>
      <c r="C3700" s="1115" t="n">
        <v>95350</v>
      </c>
      <c r="D3700" s="1115" t="s">
        <v>3558</v>
      </c>
      <c r="E3700" s="1115" t="s">
        <v>157</v>
      </c>
      <c r="F3700" s="1115" t="n">
        <v>1660</v>
      </c>
      <c r="G3700" s="1115" t="n">
        <v>95810</v>
      </c>
      <c r="H3700" s="1115" t="s">
        <v>3812</v>
      </c>
      <c r="I3700" s="1115" t="n">
        <v>95360</v>
      </c>
      <c r="J3700" s="1115" t="s">
        <v>1562</v>
      </c>
    </row>
    <row r="3701" customFormat="false" ht="14.1" hidden="false" customHeight="true" outlineLevel="0" collapsed="false">
      <c r="A3701" s="1115" t="n">
        <v>95355</v>
      </c>
      <c r="B3701" s="1115" t="s">
        <v>169</v>
      </c>
      <c r="C3701" s="1115" t="n">
        <v>95355</v>
      </c>
      <c r="D3701" s="1115" t="s">
        <v>2481</v>
      </c>
      <c r="E3701" s="1115" t="s">
        <v>157</v>
      </c>
      <c r="F3701" s="1115" t="n">
        <v>1670</v>
      </c>
      <c r="G3701" s="1115" t="n">
        <v>95830</v>
      </c>
      <c r="H3701" s="1115" t="s">
        <v>3981</v>
      </c>
      <c r="I3701" s="1115" t="n">
        <v>95365</v>
      </c>
      <c r="J3701" s="1115" t="s">
        <v>1562</v>
      </c>
    </row>
    <row r="3702" customFormat="false" ht="14.1" hidden="false" customHeight="true" outlineLevel="0" collapsed="false">
      <c r="A3702" s="1115" t="n">
        <v>95360</v>
      </c>
      <c r="B3702" s="1115" t="s">
        <v>169</v>
      </c>
      <c r="C3702" s="1115" t="n">
        <v>95360</v>
      </c>
      <c r="D3702" s="1115" t="s">
        <v>1923</v>
      </c>
      <c r="E3702" s="1115" t="s">
        <v>157</v>
      </c>
      <c r="F3702" s="1115" t="n">
        <v>1680</v>
      </c>
      <c r="G3702" s="1115" t="n">
        <v>95840</v>
      </c>
      <c r="H3702" s="1115" t="s">
        <v>3987</v>
      </c>
      <c r="I3702" s="1115" t="n">
        <v>95370</v>
      </c>
      <c r="J3702" s="1115" t="s">
        <v>1562</v>
      </c>
    </row>
    <row r="3703" customFormat="false" ht="14.1" hidden="false" customHeight="true" outlineLevel="0" collapsed="false">
      <c r="A3703" s="1115" t="n">
        <v>95365</v>
      </c>
      <c r="B3703" s="1115" t="s">
        <v>169</v>
      </c>
      <c r="C3703" s="1115" t="n">
        <v>95365</v>
      </c>
      <c r="D3703" s="1115" t="s">
        <v>3158</v>
      </c>
      <c r="E3703" s="1115" t="s">
        <v>157</v>
      </c>
      <c r="F3703" s="1115" t="n">
        <v>1690</v>
      </c>
      <c r="G3703" s="1115" t="n">
        <v>95850</v>
      </c>
      <c r="H3703" s="1115" t="s">
        <v>3756</v>
      </c>
      <c r="I3703" s="1115" t="n">
        <v>95375</v>
      </c>
      <c r="J3703" s="1115" t="s">
        <v>1562</v>
      </c>
    </row>
    <row r="3704" customFormat="false" ht="14.1" hidden="false" customHeight="true" outlineLevel="0" collapsed="false">
      <c r="A3704" s="1115" t="n">
        <v>95370</v>
      </c>
      <c r="B3704" s="1115" t="s">
        <v>169</v>
      </c>
      <c r="C3704" s="1115" t="n">
        <v>95370</v>
      </c>
      <c r="D3704" s="1115" t="s">
        <v>1973</v>
      </c>
      <c r="E3704" s="1115" t="s">
        <v>157</v>
      </c>
      <c r="F3704" s="1115" t="n">
        <v>1700</v>
      </c>
      <c r="G3704" s="1115" t="n">
        <v>95860</v>
      </c>
      <c r="H3704" s="1115" t="s">
        <v>3497</v>
      </c>
      <c r="I3704" s="1115" t="n">
        <v>95390</v>
      </c>
      <c r="J3704" s="1115" t="s">
        <v>1562</v>
      </c>
    </row>
    <row r="3705" customFormat="false" ht="14.1" hidden="false" customHeight="true" outlineLevel="0" collapsed="false">
      <c r="A3705" s="1115" t="n">
        <v>95375</v>
      </c>
      <c r="B3705" s="1115" t="s">
        <v>169</v>
      </c>
      <c r="C3705" s="1115" t="n">
        <v>95375</v>
      </c>
      <c r="D3705" s="1115" t="s">
        <v>3984</v>
      </c>
      <c r="E3705" s="1115" t="s">
        <v>157</v>
      </c>
      <c r="F3705" s="1115" t="n">
        <v>1710</v>
      </c>
      <c r="G3705" s="1115" t="n">
        <v>95900</v>
      </c>
      <c r="H3705" s="1115" t="s">
        <v>1093</v>
      </c>
      <c r="I3705" s="1115" t="n">
        <v>95400</v>
      </c>
      <c r="J3705" s="1115" t="s">
        <v>1568</v>
      </c>
    </row>
    <row r="3706" customFormat="false" ht="14.1" hidden="false" customHeight="true" outlineLevel="0" collapsed="false">
      <c r="A3706" s="1115" t="n">
        <v>95390</v>
      </c>
      <c r="B3706" s="1115" t="s">
        <v>169</v>
      </c>
      <c r="C3706" s="1115" t="n">
        <v>95390</v>
      </c>
      <c r="D3706" s="1115" t="s">
        <v>3476</v>
      </c>
      <c r="E3706" s="1115" t="s">
        <v>157</v>
      </c>
      <c r="F3706" s="1115" t="n">
        <v>1730</v>
      </c>
      <c r="G3706" s="1115" t="n">
        <v>95910</v>
      </c>
      <c r="H3706" s="1115" t="s">
        <v>2905</v>
      </c>
      <c r="I3706" s="1115" t="n">
        <v>95410</v>
      </c>
      <c r="J3706" s="1115" t="s">
        <v>1568</v>
      </c>
    </row>
    <row r="3707" customFormat="false" ht="14.1" hidden="false" customHeight="true" outlineLevel="0" collapsed="false">
      <c r="A3707" s="1115" t="n">
        <v>95400</v>
      </c>
      <c r="B3707" s="1115" t="s">
        <v>169</v>
      </c>
      <c r="C3707" s="1115" t="n">
        <v>95400</v>
      </c>
      <c r="D3707" s="1115" t="s">
        <v>1568</v>
      </c>
      <c r="E3707" s="1115" t="s">
        <v>157</v>
      </c>
      <c r="F3707" s="1115" t="n">
        <v>1750</v>
      </c>
      <c r="G3707" s="1115" t="n">
        <v>95920</v>
      </c>
      <c r="H3707" s="1115" t="s">
        <v>3789</v>
      </c>
      <c r="I3707" s="1115" t="n">
        <v>95420</v>
      </c>
      <c r="J3707" s="1115" t="s">
        <v>1568</v>
      </c>
    </row>
    <row r="3708" customFormat="false" ht="14.1" hidden="false" customHeight="true" outlineLevel="0" collapsed="false">
      <c r="A3708" s="1115" t="n">
        <v>95410</v>
      </c>
      <c r="B3708" s="1115" t="s">
        <v>169</v>
      </c>
      <c r="C3708" s="1115" t="n">
        <v>95410</v>
      </c>
      <c r="D3708" s="1115" t="s">
        <v>1568</v>
      </c>
      <c r="E3708" s="1115" t="s">
        <v>157</v>
      </c>
      <c r="F3708" s="1115" t="n">
        <v>1760</v>
      </c>
      <c r="G3708" s="1115" t="n">
        <v>95930</v>
      </c>
      <c r="H3708" s="1115" t="s">
        <v>3988</v>
      </c>
      <c r="I3708" s="1115" t="n">
        <v>95430</v>
      </c>
      <c r="J3708" s="1115" t="s">
        <v>1568</v>
      </c>
    </row>
    <row r="3709" customFormat="false" ht="14.1" hidden="false" customHeight="true" outlineLevel="0" collapsed="false">
      <c r="A3709" s="1115" t="n">
        <v>95420</v>
      </c>
      <c r="B3709" s="1115" t="s">
        <v>169</v>
      </c>
      <c r="C3709" s="1115" t="n">
        <v>95420</v>
      </c>
      <c r="D3709" s="1115" t="s">
        <v>1568</v>
      </c>
      <c r="E3709" s="1115" t="s">
        <v>3989</v>
      </c>
      <c r="F3709" s="1115" t="n">
        <v>97625</v>
      </c>
      <c r="G3709" s="1115" t="n">
        <v>95940</v>
      </c>
      <c r="H3709" s="1115" t="s">
        <v>3931</v>
      </c>
      <c r="I3709" s="1115" t="n">
        <v>95440</v>
      </c>
      <c r="J3709" s="1115" t="s">
        <v>1568</v>
      </c>
    </row>
    <row r="3710" customFormat="false" ht="14.1" hidden="false" customHeight="true" outlineLevel="0" collapsed="false">
      <c r="A3710" s="1115" t="n">
        <v>95430</v>
      </c>
      <c r="B3710" s="1115" t="s">
        <v>169</v>
      </c>
      <c r="C3710" s="1115" t="n">
        <v>95430</v>
      </c>
      <c r="D3710" s="1115" t="s">
        <v>1568</v>
      </c>
      <c r="E3710" s="1115" t="s">
        <v>2378</v>
      </c>
      <c r="F3710" s="1115" t="n">
        <v>31930</v>
      </c>
      <c r="G3710" s="1115" t="n">
        <v>95950</v>
      </c>
      <c r="H3710" s="1115" t="s">
        <v>2404</v>
      </c>
      <c r="I3710" s="1115" t="n">
        <v>95450</v>
      </c>
      <c r="J3710" s="1115" t="s">
        <v>1568</v>
      </c>
    </row>
    <row r="3711" customFormat="false" ht="14.1" hidden="false" customHeight="true" outlineLevel="0" collapsed="false">
      <c r="A3711" s="1115" t="n">
        <v>95440</v>
      </c>
      <c r="B3711" s="1115" t="s">
        <v>169</v>
      </c>
      <c r="C3711" s="1115" t="n">
        <v>95440</v>
      </c>
      <c r="D3711" s="1115" t="s">
        <v>1568</v>
      </c>
      <c r="E3711" s="1115" t="s">
        <v>3983</v>
      </c>
      <c r="F3711" s="1115" t="n">
        <v>95335</v>
      </c>
      <c r="G3711" s="1115" t="n">
        <v>95970</v>
      </c>
      <c r="H3711" s="1115" t="s">
        <v>3990</v>
      </c>
      <c r="I3711" s="1115" t="n">
        <v>95460</v>
      </c>
      <c r="J3711" s="1115" t="s">
        <v>1568</v>
      </c>
    </row>
    <row r="3712" customFormat="false" ht="14.1" hidden="false" customHeight="true" outlineLevel="0" collapsed="false">
      <c r="A3712" s="1115" t="n">
        <v>95450</v>
      </c>
      <c r="B3712" s="1115" t="s">
        <v>169</v>
      </c>
      <c r="C3712" s="1115" t="n">
        <v>95450</v>
      </c>
      <c r="D3712" s="1115" t="s">
        <v>1568</v>
      </c>
      <c r="E3712" s="1115" t="s">
        <v>3874</v>
      </c>
      <c r="F3712" s="1115" t="n">
        <v>83660</v>
      </c>
      <c r="G3712" s="1115" t="n">
        <v>95990</v>
      </c>
      <c r="H3712" s="1115" t="s">
        <v>2735</v>
      </c>
      <c r="I3712" s="1115" t="n">
        <v>95470</v>
      </c>
      <c r="J3712" s="1115" t="s">
        <v>1568</v>
      </c>
    </row>
    <row r="3713" customFormat="false" ht="14.1" hidden="false" customHeight="true" outlineLevel="0" collapsed="false">
      <c r="A3713" s="1115" t="n">
        <v>95460</v>
      </c>
      <c r="B3713" s="1115" t="s">
        <v>169</v>
      </c>
      <c r="C3713" s="1115" t="n">
        <v>95460</v>
      </c>
      <c r="D3713" s="1115" t="s">
        <v>1568</v>
      </c>
      <c r="E3713" s="1115" t="s">
        <v>3798</v>
      </c>
      <c r="F3713" s="1115" t="n">
        <v>79820</v>
      </c>
      <c r="G3713" s="1115" t="n">
        <v>96007</v>
      </c>
      <c r="H3713" s="1115" t="s">
        <v>928</v>
      </c>
      <c r="I3713" s="1115" t="n">
        <v>95490</v>
      </c>
      <c r="J3713" s="1115" t="s">
        <v>1568</v>
      </c>
    </row>
    <row r="3714" customFormat="false" ht="14.1" hidden="false" customHeight="true" outlineLevel="0" collapsed="false">
      <c r="A3714" s="1115" t="n">
        <v>95470</v>
      </c>
      <c r="B3714" s="1115" t="s">
        <v>169</v>
      </c>
      <c r="C3714" s="1115" t="n">
        <v>95470</v>
      </c>
      <c r="D3714" s="1115" t="s">
        <v>1568</v>
      </c>
      <c r="E3714" s="1115" t="s">
        <v>3943</v>
      </c>
      <c r="F3714" s="1115" t="n">
        <v>90470</v>
      </c>
      <c r="G3714" s="1115" t="n">
        <v>96100</v>
      </c>
      <c r="H3714" s="1115" t="s">
        <v>928</v>
      </c>
      <c r="I3714" s="1115" t="n">
        <v>95500</v>
      </c>
      <c r="J3714" s="1115" t="s">
        <v>1568</v>
      </c>
    </row>
    <row r="3715" customFormat="false" ht="14.1" hidden="false" customHeight="true" outlineLevel="0" collapsed="false">
      <c r="A3715" s="1115" t="n">
        <v>95490</v>
      </c>
      <c r="B3715" s="1115" t="s">
        <v>169</v>
      </c>
      <c r="C3715" s="1115" t="n">
        <v>95490</v>
      </c>
      <c r="D3715" s="1115" t="s">
        <v>1568</v>
      </c>
      <c r="E3715" s="1115" t="s">
        <v>1602</v>
      </c>
      <c r="F3715" s="1115" t="n">
        <v>78100</v>
      </c>
      <c r="G3715" s="1115" t="n">
        <v>96200</v>
      </c>
      <c r="H3715" s="1115" t="s">
        <v>928</v>
      </c>
      <c r="I3715" s="1115" t="n">
        <v>95520</v>
      </c>
      <c r="J3715" s="1115" t="s">
        <v>1568</v>
      </c>
    </row>
    <row r="3716" customFormat="false" ht="14.1" hidden="false" customHeight="true" outlineLevel="0" collapsed="false">
      <c r="A3716" s="1115" t="n">
        <v>95500</v>
      </c>
      <c r="B3716" s="1115" t="s">
        <v>169</v>
      </c>
      <c r="C3716" s="1115" t="n">
        <v>95500</v>
      </c>
      <c r="D3716" s="1115" t="s">
        <v>1568</v>
      </c>
      <c r="E3716" s="1115" t="s">
        <v>1602</v>
      </c>
      <c r="F3716" s="1115" t="n">
        <v>78200</v>
      </c>
      <c r="G3716" s="1115" t="n">
        <v>96300</v>
      </c>
      <c r="H3716" s="1115" t="s">
        <v>928</v>
      </c>
      <c r="I3716" s="1115" t="n">
        <v>95530</v>
      </c>
      <c r="J3716" s="1115" t="s">
        <v>1568</v>
      </c>
    </row>
    <row r="3717" customFormat="false" ht="14.1" hidden="false" customHeight="true" outlineLevel="0" collapsed="false">
      <c r="A3717" s="1115" t="n">
        <v>95520</v>
      </c>
      <c r="B3717" s="1115" t="s">
        <v>169</v>
      </c>
      <c r="C3717" s="1115" t="n">
        <v>95520</v>
      </c>
      <c r="D3717" s="1115" t="s">
        <v>1568</v>
      </c>
      <c r="E3717" s="1115" t="s">
        <v>1602</v>
      </c>
      <c r="F3717" s="1115" t="n">
        <v>78210</v>
      </c>
      <c r="G3717" s="1115" t="n">
        <v>96320</v>
      </c>
      <c r="H3717" s="1115" t="s">
        <v>928</v>
      </c>
      <c r="I3717" s="1115" t="n">
        <v>95540</v>
      </c>
      <c r="J3717" s="1115" t="s">
        <v>1568</v>
      </c>
    </row>
    <row r="3718" customFormat="false" ht="14.1" hidden="false" customHeight="true" outlineLevel="0" collapsed="false">
      <c r="A3718" s="1115" t="n">
        <v>95530</v>
      </c>
      <c r="B3718" s="1115" t="s">
        <v>169</v>
      </c>
      <c r="C3718" s="1115" t="n">
        <v>95530</v>
      </c>
      <c r="D3718" s="1115" t="s">
        <v>1568</v>
      </c>
      <c r="E3718" s="1115" t="s">
        <v>1602</v>
      </c>
      <c r="F3718" s="1115" t="n">
        <v>78300</v>
      </c>
      <c r="G3718" s="1115" t="n">
        <v>96400</v>
      </c>
      <c r="H3718" s="1115" t="s">
        <v>928</v>
      </c>
      <c r="I3718" s="1115" t="n">
        <v>95560</v>
      </c>
      <c r="J3718" s="1115" t="s">
        <v>1568</v>
      </c>
    </row>
    <row r="3719" customFormat="false" ht="14.1" hidden="false" customHeight="true" outlineLevel="0" collapsed="false">
      <c r="A3719" s="1115" t="n">
        <v>95540</v>
      </c>
      <c r="B3719" s="1115" t="s">
        <v>169</v>
      </c>
      <c r="C3719" s="1115" t="n">
        <v>95540</v>
      </c>
      <c r="D3719" s="1115" t="s">
        <v>1568</v>
      </c>
      <c r="E3719" s="1115" t="s">
        <v>1602</v>
      </c>
      <c r="F3719" s="1115" t="n">
        <v>78310</v>
      </c>
      <c r="G3719" s="1115" t="n">
        <v>96420</v>
      </c>
      <c r="H3719" s="1115" t="s">
        <v>928</v>
      </c>
      <c r="I3719" s="1115" t="n">
        <v>95590</v>
      </c>
      <c r="J3719" s="1115" t="s">
        <v>1568</v>
      </c>
    </row>
    <row r="3720" customFormat="false" ht="14.1" hidden="false" customHeight="true" outlineLevel="0" collapsed="false">
      <c r="A3720" s="1115" t="n">
        <v>95560</v>
      </c>
      <c r="B3720" s="1115" t="s">
        <v>169</v>
      </c>
      <c r="C3720" s="1115" t="n">
        <v>95560</v>
      </c>
      <c r="D3720" s="1115" t="s">
        <v>1568</v>
      </c>
      <c r="E3720" s="1115" t="s">
        <v>1602</v>
      </c>
      <c r="F3720" s="1115" t="n">
        <v>78400</v>
      </c>
      <c r="G3720" s="1115" t="n">
        <v>96440</v>
      </c>
      <c r="H3720" s="1115" t="s">
        <v>928</v>
      </c>
      <c r="I3720" s="1115" t="n">
        <v>95600</v>
      </c>
      <c r="J3720" s="1115" t="s">
        <v>1637</v>
      </c>
    </row>
    <row r="3721" customFormat="false" ht="14.1" hidden="false" customHeight="true" outlineLevel="0" collapsed="false">
      <c r="A3721" s="1115" t="n">
        <v>95590</v>
      </c>
      <c r="B3721" s="1115" t="s">
        <v>169</v>
      </c>
      <c r="C3721" s="1115" t="n">
        <v>95590</v>
      </c>
      <c r="D3721" s="1115" t="s">
        <v>1568</v>
      </c>
      <c r="E3721" s="1115" t="s">
        <v>1602</v>
      </c>
      <c r="F3721" s="1115" t="n">
        <v>78500</v>
      </c>
      <c r="G3721" s="1115" t="n">
        <v>96500</v>
      </c>
      <c r="H3721" s="1115" t="s">
        <v>928</v>
      </c>
      <c r="I3721" s="1115" t="n">
        <v>95610</v>
      </c>
      <c r="J3721" s="1115" t="s">
        <v>1637</v>
      </c>
    </row>
    <row r="3722" customFormat="false" ht="14.1" hidden="false" customHeight="true" outlineLevel="0" collapsed="false">
      <c r="A3722" s="1115" t="n">
        <v>95600</v>
      </c>
      <c r="B3722" s="1115" t="s">
        <v>170</v>
      </c>
      <c r="C3722" s="1115" t="n">
        <v>95600</v>
      </c>
      <c r="D3722" s="1115" t="s">
        <v>1637</v>
      </c>
      <c r="E3722" s="1115" t="s">
        <v>1602</v>
      </c>
      <c r="F3722" s="1115" t="n">
        <v>78610</v>
      </c>
      <c r="G3722" s="1115" t="n">
        <v>96600</v>
      </c>
      <c r="H3722" s="1115" t="s">
        <v>928</v>
      </c>
      <c r="I3722" s="1115" t="n">
        <v>95620</v>
      </c>
      <c r="J3722" s="1115" t="s">
        <v>1637</v>
      </c>
    </row>
    <row r="3723" customFormat="false" ht="14.1" hidden="false" customHeight="true" outlineLevel="0" collapsed="false">
      <c r="A3723" s="1115" t="n">
        <v>95610</v>
      </c>
      <c r="B3723" s="1115" t="s">
        <v>170</v>
      </c>
      <c r="C3723" s="1115" t="n">
        <v>95610</v>
      </c>
      <c r="D3723" s="1115" t="s">
        <v>2142</v>
      </c>
      <c r="E3723" s="1115" t="s">
        <v>1602</v>
      </c>
      <c r="F3723" s="1115" t="n">
        <v>78710</v>
      </c>
      <c r="G3723" s="1115" t="n">
        <v>96700</v>
      </c>
      <c r="H3723" s="1115" t="s">
        <v>928</v>
      </c>
      <c r="I3723" s="1115" t="n">
        <v>95630</v>
      </c>
      <c r="J3723" s="1115" t="s">
        <v>1637</v>
      </c>
    </row>
    <row r="3724" customFormat="false" ht="14.1" hidden="false" customHeight="true" outlineLevel="0" collapsed="false">
      <c r="A3724" s="1115" t="n">
        <v>95620</v>
      </c>
      <c r="B3724" s="1115" t="s">
        <v>170</v>
      </c>
      <c r="C3724" s="1115" t="n">
        <v>95620</v>
      </c>
      <c r="D3724" s="1115" t="s">
        <v>718</v>
      </c>
      <c r="E3724" s="1115" t="s">
        <v>1602</v>
      </c>
      <c r="F3724" s="1115" t="n">
        <v>78800</v>
      </c>
      <c r="G3724" s="1115" t="n">
        <v>96800</v>
      </c>
      <c r="H3724" s="1115" t="s">
        <v>928</v>
      </c>
      <c r="I3724" s="1115" t="n">
        <v>95635</v>
      </c>
      <c r="J3724" s="1115" t="s">
        <v>1637</v>
      </c>
    </row>
    <row r="3725" customFormat="false" ht="14.1" hidden="false" customHeight="true" outlineLevel="0" collapsed="false">
      <c r="A3725" s="1115" t="n">
        <v>95630</v>
      </c>
      <c r="B3725" s="1115" t="s">
        <v>170</v>
      </c>
      <c r="C3725" s="1115" t="n">
        <v>95630</v>
      </c>
      <c r="D3725" s="1115" t="s">
        <v>3681</v>
      </c>
      <c r="E3725" s="1115" t="s">
        <v>1602</v>
      </c>
      <c r="F3725" s="1115" t="n">
        <v>78850</v>
      </c>
      <c r="G3725" s="1115" t="n">
        <v>96900</v>
      </c>
      <c r="H3725" s="1115" t="s">
        <v>3785</v>
      </c>
      <c r="I3725" s="1115" t="n">
        <v>95640</v>
      </c>
      <c r="J3725" s="1115" t="s">
        <v>1326</v>
      </c>
    </row>
    <row r="3726" customFormat="false" ht="14.1" hidden="false" customHeight="true" outlineLevel="0" collapsed="false">
      <c r="A3726" s="1115" t="n">
        <v>95635</v>
      </c>
      <c r="B3726" s="1115" t="s">
        <v>170</v>
      </c>
      <c r="C3726" s="1115" t="n">
        <v>95635</v>
      </c>
      <c r="D3726" s="1115" t="s">
        <v>2319</v>
      </c>
      <c r="E3726" s="1115" t="s">
        <v>1602</v>
      </c>
      <c r="F3726" s="1115" t="n">
        <v>78900</v>
      </c>
      <c r="G3726" s="1115" t="n">
        <v>96910</v>
      </c>
      <c r="H3726" s="1115" t="s">
        <v>928</v>
      </c>
      <c r="I3726" s="1115" t="n">
        <v>95645</v>
      </c>
      <c r="J3726" s="1115" t="s">
        <v>1326</v>
      </c>
    </row>
    <row r="3727" customFormat="false" ht="14.1" hidden="false" customHeight="true" outlineLevel="0" collapsed="false">
      <c r="A3727" s="1115" t="n">
        <v>95640</v>
      </c>
      <c r="B3727" s="1115" t="s">
        <v>170</v>
      </c>
      <c r="C3727" s="1115" t="n">
        <v>95640</v>
      </c>
      <c r="D3727" s="1115" t="s">
        <v>2046</v>
      </c>
      <c r="E3727" s="1115" t="s">
        <v>1604</v>
      </c>
      <c r="F3727" s="1115" t="n">
        <v>73200</v>
      </c>
      <c r="G3727" s="1115" t="n">
        <v>96930</v>
      </c>
      <c r="H3727" s="1115" t="s">
        <v>3287</v>
      </c>
      <c r="I3727" s="1115" t="n">
        <v>95650</v>
      </c>
      <c r="J3727" s="1115" t="s">
        <v>1326</v>
      </c>
    </row>
    <row r="3728" customFormat="false" ht="14.1" hidden="false" customHeight="true" outlineLevel="0" collapsed="false">
      <c r="A3728" s="1115" t="n">
        <v>95645</v>
      </c>
      <c r="B3728" s="1115" t="s">
        <v>170</v>
      </c>
      <c r="C3728" s="1115" t="n">
        <v>95645</v>
      </c>
      <c r="D3728" s="1115" t="s">
        <v>3962</v>
      </c>
      <c r="E3728" s="1115" t="s">
        <v>3140</v>
      </c>
      <c r="F3728" s="1115" t="n">
        <v>52810</v>
      </c>
      <c r="G3728" s="1115" t="n">
        <v>96960</v>
      </c>
      <c r="H3728" s="1115" t="s">
        <v>928</v>
      </c>
      <c r="I3728" s="1115" t="n">
        <v>95655</v>
      </c>
      <c r="J3728" s="1115" t="s">
        <v>1326</v>
      </c>
    </row>
    <row r="3729" customFormat="false" ht="14.1" hidden="false" customHeight="true" outlineLevel="0" collapsed="false">
      <c r="A3729" s="1115" t="n">
        <v>95650</v>
      </c>
      <c r="B3729" s="1115" t="s">
        <v>170</v>
      </c>
      <c r="C3729" s="1115" t="n">
        <v>95650</v>
      </c>
      <c r="D3729" s="1115" t="s">
        <v>3618</v>
      </c>
      <c r="E3729" s="1115" t="s">
        <v>3256</v>
      </c>
      <c r="F3729" s="1115" t="n">
        <v>58110</v>
      </c>
      <c r="G3729" s="1115" t="n">
        <v>97110</v>
      </c>
      <c r="H3729" s="1115" t="s">
        <v>3704</v>
      </c>
      <c r="I3729" s="1115" t="n">
        <v>95660</v>
      </c>
      <c r="J3729" s="1115" t="s">
        <v>1326</v>
      </c>
    </row>
    <row r="3730" customFormat="false" ht="14.1" hidden="false" customHeight="true" outlineLevel="0" collapsed="false">
      <c r="A3730" s="1115" t="n">
        <v>95655</v>
      </c>
      <c r="B3730" s="1115" t="s">
        <v>170</v>
      </c>
      <c r="C3730" s="1115" t="n">
        <v>95655</v>
      </c>
      <c r="D3730" s="1115" t="s">
        <v>1178</v>
      </c>
      <c r="E3730" s="1115" t="s">
        <v>3838</v>
      </c>
      <c r="F3730" s="1115" t="n">
        <v>82315</v>
      </c>
      <c r="G3730" s="1115" t="n">
        <v>97130</v>
      </c>
      <c r="H3730" s="1115" t="s">
        <v>1715</v>
      </c>
      <c r="I3730" s="1115" t="n">
        <v>95660</v>
      </c>
      <c r="J3730" s="1115" t="s">
        <v>1326</v>
      </c>
    </row>
    <row r="3731" customFormat="false" ht="14.1" hidden="false" customHeight="true" outlineLevel="0" collapsed="false">
      <c r="A3731" s="1115" t="n">
        <v>95660</v>
      </c>
      <c r="B3731" s="1115" t="s">
        <v>170</v>
      </c>
      <c r="C3731" s="1115" t="n">
        <v>95660</v>
      </c>
      <c r="D3731" s="1115" t="s">
        <v>3577</v>
      </c>
      <c r="E3731" s="1115" t="s">
        <v>3662</v>
      </c>
      <c r="F3731" s="1115" t="n">
        <v>71690</v>
      </c>
      <c r="G3731" s="1115" t="n">
        <v>97140</v>
      </c>
      <c r="H3731" s="1115" t="s">
        <v>3242</v>
      </c>
      <c r="I3731" s="1115" t="n">
        <v>95665</v>
      </c>
      <c r="J3731" s="1115" t="s">
        <v>1326</v>
      </c>
    </row>
    <row r="3732" customFormat="false" ht="14.1" hidden="false" customHeight="true" outlineLevel="0" collapsed="false">
      <c r="A3732" s="1115" t="n">
        <v>95660</v>
      </c>
      <c r="B3732" s="1115" t="s">
        <v>170</v>
      </c>
      <c r="C3732" s="1115" t="n">
        <v>95660</v>
      </c>
      <c r="D3732" s="1115" t="s">
        <v>2235</v>
      </c>
      <c r="E3732" s="1115" t="s">
        <v>3642</v>
      </c>
      <c r="F3732" s="1115" t="n">
        <v>71150</v>
      </c>
      <c r="G3732" s="1115" t="n">
        <v>97145</v>
      </c>
      <c r="H3732" s="1115" t="s">
        <v>3952</v>
      </c>
      <c r="I3732" s="1115" t="n">
        <v>95665</v>
      </c>
      <c r="J3732" s="1115" t="s">
        <v>1326</v>
      </c>
    </row>
    <row r="3733" customFormat="false" ht="14.1" hidden="false" customHeight="true" outlineLevel="0" collapsed="false">
      <c r="A3733" s="1115" t="n">
        <v>95665</v>
      </c>
      <c r="B3733" s="1115" t="s">
        <v>170</v>
      </c>
      <c r="C3733" s="1115" t="n">
        <v>95665</v>
      </c>
      <c r="D3733" s="1115" t="s">
        <v>3594</v>
      </c>
      <c r="E3733" s="1115" t="s">
        <v>2062</v>
      </c>
      <c r="F3733" s="1115" t="n">
        <v>23440</v>
      </c>
      <c r="G3733" s="1115" t="n">
        <v>97160</v>
      </c>
      <c r="H3733" s="1115" t="s">
        <v>3548</v>
      </c>
      <c r="I3733" s="1115" t="n">
        <v>95667</v>
      </c>
      <c r="J3733" s="1115" t="s">
        <v>1326</v>
      </c>
    </row>
    <row r="3734" customFormat="false" ht="14.1" hidden="false" customHeight="true" outlineLevel="0" collapsed="false">
      <c r="A3734" s="1115" t="n">
        <v>95665</v>
      </c>
      <c r="B3734" s="1115" t="s">
        <v>170</v>
      </c>
      <c r="C3734" s="1115" t="n">
        <v>95665</v>
      </c>
      <c r="D3734" s="1115" t="s">
        <v>3971</v>
      </c>
      <c r="E3734" s="1115" t="s">
        <v>2094</v>
      </c>
      <c r="F3734" s="1115" t="n">
        <v>25210</v>
      </c>
      <c r="G3734" s="1115" t="n">
        <v>97170</v>
      </c>
      <c r="H3734" s="1115" t="s">
        <v>1983</v>
      </c>
      <c r="I3734" s="1115" t="n">
        <v>95670</v>
      </c>
      <c r="J3734" s="1115" t="s">
        <v>1326</v>
      </c>
    </row>
    <row r="3735" customFormat="false" ht="14.1" hidden="false" customHeight="true" outlineLevel="0" collapsed="false">
      <c r="A3735" s="1115" t="n">
        <v>95667</v>
      </c>
      <c r="B3735" s="1115" t="s">
        <v>170</v>
      </c>
      <c r="C3735" s="1115" t="n">
        <v>95667</v>
      </c>
      <c r="D3735" s="1115" t="s">
        <v>3647</v>
      </c>
      <c r="E3735" s="1115" t="s">
        <v>3889</v>
      </c>
      <c r="F3735" s="1115" t="n">
        <v>85110</v>
      </c>
      <c r="G3735" s="1115" t="n">
        <v>97190</v>
      </c>
      <c r="H3735" s="1115" t="s">
        <v>3590</v>
      </c>
      <c r="I3735" s="1115" t="n">
        <v>95675</v>
      </c>
      <c r="J3735" s="1115" t="s">
        <v>1326</v>
      </c>
    </row>
    <row r="3736" customFormat="false" ht="14.1" hidden="false" customHeight="true" outlineLevel="0" collapsed="false">
      <c r="A3736" s="1115" t="n">
        <v>95670</v>
      </c>
      <c r="B3736" s="1115" t="s">
        <v>170</v>
      </c>
      <c r="C3736" s="1115" t="n">
        <v>95670</v>
      </c>
      <c r="D3736" s="1115" t="s">
        <v>3539</v>
      </c>
      <c r="E3736" s="1115" t="s">
        <v>2163</v>
      </c>
      <c r="F3736" s="1115" t="n">
        <v>26740</v>
      </c>
      <c r="G3736" s="1115" t="n">
        <v>97220</v>
      </c>
      <c r="H3736" s="1115" t="s">
        <v>3858</v>
      </c>
      <c r="I3736" s="1115" t="n">
        <v>95680</v>
      </c>
      <c r="J3736" s="1115" t="s">
        <v>1326</v>
      </c>
    </row>
    <row r="3737" customFormat="false" ht="14.1" hidden="false" customHeight="true" outlineLevel="0" collapsed="false">
      <c r="A3737" s="1115" t="n">
        <v>95675</v>
      </c>
      <c r="B3737" s="1115" t="s">
        <v>170</v>
      </c>
      <c r="C3737" s="1115" t="n">
        <v>95675</v>
      </c>
      <c r="D3737" s="1115" t="s">
        <v>3164</v>
      </c>
      <c r="E3737" s="1115" t="s">
        <v>3972</v>
      </c>
      <c r="F3737" s="1115" t="n">
        <v>93680</v>
      </c>
      <c r="G3737" s="1115" t="n">
        <v>97240</v>
      </c>
      <c r="H3737" s="1115" t="s">
        <v>3871</v>
      </c>
      <c r="I3737" s="1115" t="n">
        <v>95690</v>
      </c>
      <c r="J3737" s="1115" t="s">
        <v>1326</v>
      </c>
    </row>
    <row r="3738" customFormat="false" ht="14.1" hidden="false" customHeight="true" outlineLevel="0" collapsed="false">
      <c r="A3738" s="1115" t="n">
        <v>95680</v>
      </c>
      <c r="B3738" s="1115" t="s">
        <v>170</v>
      </c>
      <c r="C3738" s="1115" t="n">
        <v>95680</v>
      </c>
      <c r="D3738" s="1115" t="s">
        <v>3009</v>
      </c>
      <c r="E3738" s="1115" t="s">
        <v>3428</v>
      </c>
      <c r="F3738" s="1115" t="n">
        <v>62540</v>
      </c>
      <c r="G3738" s="1115" t="n">
        <v>97250</v>
      </c>
      <c r="H3738" s="1115" t="s">
        <v>3674</v>
      </c>
      <c r="I3738" s="1115" t="n">
        <v>95695</v>
      </c>
      <c r="J3738" s="1115" t="s">
        <v>1326</v>
      </c>
    </row>
    <row r="3739" customFormat="false" ht="14.1" hidden="false" customHeight="true" outlineLevel="0" collapsed="false">
      <c r="A3739" s="1115" t="n">
        <v>95690</v>
      </c>
      <c r="B3739" s="1115" t="s">
        <v>170</v>
      </c>
      <c r="C3739" s="1115" t="n">
        <v>95690</v>
      </c>
      <c r="D3739" s="1115" t="s">
        <v>3162</v>
      </c>
      <c r="E3739" s="1115" t="s">
        <v>2097</v>
      </c>
      <c r="F3739" s="1115" t="n">
        <v>25260</v>
      </c>
      <c r="G3739" s="1115" t="n">
        <v>97270</v>
      </c>
      <c r="H3739" s="1115" t="s">
        <v>3736</v>
      </c>
      <c r="I3739" s="1115" t="n">
        <v>95700</v>
      </c>
      <c r="J3739" s="1115" t="s">
        <v>1326</v>
      </c>
    </row>
    <row r="3740" customFormat="false" ht="14.1" hidden="false" customHeight="true" outlineLevel="0" collapsed="false">
      <c r="A3740" s="1115" t="n">
        <v>95695</v>
      </c>
      <c r="B3740" s="1115" t="s">
        <v>170</v>
      </c>
      <c r="C3740" s="1115" t="n">
        <v>95695</v>
      </c>
      <c r="D3740" s="1115" t="s">
        <v>2237</v>
      </c>
      <c r="E3740" s="1115" t="s">
        <v>2493</v>
      </c>
      <c r="F3740" s="1115" t="n">
        <v>34710</v>
      </c>
      <c r="G3740" s="1115" t="n">
        <v>97280</v>
      </c>
      <c r="H3740" s="1115" t="s">
        <v>3928</v>
      </c>
      <c r="I3740" s="1115" t="n">
        <v>95710</v>
      </c>
      <c r="J3740" s="1115" t="s">
        <v>1326</v>
      </c>
    </row>
    <row r="3741" customFormat="false" ht="14.1" hidden="false" customHeight="true" outlineLevel="0" collapsed="false">
      <c r="A3741" s="1115" t="n">
        <v>95700</v>
      </c>
      <c r="B3741" s="1115" t="s">
        <v>170</v>
      </c>
      <c r="C3741" s="1115" t="n">
        <v>95700</v>
      </c>
      <c r="D3741" s="1115" t="s">
        <v>1326</v>
      </c>
      <c r="E3741" s="1115" t="s">
        <v>2494</v>
      </c>
      <c r="F3741" s="1115" t="n">
        <v>34730</v>
      </c>
      <c r="G3741" s="1115" t="n">
        <v>97290</v>
      </c>
      <c r="H3741" s="1115" t="s">
        <v>3147</v>
      </c>
      <c r="I3741" s="1115" t="n">
        <v>95720</v>
      </c>
      <c r="J3741" s="1115" t="s">
        <v>1326</v>
      </c>
    </row>
    <row r="3742" customFormat="false" ht="14.1" hidden="false" customHeight="true" outlineLevel="0" collapsed="false">
      <c r="A3742" s="1115" t="n">
        <v>95710</v>
      </c>
      <c r="B3742" s="1115" t="s">
        <v>170</v>
      </c>
      <c r="C3742" s="1115" t="n">
        <v>95710</v>
      </c>
      <c r="D3742" s="1115" t="s">
        <v>3277</v>
      </c>
      <c r="E3742" s="1115" t="s">
        <v>3574</v>
      </c>
      <c r="F3742" s="1115" t="n">
        <v>66590</v>
      </c>
      <c r="G3742" s="1115" t="n">
        <v>97310</v>
      </c>
      <c r="H3742" s="1115" t="s">
        <v>3502</v>
      </c>
      <c r="I3742" s="1115" t="n">
        <v>95730</v>
      </c>
      <c r="J3742" s="1115" t="s">
        <v>1093</v>
      </c>
    </row>
    <row r="3743" customFormat="false" ht="14.1" hidden="false" customHeight="true" outlineLevel="0" collapsed="false">
      <c r="A3743" s="1115" t="n">
        <v>95720</v>
      </c>
      <c r="B3743" s="1115" t="s">
        <v>170</v>
      </c>
      <c r="C3743" s="1115" t="n">
        <v>95720</v>
      </c>
      <c r="D3743" s="1115" t="s">
        <v>1998</v>
      </c>
      <c r="E3743" s="1115" t="s">
        <v>3014</v>
      </c>
      <c r="F3743" s="1115" t="n">
        <v>49290</v>
      </c>
      <c r="G3743" s="1115" t="n">
        <v>97320</v>
      </c>
      <c r="H3743" s="1115" t="s">
        <v>3145</v>
      </c>
      <c r="I3743" s="1115" t="n">
        <v>95750</v>
      </c>
      <c r="J3743" s="1115" t="s">
        <v>1093</v>
      </c>
    </row>
    <row r="3744" customFormat="false" ht="14.1" hidden="false" customHeight="true" outlineLevel="0" collapsed="false">
      <c r="A3744" s="1115" t="n">
        <v>95730</v>
      </c>
      <c r="B3744" s="1115" t="s">
        <v>170</v>
      </c>
      <c r="C3744" s="1115" t="n">
        <v>95730</v>
      </c>
      <c r="D3744" s="1115" t="s">
        <v>3986</v>
      </c>
      <c r="E3744" s="1115" t="s">
        <v>2874</v>
      </c>
      <c r="F3744" s="1115" t="n">
        <v>43660</v>
      </c>
      <c r="G3744" s="1115" t="n">
        <v>97330</v>
      </c>
      <c r="H3744" s="1115" t="s">
        <v>3696</v>
      </c>
      <c r="I3744" s="1115" t="n">
        <v>95760</v>
      </c>
      <c r="J3744" s="1115" t="s">
        <v>1093</v>
      </c>
    </row>
    <row r="3745" customFormat="false" ht="14.1" hidden="false" customHeight="true" outlineLevel="0" collapsed="false">
      <c r="A3745" s="1115" t="n">
        <v>95750</v>
      </c>
      <c r="B3745" s="1115" t="s">
        <v>170</v>
      </c>
      <c r="C3745" s="1115" t="n">
        <v>95750</v>
      </c>
      <c r="D3745" s="1115" t="s">
        <v>2112</v>
      </c>
      <c r="E3745" s="1115" t="s">
        <v>2668</v>
      </c>
      <c r="F3745" s="1115" t="n">
        <v>38920</v>
      </c>
      <c r="G3745" s="1115" t="n">
        <v>97335</v>
      </c>
      <c r="H3745" s="1115" t="s">
        <v>3762</v>
      </c>
      <c r="I3745" s="1115" t="n">
        <v>95770</v>
      </c>
      <c r="J3745" s="1115" t="s">
        <v>1093</v>
      </c>
    </row>
    <row r="3746" customFormat="false" ht="14.1" hidden="false" customHeight="true" outlineLevel="0" collapsed="false">
      <c r="A3746" s="1115" t="n">
        <v>95760</v>
      </c>
      <c r="B3746" s="1115" t="s">
        <v>170</v>
      </c>
      <c r="C3746" s="1115" t="n">
        <v>95760</v>
      </c>
      <c r="D3746" s="1115" t="s">
        <v>2551</v>
      </c>
      <c r="E3746" s="1115" t="s">
        <v>3850</v>
      </c>
      <c r="F3746" s="1115" t="n">
        <v>82615</v>
      </c>
      <c r="G3746" s="1115" t="n">
        <v>97340</v>
      </c>
      <c r="H3746" s="1115" t="s">
        <v>3163</v>
      </c>
      <c r="I3746" s="1115" t="n">
        <v>95780</v>
      </c>
      <c r="J3746" s="1115" t="s">
        <v>1093</v>
      </c>
    </row>
    <row r="3747" customFormat="false" ht="14.1" hidden="false" customHeight="true" outlineLevel="0" collapsed="false">
      <c r="A3747" s="1115" t="n">
        <v>95770</v>
      </c>
      <c r="B3747" s="1115" t="s">
        <v>170</v>
      </c>
      <c r="C3747" s="1115" t="n">
        <v>95770</v>
      </c>
      <c r="D3747" s="1115" t="s">
        <v>2895</v>
      </c>
      <c r="E3747" s="1115" t="s">
        <v>2896</v>
      </c>
      <c r="F3747" s="1115" t="n">
        <v>44240</v>
      </c>
      <c r="G3747" s="1115" t="n">
        <v>97350</v>
      </c>
      <c r="H3747" s="1115" t="s">
        <v>2120</v>
      </c>
      <c r="I3747" s="1115" t="n">
        <v>95790</v>
      </c>
      <c r="J3747" s="1115" t="s">
        <v>1093</v>
      </c>
    </row>
    <row r="3748" customFormat="false" ht="14.1" hidden="false" customHeight="true" outlineLevel="0" collapsed="false">
      <c r="A3748" s="1115" t="n">
        <v>95780</v>
      </c>
      <c r="B3748" s="1115" t="s">
        <v>170</v>
      </c>
      <c r="C3748" s="1115" t="n">
        <v>95780</v>
      </c>
      <c r="D3748" s="1115" t="s">
        <v>3861</v>
      </c>
      <c r="E3748" s="1115" t="s">
        <v>3910</v>
      </c>
      <c r="F3748" s="1115" t="n">
        <v>86680</v>
      </c>
      <c r="G3748" s="1115" t="n">
        <v>97360</v>
      </c>
      <c r="H3748" s="1115" t="s">
        <v>3530</v>
      </c>
      <c r="I3748" s="1115" t="n">
        <v>95800</v>
      </c>
      <c r="J3748" s="1115" t="s">
        <v>1093</v>
      </c>
    </row>
    <row r="3749" customFormat="false" ht="14.1" hidden="false" customHeight="true" outlineLevel="0" collapsed="false">
      <c r="A3749" s="1115" t="n">
        <v>95790</v>
      </c>
      <c r="B3749" s="1115" t="s">
        <v>170</v>
      </c>
      <c r="C3749" s="1115" t="n">
        <v>95790</v>
      </c>
      <c r="D3749" s="1115" t="s">
        <v>2893</v>
      </c>
      <c r="E3749" s="1115" t="s">
        <v>2363</v>
      </c>
      <c r="F3749" s="1115" t="n">
        <v>31610</v>
      </c>
      <c r="G3749" s="1115" t="n">
        <v>97370</v>
      </c>
      <c r="H3749" s="1115" t="s">
        <v>3974</v>
      </c>
      <c r="I3749" s="1115" t="n">
        <v>95810</v>
      </c>
      <c r="J3749" s="1115" t="s">
        <v>1093</v>
      </c>
    </row>
    <row r="3750" customFormat="false" ht="14.1" hidden="false" customHeight="true" outlineLevel="0" collapsed="false">
      <c r="A3750" s="1115" t="n">
        <v>95800</v>
      </c>
      <c r="B3750" s="1115" t="s">
        <v>170</v>
      </c>
      <c r="C3750" s="1115" t="n">
        <v>95800</v>
      </c>
      <c r="D3750" s="1115" t="s">
        <v>3845</v>
      </c>
      <c r="E3750" s="1115" t="s">
        <v>3566</v>
      </c>
      <c r="F3750" s="1115" t="n">
        <v>66430</v>
      </c>
      <c r="G3750" s="1115" t="n">
        <v>97390</v>
      </c>
      <c r="H3750" s="1115" t="s">
        <v>2402</v>
      </c>
      <c r="I3750" s="1115" t="n">
        <v>95830</v>
      </c>
      <c r="J3750" s="1115" t="s">
        <v>1093</v>
      </c>
    </row>
    <row r="3751" customFormat="false" ht="14.1" hidden="false" customHeight="true" outlineLevel="0" collapsed="false">
      <c r="A3751" s="1115" t="n">
        <v>95810</v>
      </c>
      <c r="B3751" s="1115" t="s">
        <v>170</v>
      </c>
      <c r="C3751" s="1115" t="n">
        <v>95810</v>
      </c>
      <c r="D3751" s="1115" t="s">
        <v>3812</v>
      </c>
      <c r="E3751" s="1115" t="s">
        <v>3024</v>
      </c>
      <c r="F3751" s="1115" t="n">
        <v>49630</v>
      </c>
      <c r="G3751" s="1115" t="n">
        <v>97410</v>
      </c>
      <c r="H3751" s="1115" t="s">
        <v>3613</v>
      </c>
      <c r="I3751" s="1115" t="n">
        <v>95840</v>
      </c>
      <c r="J3751" s="1115" t="s">
        <v>1093</v>
      </c>
    </row>
    <row r="3752" customFormat="false" ht="14.1" hidden="false" customHeight="true" outlineLevel="0" collapsed="false">
      <c r="A3752" s="1115" t="n">
        <v>95830</v>
      </c>
      <c r="B3752" s="1115" t="s">
        <v>170</v>
      </c>
      <c r="C3752" s="1115" t="n">
        <v>95830</v>
      </c>
      <c r="D3752" s="1115" t="s">
        <v>3981</v>
      </c>
      <c r="E3752" s="1115" t="s">
        <v>2573</v>
      </c>
      <c r="F3752" s="1115" t="n">
        <v>36880</v>
      </c>
      <c r="G3752" s="1115" t="n">
        <v>97420</v>
      </c>
      <c r="H3752" s="1115" t="s">
        <v>3015</v>
      </c>
      <c r="I3752" s="1115" t="n">
        <v>95850</v>
      </c>
      <c r="J3752" s="1115" t="s">
        <v>1093</v>
      </c>
    </row>
    <row r="3753" customFormat="false" ht="14.1" hidden="false" customHeight="true" outlineLevel="0" collapsed="false">
      <c r="A3753" s="1115" t="n">
        <v>95840</v>
      </c>
      <c r="B3753" s="1115" t="s">
        <v>170</v>
      </c>
      <c r="C3753" s="1115" t="n">
        <v>95840</v>
      </c>
      <c r="D3753" s="1115" t="s">
        <v>3987</v>
      </c>
      <c r="E3753" s="1115" t="s">
        <v>1824</v>
      </c>
      <c r="F3753" s="1115" t="n">
        <v>17745</v>
      </c>
      <c r="G3753" s="1115" t="n">
        <v>97430</v>
      </c>
      <c r="H3753" s="1115" t="s">
        <v>3909</v>
      </c>
      <c r="I3753" s="1115" t="n">
        <v>95860</v>
      </c>
      <c r="J3753" s="1115" t="s">
        <v>1093</v>
      </c>
    </row>
    <row r="3754" customFormat="false" ht="14.1" hidden="false" customHeight="true" outlineLevel="0" collapsed="false">
      <c r="A3754" s="1115" t="n">
        <v>95850</v>
      </c>
      <c r="B3754" s="1115" t="s">
        <v>170</v>
      </c>
      <c r="C3754" s="1115" t="n">
        <v>95850</v>
      </c>
      <c r="D3754" s="1115" t="s">
        <v>3756</v>
      </c>
      <c r="E3754" s="1115" t="s">
        <v>3216</v>
      </c>
      <c r="F3754" s="1115" t="n">
        <v>54960</v>
      </c>
      <c r="G3754" s="1115" t="n">
        <v>97435</v>
      </c>
      <c r="H3754" s="1115" t="s">
        <v>2069</v>
      </c>
      <c r="I3754" s="1115" t="n">
        <v>95900</v>
      </c>
      <c r="J3754" s="1115" t="s">
        <v>1093</v>
      </c>
    </row>
    <row r="3755" customFormat="false" ht="14.1" hidden="false" customHeight="true" outlineLevel="0" collapsed="false">
      <c r="A3755" s="1115" t="n">
        <v>95860</v>
      </c>
      <c r="B3755" s="1115" t="s">
        <v>170</v>
      </c>
      <c r="C3755" s="1115" t="n">
        <v>95860</v>
      </c>
      <c r="D3755" s="1115" t="s">
        <v>3497</v>
      </c>
      <c r="E3755" s="1115" t="s">
        <v>3104</v>
      </c>
      <c r="F3755" s="1115" t="n">
        <v>51910</v>
      </c>
      <c r="G3755" s="1115" t="n">
        <v>97440</v>
      </c>
      <c r="H3755" s="1115" t="s">
        <v>1558</v>
      </c>
      <c r="I3755" s="1115" t="n">
        <v>95910</v>
      </c>
      <c r="J3755" s="1115" t="s">
        <v>1093</v>
      </c>
    </row>
    <row r="3756" customFormat="false" ht="14.1" hidden="false" customHeight="true" outlineLevel="0" collapsed="false">
      <c r="A3756" s="1115" t="n">
        <v>95900</v>
      </c>
      <c r="B3756" s="1115" t="s">
        <v>170</v>
      </c>
      <c r="C3756" s="1115" t="n">
        <v>95900</v>
      </c>
      <c r="D3756" s="1115" t="s">
        <v>1093</v>
      </c>
      <c r="E3756" s="1115" t="s">
        <v>3649</v>
      </c>
      <c r="F3756" s="1115" t="n">
        <v>71310</v>
      </c>
      <c r="G3756" s="1115" t="n">
        <v>97450</v>
      </c>
      <c r="H3756" s="1115" t="s">
        <v>3964</v>
      </c>
      <c r="I3756" s="1115" t="n">
        <v>95920</v>
      </c>
      <c r="J3756" s="1115" t="s">
        <v>1093</v>
      </c>
    </row>
    <row r="3757" customFormat="false" ht="14.1" hidden="false" customHeight="true" outlineLevel="0" collapsed="false">
      <c r="A3757" s="1115" t="n">
        <v>95910</v>
      </c>
      <c r="B3757" s="1115" t="s">
        <v>170</v>
      </c>
      <c r="C3757" s="1115" t="n">
        <v>95910</v>
      </c>
      <c r="D3757" s="1115" t="s">
        <v>2905</v>
      </c>
      <c r="E3757" s="1115" t="s">
        <v>2746</v>
      </c>
      <c r="F3757" s="1115" t="n">
        <v>41180</v>
      </c>
      <c r="G3757" s="1115" t="n">
        <v>97460</v>
      </c>
      <c r="H3757" s="1115" t="s">
        <v>3480</v>
      </c>
      <c r="I3757" s="1115" t="n">
        <v>95930</v>
      </c>
      <c r="J3757" s="1115" t="s">
        <v>1093</v>
      </c>
    </row>
    <row r="3758" customFormat="false" ht="14.1" hidden="false" customHeight="true" outlineLevel="0" collapsed="false">
      <c r="A3758" s="1115" t="n">
        <v>95920</v>
      </c>
      <c r="B3758" s="1115" t="s">
        <v>170</v>
      </c>
      <c r="C3758" s="1115" t="n">
        <v>95920</v>
      </c>
      <c r="D3758" s="1115" t="s">
        <v>3789</v>
      </c>
      <c r="E3758" s="1115" t="s">
        <v>3482</v>
      </c>
      <c r="F3758" s="1115" t="n">
        <v>63950</v>
      </c>
      <c r="G3758" s="1115" t="n">
        <v>97470</v>
      </c>
      <c r="H3758" s="1115" t="s">
        <v>865</v>
      </c>
      <c r="I3758" s="1115" t="n">
        <v>95940</v>
      </c>
      <c r="J3758" s="1115" t="s">
        <v>1241</v>
      </c>
    </row>
    <row r="3759" customFormat="false" ht="14.1" hidden="false" customHeight="true" outlineLevel="0" collapsed="false">
      <c r="A3759" s="1115" t="n">
        <v>95930</v>
      </c>
      <c r="B3759" s="1115" t="s">
        <v>170</v>
      </c>
      <c r="C3759" s="1115" t="n">
        <v>95930</v>
      </c>
      <c r="D3759" s="1115" t="s">
        <v>3988</v>
      </c>
      <c r="E3759" s="1115" t="s">
        <v>3482</v>
      </c>
      <c r="F3759" s="1115" t="n">
        <v>63950</v>
      </c>
      <c r="G3759" s="1115" t="n">
        <v>97510</v>
      </c>
      <c r="H3759" s="1115" t="s">
        <v>3991</v>
      </c>
      <c r="I3759" s="1115" t="n">
        <v>95950</v>
      </c>
      <c r="J3759" s="1115" t="s">
        <v>1241</v>
      </c>
    </row>
    <row r="3760" customFormat="false" ht="14.1" hidden="false" customHeight="true" outlineLevel="0" collapsed="false">
      <c r="A3760" s="1115" t="n">
        <v>95940</v>
      </c>
      <c r="B3760" s="1115" t="s">
        <v>170</v>
      </c>
      <c r="C3760" s="1115" t="n">
        <v>95940</v>
      </c>
      <c r="D3760" s="1115" t="s">
        <v>3931</v>
      </c>
      <c r="E3760" s="1115" t="s">
        <v>3570</v>
      </c>
      <c r="F3760" s="1115" t="n">
        <v>66520</v>
      </c>
      <c r="G3760" s="1115" t="n">
        <v>97530</v>
      </c>
      <c r="H3760" s="1115" t="s">
        <v>3992</v>
      </c>
      <c r="I3760" s="1115" t="n">
        <v>95970</v>
      </c>
      <c r="J3760" s="1115" t="s">
        <v>1241</v>
      </c>
    </row>
    <row r="3761" customFormat="false" ht="14.1" hidden="false" customHeight="true" outlineLevel="0" collapsed="false">
      <c r="A3761" s="1115" t="n">
        <v>95950</v>
      </c>
      <c r="B3761" s="1115" t="s">
        <v>170</v>
      </c>
      <c r="C3761" s="1115" t="n">
        <v>95950</v>
      </c>
      <c r="D3761" s="1115" t="s">
        <v>2404</v>
      </c>
      <c r="E3761" s="1115" t="s">
        <v>1162</v>
      </c>
      <c r="F3761" s="1115" t="n">
        <v>2880</v>
      </c>
      <c r="G3761" s="1115" t="n">
        <v>97540</v>
      </c>
      <c r="H3761" s="1115" t="s">
        <v>3942</v>
      </c>
      <c r="I3761" s="1115" t="n">
        <v>95990</v>
      </c>
      <c r="J3761" s="1115" t="s">
        <v>1241</v>
      </c>
    </row>
    <row r="3762" customFormat="false" ht="14.1" hidden="false" customHeight="true" outlineLevel="0" collapsed="false">
      <c r="A3762" s="1115" t="n">
        <v>95970</v>
      </c>
      <c r="B3762" s="1115" t="s">
        <v>170</v>
      </c>
      <c r="C3762" s="1115" t="n">
        <v>95970</v>
      </c>
      <c r="D3762" s="1115" t="s">
        <v>3990</v>
      </c>
      <c r="E3762" s="1115" t="s">
        <v>2955</v>
      </c>
      <c r="F3762" s="1115" t="n">
        <v>46140</v>
      </c>
      <c r="G3762" s="1115" t="n">
        <v>97550</v>
      </c>
      <c r="H3762" s="1115" t="s">
        <v>3320</v>
      </c>
      <c r="I3762" s="1115" t="n">
        <v>96007</v>
      </c>
      <c r="J3762" s="1115" t="s">
        <v>928</v>
      </c>
    </row>
    <row r="3763" customFormat="false" ht="14.1" hidden="false" customHeight="true" outlineLevel="0" collapsed="false">
      <c r="A3763" s="1115" t="n">
        <v>95990</v>
      </c>
      <c r="B3763" s="1115" t="s">
        <v>170</v>
      </c>
      <c r="C3763" s="1115" t="n">
        <v>95990</v>
      </c>
      <c r="D3763" s="1115" t="s">
        <v>2735</v>
      </c>
      <c r="E3763" s="1115" t="s">
        <v>3833</v>
      </c>
      <c r="F3763" s="1115" t="n">
        <v>81840</v>
      </c>
      <c r="G3763" s="1115" t="n">
        <v>97560</v>
      </c>
      <c r="H3763" s="1115" t="s">
        <v>2825</v>
      </c>
      <c r="I3763" s="1115" t="n">
        <v>96100</v>
      </c>
      <c r="J3763" s="1115" t="s">
        <v>928</v>
      </c>
    </row>
    <row r="3764" customFormat="false" ht="14.1" hidden="false" customHeight="true" outlineLevel="0" collapsed="false">
      <c r="A3764" s="1115" t="n">
        <v>96007</v>
      </c>
      <c r="B3764" s="1115" t="s">
        <v>170</v>
      </c>
      <c r="C3764" s="1115" t="n">
        <v>96007</v>
      </c>
      <c r="D3764" s="1115" t="s">
        <v>928</v>
      </c>
      <c r="E3764" s="1115" t="s">
        <v>2469</v>
      </c>
      <c r="F3764" s="1115" t="n">
        <v>34270</v>
      </c>
      <c r="G3764" s="1115" t="n">
        <v>97580</v>
      </c>
      <c r="H3764" s="1115" t="s">
        <v>3202</v>
      </c>
      <c r="I3764" s="1115" t="n">
        <v>96200</v>
      </c>
      <c r="J3764" s="1115" t="s">
        <v>928</v>
      </c>
    </row>
    <row r="3765" customFormat="false" ht="14.1" hidden="false" customHeight="true" outlineLevel="0" collapsed="false">
      <c r="A3765" s="1115" t="n">
        <v>96100</v>
      </c>
      <c r="B3765" s="1115" t="s">
        <v>170</v>
      </c>
      <c r="C3765" s="1115" t="n">
        <v>96100</v>
      </c>
      <c r="D3765" s="1115" t="s">
        <v>928</v>
      </c>
      <c r="E3765" s="1115" t="s">
        <v>1608</v>
      </c>
      <c r="F3765" s="1115" t="n">
        <v>21195</v>
      </c>
      <c r="G3765" s="1115" t="n">
        <v>97590</v>
      </c>
      <c r="H3765" s="1115" t="s">
        <v>3673</v>
      </c>
      <c r="I3765" s="1115" t="n">
        <v>96300</v>
      </c>
      <c r="J3765" s="1115" t="s">
        <v>928</v>
      </c>
    </row>
    <row r="3766" customFormat="false" ht="14.1" hidden="false" customHeight="true" outlineLevel="0" collapsed="false">
      <c r="A3766" s="1115" t="n">
        <v>96200</v>
      </c>
      <c r="B3766" s="1115" t="s">
        <v>170</v>
      </c>
      <c r="C3766" s="1115" t="n">
        <v>96200</v>
      </c>
      <c r="D3766" s="1115" t="s">
        <v>928</v>
      </c>
      <c r="E3766" s="1115" t="s">
        <v>3959</v>
      </c>
      <c r="F3766" s="1115" t="n">
        <v>92830</v>
      </c>
      <c r="G3766" s="1115" t="n">
        <v>97610</v>
      </c>
      <c r="H3766" s="1115" t="s">
        <v>3388</v>
      </c>
      <c r="I3766" s="1115" t="n">
        <v>96320</v>
      </c>
      <c r="J3766" s="1115" t="s">
        <v>928</v>
      </c>
    </row>
    <row r="3767" customFormat="false" ht="14.1" hidden="false" customHeight="true" outlineLevel="0" collapsed="false">
      <c r="A3767" s="1115" t="n">
        <v>96300</v>
      </c>
      <c r="B3767" s="1115" t="s">
        <v>170</v>
      </c>
      <c r="C3767" s="1115" t="n">
        <v>96300</v>
      </c>
      <c r="D3767" s="1115" t="s">
        <v>928</v>
      </c>
      <c r="E3767" s="1115" t="s">
        <v>3987</v>
      </c>
      <c r="F3767" s="1115" t="n">
        <v>95840</v>
      </c>
      <c r="G3767" s="1115" t="n">
        <v>97615</v>
      </c>
      <c r="H3767" s="1115" t="s">
        <v>3937</v>
      </c>
      <c r="I3767" s="1115" t="n">
        <v>96400</v>
      </c>
      <c r="J3767" s="1115" t="s">
        <v>928</v>
      </c>
    </row>
    <row r="3768" customFormat="false" ht="14.1" hidden="false" customHeight="true" outlineLevel="0" collapsed="false">
      <c r="A3768" s="1115" t="n">
        <v>96320</v>
      </c>
      <c r="B3768" s="1115" t="s">
        <v>170</v>
      </c>
      <c r="C3768" s="1115" t="n">
        <v>96320</v>
      </c>
      <c r="D3768" s="1115" t="s">
        <v>928</v>
      </c>
      <c r="E3768" s="1115" t="s">
        <v>2787</v>
      </c>
      <c r="F3768" s="1115" t="n">
        <v>41530</v>
      </c>
      <c r="G3768" s="1115" t="n">
        <v>97620</v>
      </c>
      <c r="H3768" s="1115" t="s">
        <v>3993</v>
      </c>
      <c r="I3768" s="1115" t="n">
        <v>96420</v>
      </c>
      <c r="J3768" s="1115" t="s">
        <v>928</v>
      </c>
    </row>
    <row r="3769" customFormat="false" ht="14.1" hidden="false" customHeight="true" outlineLevel="0" collapsed="false">
      <c r="A3769" s="1115" t="n">
        <v>96400</v>
      </c>
      <c r="B3769" s="1115" t="s">
        <v>170</v>
      </c>
      <c r="C3769" s="1115" t="n">
        <v>96400</v>
      </c>
      <c r="D3769" s="1115" t="s">
        <v>928</v>
      </c>
      <c r="E3769" s="1115" t="s">
        <v>2659</v>
      </c>
      <c r="F3769" s="1115" t="n">
        <v>38760</v>
      </c>
      <c r="G3769" s="1115" t="n">
        <v>97625</v>
      </c>
      <c r="H3769" s="1115" t="s">
        <v>3989</v>
      </c>
      <c r="I3769" s="1115" t="n">
        <v>96440</v>
      </c>
      <c r="J3769" s="1115" t="s">
        <v>928</v>
      </c>
    </row>
    <row r="3770" customFormat="false" ht="14.1" hidden="false" customHeight="true" outlineLevel="0" collapsed="false">
      <c r="A3770" s="1115" t="n">
        <v>96420</v>
      </c>
      <c r="B3770" s="1115" t="s">
        <v>170</v>
      </c>
      <c r="C3770" s="1115" t="n">
        <v>96420</v>
      </c>
      <c r="D3770" s="1115" t="s">
        <v>928</v>
      </c>
      <c r="E3770" s="1115" t="s">
        <v>2657</v>
      </c>
      <c r="F3770" s="1115" t="n">
        <v>38750</v>
      </c>
      <c r="G3770" s="1115" t="n">
        <v>97630</v>
      </c>
      <c r="H3770" s="1115" t="s">
        <v>3516</v>
      </c>
      <c r="I3770" s="1115" t="n">
        <v>96500</v>
      </c>
      <c r="J3770" s="1115" t="s">
        <v>928</v>
      </c>
    </row>
    <row r="3771" customFormat="false" ht="14.1" hidden="false" customHeight="true" outlineLevel="0" collapsed="false">
      <c r="A3771" s="1115" t="n">
        <v>96440</v>
      </c>
      <c r="B3771" s="1115" t="s">
        <v>170</v>
      </c>
      <c r="C3771" s="1115" t="n">
        <v>96440</v>
      </c>
      <c r="D3771" s="1115" t="s">
        <v>928</v>
      </c>
      <c r="E3771" s="1115" t="s">
        <v>3757</v>
      </c>
      <c r="F3771" s="1115" t="n">
        <v>77120</v>
      </c>
      <c r="G3771" s="1115" t="n">
        <v>97635</v>
      </c>
      <c r="H3771" s="1115" t="s">
        <v>2061</v>
      </c>
      <c r="I3771" s="1115" t="n">
        <v>96600</v>
      </c>
      <c r="J3771" s="1115" t="s">
        <v>928</v>
      </c>
    </row>
    <row r="3772" customFormat="false" ht="14.1" hidden="false" customHeight="true" outlineLevel="0" collapsed="false">
      <c r="A3772" s="1115" t="n">
        <v>96500</v>
      </c>
      <c r="B3772" s="1115" t="s">
        <v>170</v>
      </c>
      <c r="C3772" s="1115" t="n">
        <v>96500</v>
      </c>
      <c r="D3772" s="1115" t="s">
        <v>928</v>
      </c>
      <c r="E3772" s="1115" t="s">
        <v>3913</v>
      </c>
      <c r="F3772" s="1115" t="n">
        <v>86790</v>
      </c>
      <c r="G3772" s="1115" t="n">
        <v>97645</v>
      </c>
      <c r="H3772" s="1115" t="s">
        <v>2060</v>
      </c>
      <c r="I3772" s="1115" t="n">
        <v>96700</v>
      </c>
      <c r="J3772" s="1115" t="s">
        <v>928</v>
      </c>
    </row>
    <row r="3773" customFormat="false" ht="14.1" hidden="false" customHeight="true" outlineLevel="0" collapsed="false">
      <c r="A3773" s="1115" t="n">
        <v>96600</v>
      </c>
      <c r="B3773" s="1115" t="s">
        <v>170</v>
      </c>
      <c r="C3773" s="1115" t="n">
        <v>96600</v>
      </c>
      <c r="D3773" s="1115" t="s">
        <v>928</v>
      </c>
      <c r="E3773" s="1115" t="s">
        <v>3389</v>
      </c>
      <c r="F3773" s="1115" t="n">
        <v>61580</v>
      </c>
      <c r="G3773" s="1115" t="n">
        <v>97650</v>
      </c>
      <c r="H3773" s="1115" t="s">
        <v>2052</v>
      </c>
      <c r="I3773" s="1115" t="n">
        <v>96800</v>
      </c>
      <c r="J3773" s="1115" t="s">
        <v>928</v>
      </c>
    </row>
    <row r="3774" customFormat="false" ht="14.1" hidden="false" customHeight="true" outlineLevel="0" collapsed="false">
      <c r="A3774" s="1115" t="n">
        <v>96700</v>
      </c>
      <c r="B3774" s="1115" t="s">
        <v>170</v>
      </c>
      <c r="C3774" s="1115" t="n">
        <v>96700</v>
      </c>
      <c r="D3774" s="1115" t="s">
        <v>928</v>
      </c>
      <c r="E3774" s="1115" t="s">
        <v>2367</v>
      </c>
      <c r="F3774" s="1115" t="n">
        <v>31650</v>
      </c>
      <c r="G3774" s="1115" t="n">
        <v>97655</v>
      </c>
      <c r="H3774" s="1115" t="s">
        <v>961</v>
      </c>
      <c r="I3774" s="1115" t="n">
        <v>96900</v>
      </c>
      <c r="J3774" s="1115" t="s">
        <v>928</v>
      </c>
    </row>
    <row r="3775" customFormat="false" ht="14.1" hidden="false" customHeight="true" outlineLevel="0" collapsed="false">
      <c r="A3775" s="1115" t="n">
        <v>96800</v>
      </c>
      <c r="B3775" s="1115" t="s">
        <v>170</v>
      </c>
      <c r="C3775" s="1115" t="n">
        <v>96800</v>
      </c>
      <c r="D3775" s="1115" t="s">
        <v>928</v>
      </c>
      <c r="E3775" s="1115" t="s">
        <v>3950</v>
      </c>
      <c r="F3775" s="1115" t="n">
        <v>91370</v>
      </c>
      <c r="G3775" s="1115" t="n">
        <v>97670</v>
      </c>
      <c r="H3775" s="1115" t="s">
        <v>2456</v>
      </c>
      <c r="I3775" s="1115" t="n">
        <v>96910</v>
      </c>
      <c r="J3775" s="1115" t="s">
        <v>928</v>
      </c>
    </row>
    <row r="3776" customFormat="false" ht="14.1" hidden="false" customHeight="true" outlineLevel="0" collapsed="false">
      <c r="A3776" s="1115" t="n">
        <v>96900</v>
      </c>
      <c r="B3776" s="1115" t="s">
        <v>170</v>
      </c>
      <c r="C3776" s="1115" t="n">
        <v>96900</v>
      </c>
      <c r="D3776" s="1115" t="s">
        <v>3785</v>
      </c>
      <c r="E3776" s="1115" t="s">
        <v>2244</v>
      </c>
      <c r="F3776" s="1115" t="n">
        <v>29120</v>
      </c>
      <c r="G3776" s="1115" t="n">
        <v>97675</v>
      </c>
      <c r="H3776" s="1115" t="s">
        <v>3291</v>
      </c>
      <c r="I3776" s="1115" t="n">
        <v>96930</v>
      </c>
      <c r="J3776" s="1115" t="s">
        <v>928</v>
      </c>
    </row>
    <row r="3777" customFormat="false" ht="14.1" hidden="false" customHeight="true" outlineLevel="0" collapsed="false">
      <c r="A3777" s="1115" t="n">
        <v>96910</v>
      </c>
      <c r="B3777" s="1115" t="s">
        <v>170</v>
      </c>
      <c r="C3777" s="1115" t="n">
        <v>96910</v>
      </c>
      <c r="D3777" s="1115" t="s">
        <v>928</v>
      </c>
      <c r="E3777" s="1115" t="s">
        <v>2995</v>
      </c>
      <c r="F3777" s="1115" t="n">
        <v>47850</v>
      </c>
      <c r="G3777" s="1115" t="n">
        <v>97680</v>
      </c>
      <c r="H3777" s="1115" t="s">
        <v>3787</v>
      </c>
      <c r="I3777" s="1115" t="n">
        <v>96960</v>
      </c>
      <c r="J3777" s="1115" t="s">
        <v>928</v>
      </c>
    </row>
    <row r="3778" customFormat="false" ht="14.1" hidden="false" customHeight="true" outlineLevel="0" collapsed="false">
      <c r="A3778" s="1115" t="n">
        <v>96930</v>
      </c>
      <c r="B3778" s="1115" t="s">
        <v>170</v>
      </c>
      <c r="C3778" s="1115" t="n">
        <v>96930</v>
      </c>
      <c r="D3778" s="1115" t="s">
        <v>3287</v>
      </c>
      <c r="E3778" s="1115" t="s">
        <v>2166</v>
      </c>
      <c r="F3778" s="1115" t="n">
        <v>26930</v>
      </c>
      <c r="G3778" s="1115" t="n">
        <v>97685</v>
      </c>
      <c r="H3778" s="1115" t="s">
        <v>3847</v>
      </c>
      <c r="I3778" s="1115" t="n">
        <v>97110</v>
      </c>
      <c r="J3778" s="1115" t="s">
        <v>928</v>
      </c>
    </row>
    <row r="3779" customFormat="false" ht="14.1" hidden="false" customHeight="true" outlineLevel="0" collapsed="false">
      <c r="A3779" s="1115" t="n">
        <v>96960</v>
      </c>
      <c r="B3779" s="1115" t="s">
        <v>170</v>
      </c>
      <c r="C3779" s="1115" t="n">
        <v>96960</v>
      </c>
      <c r="D3779" s="1115" t="s">
        <v>928</v>
      </c>
      <c r="E3779" s="1115" t="s">
        <v>2687</v>
      </c>
      <c r="F3779" s="1115" t="n">
        <v>39290</v>
      </c>
      <c r="G3779" s="1115" t="n">
        <v>97690</v>
      </c>
      <c r="H3779" s="1115" t="s">
        <v>3880</v>
      </c>
      <c r="I3779" s="1115" t="n">
        <v>97130</v>
      </c>
      <c r="J3779" s="1115" t="s">
        <v>928</v>
      </c>
    </row>
    <row r="3780" customFormat="false" ht="14.1" hidden="false" customHeight="true" outlineLevel="0" collapsed="false">
      <c r="A3780" s="1115" t="n">
        <v>97110</v>
      </c>
      <c r="B3780" s="1115" t="s">
        <v>170</v>
      </c>
      <c r="C3780" s="1115" t="n">
        <v>97110</v>
      </c>
      <c r="D3780" s="1115" t="s">
        <v>3704</v>
      </c>
      <c r="E3780" s="1115" t="s">
        <v>2812</v>
      </c>
      <c r="F3780" s="1115" t="n">
        <v>41940</v>
      </c>
      <c r="G3780" s="1115" t="n">
        <v>97700</v>
      </c>
      <c r="H3780" s="1115" t="s">
        <v>1418</v>
      </c>
      <c r="I3780" s="1115" t="n">
        <v>97140</v>
      </c>
      <c r="J3780" s="1115" t="s">
        <v>928</v>
      </c>
    </row>
    <row r="3781" customFormat="false" ht="14.1" hidden="false" customHeight="true" outlineLevel="0" collapsed="false">
      <c r="A3781" s="1115" t="n">
        <v>97130</v>
      </c>
      <c r="B3781" s="1115" t="s">
        <v>170</v>
      </c>
      <c r="C3781" s="1115" t="n">
        <v>97130</v>
      </c>
      <c r="D3781" s="1115" t="s">
        <v>1715</v>
      </c>
      <c r="E3781" s="1115" t="s">
        <v>1610</v>
      </c>
      <c r="F3781" s="1115" t="n">
        <v>72300</v>
      </c>
      <c r="G3781" s="1115" t="n">
        <v>97710</v>
      </c>
      <c r="H3781" s="1115" t="s">
        <v>3368</v>
      </c>
      <c r="I3781" s="1115" t="n">
        <v>97145</v>
      </c>
      <c r="J3781" s="1115" t="s">
        <v>928</v>
      </c>
    </row>
    <row r="3782" customFormat="false" ht="14.1" hidden="false" customHeight="true" outlineLevel="0" collapsed="false">
      <c r="A3782" s="1115" t="n">
        <v>97140</v>
      </c>
      <c r="B3782" s="1115" t="s">
        <v>170</v>
      </c>
      <c r="C3782" s="1115" t="n">
        <v>97140</v>
      </c>
      <c r="D3782" s="1115" t="s">
        <v>3242</v>
      </c>
      <c r="E3782" s="1115" t="s">
        <v>1818</v>
      </c>
      <c r="F3782" s="1115" t="n">
        <v>17630</v>
      </c>
      <c r="G3782" s="1115" t="n">
        <v>97715</v>
      </c>
      <c r="H3782" s="1115" t="s">
        <v>3685</v>
      </c>
      <c r="I3782" s="1115" t="n">
        <v>97160</v>
      </c>
      <c r="J3782" s="1115" t="s">
        <v>928</v>
      </c>
    </row>
    <row r="3783" customFormat="false" ht="14.1" hidden="false" customHeight="true" outlineLevel="0" collapsed="false">
      <c r="A3783" s="1115" t="n">
        <v>97145</v>
      </c>
      <c r="B3783" s="1115" t="s">
        <v>170</v>
      </c>
      <c r="C3783" s="1115" t="n">
        <v>97145</v>
      </c>
      <c r="D3783" s="1115" t="s">
        <v>3952</v>
      </c>
      <c r="E3783" s="1115" t="s">
        <v>3916</v>
      </c>
      <c r="F3783" s="1115" t="n">
        <v>86870</v>
      </c>
      <c r="G3783" s="1115" t="n">
        <v>97720</v>
      </c>
      <c r="H3783" s="1115" t="s">
        <v>3994</v>
      </c>
      <c r="I3783" s="1115" t="n">
        <v>97170</v>
      </c>
      <c r="J3783" s="1115" t="s">
        <v>928</v>
      </c>
    </row>
    <row r="3784" customFormat="false" ht="14.1" hidden="false" customHeight="true" outlineLevel="0" collapsed="false">
      <c r="A3784" s="1115" t="n">
        <v>97160</v>
      </c>
      <c r="B3784" s="1115" t="s">
        <v>170</v>
      </c>
      <c r="C3784" s="1115" t="n">
        <v>97160</v>
      </c>
      <c r="D3784" s="1115" t="s">
        <v>3548</v>
      </c>
      <c r="E3784" s="1115" t="s">
        <v>1612</v>
      </c>
      <c r="F3784" s="1115" t="n">
        <v>37470</v>
      </c>
      <c r="G3784" s="1115" t="n">
        <v>97735</v>
      </c>
      <c r="H3784" s="1115" t="s">
        <v>3945</v>
      </c>
      <c r="I3784" s="1115" t="n">
        <v>97190</v>
      </c>
      <c r="J3784" s="1115" t="s">
        <v>928</v>
      </c>
    </row>
    <row r="3785" customFormat="false" ht="14.1" hidden="false" customHeight="true" outlineLevel="0" collapsed="false">
      <c r="A3785" s="1115" t="n">
        <v>97170</v>
      </c>
      <c r="B3785" s="1115" t="s">
        <v>170</v>
      </c>
      <c r="C3785" s="1115" t="n">
        <v>97170</v>
      </c>
      <c r="D3785" s="1115" t="s">
        <v>1983</v>
      </c>
      <c r="E3785" s="1115" t="s">
        <v>3836</v>
      </c>
      <c r="F3785" s="1115" t="n">
        <v>82190</v>
      </c>
      <c r="G3785" s="1115" t="n">
        <v>97740</v>
      </c>
      <c r="H3785" s="1115" t="s">
        <v>803</v>
      </c>
      <c r="I3785" s="1115" t="n">
        <v>97220</v>
      </c>
      <c r="J3785" s="1115" t="s">
        <v>928</v>
      </c>
    </row>
    <row r="3786" customFormat="false" ht="14.1" hidden="false" customHeight="true" outlineLevel="0" collapsed="false">
      <c r="A3786" s="1115" t="n">
        <v>97190</v>
      </c>
      <c r="B3786" s="1115" t="s">
        <v>170</v>
      </c>
      <c r="C3786" s="1115" t="n">
        <v>97190</v>
      </c>
      <c r="D3786" s="1115" t="s">
        <v>3590</v>
      </c>
      <c r="E3786" s="1115" t="s">
        <v>1790</v>
      </c>
      <c r="F3786" s="1115" t="n">
        <v>17130</v>
      </c>
      <c r="G3786" s="1115" t="n">
        <v>97745</v>
      </c>
      <c r="H3786" s="1115" t="s">
        <v>3742</v>
      </c>
      <c r="I3786" s="1115" t="n">
        <v>97240</v>
      </c>
      <c r="J3786" s="1115" t="s">
        <v>928</v>
      </c>
    </row>
    <row r="3787" customFormat="false" ht="14.1" hidden="false" customHeight="true" outlineLevel="0" collapsed="false">
      <c r="A3787" s="1115" t="n">
        <v>97220</v>
      </c>
      <c r="B3787" s="1115" t="s">
        <v>170</v>
      </c>
      <c r="C3787" s="1115" t="n">
        <v>97220</v>
      </c>
      <c r="D3787" s="1115" t="s">
        <v>3858</v>
      </c>
      <c r="E3787" s="1115" t="s">
        <v>2137</v>
      </c>
      <c r="F3787" s="1115" t="n">
        <v>25820</v>
      </c>
      <c r="G3787" s="1115" t="n">
        <v>97750</v>
      </c>
      <c r="H3787" s="1115" t="s">
        <v>2650</v>
      </c>
      <c r="I3787" s="1115" t="n">
        <v>97250</v>
      </c>
      <c r="J3787" s="1115" t="s">
        <v>928</v>
      </c>
    </row>
    <row r="3788" customFormat="false" ht="14.1" hidden="false" customHeight="true" outlineLevel="0" collapsed="false">
      <c r="A3788" s="1115" t="n">
        <v>97240</v>
      </c>
      <c r="B3788" s="1115" t="s">
        <v>170</v>
      </c>
      <c r="C3788" s="1115" t="n">
        <v>97240</v>
      </c>
      <c r="D3788" s="1115" t="s">
        <v>3871</v>
      </c>
      <c r="E3788" s="1115" t="s">
        <v>1614</v>
      </c>
      <c r="F3788" s="1115" t="n">
        <v>69700</v>
      </c>
      <c r="G3788" s="1115" t="n">
        <v>97755</v>
      </c>
      <c r="H3788" s="1115" t="s">
        <v>3908</v>
      </c>
      <c r="I3788" s="1115" t="n">
        <v>97270</v>
      </c>
      <c r="J3788" s="1115" t="s">
        <v>928</v>
      </c>
    </row>
    <row r="3789" customFormat="false" ht="14.1" hidden="false" customHeight="true" outlineLevel="0" collapsed="false">
      <c r="A3789" s="1115" t="n">
        <v>97250</v>
      </c>
      <c r="B3789" s="1115" t="s">
        <v>170</v>
      </c>
      <c r="C3789" s="1115" t="n">
        <v>97250</v>
      </c>
      <c r="D3789" s="1115" t="s">
        <v>3674</v>
      </c>
      <c r="E3789" s="1115" t="s">
        <v>3588</v>
      </c>
      <c r="F3789" s="1115" t="n">
        <v>66960</v>
      </c>
      <c r="G3789" s="1115" t="n">
        <v>97760</v>
      </c>
      <c r="H3789" s="1115" t="s">
        <v>3788</v>
      </c>
      <c r="I3789" s="1115" t="n">
        <v>97280</v>
      </c>
      <c r="J3789" s="1115" t="s">
        <v>928</v>
      </c>
    </row>
    <row r="3790" customFormat="false" ht="14.1" hidden="false" customHeight="true" outlineLevel="0" collapsed="false">
      <c r="A3790" s="1115" t="n">
        <v>97270</v>
      </c>
      <c r="B3790" s="1115" t="s">
        <v>170</v>
      </c>
      <c r="C3790" s="1115" t="n">
        <v>97270</v>
      </c>
      <c r="D3790" s="1115" t="s">
        <v>3736</v>
      </c>
      <c r="E3790" s="1115" t="s">
        <v>3664</v>
      </c>
      <c r="F3790" s="1115" t="n">
        <v>71770</v>
      </c>
      <c r="G3790" s="1115" t="n">
        <v>97765</v>
      </c>
      <c r="H3790" s="1115" t="s">
        <v>1937</v>
      </c>
      <c r="I3790" s="1115" t="n">
        <v>97290</v>
      </c>
      <c r="J3790" s="1115" t="s">
        <v>928</v>
      </c>
    </row>
    <row r="3791" customFormat="false" ht="14.1" hidden="false" customHeight="true" outlineLevel="0" collapsed="false">
      <c r="A3791" s="1115" t="n">
        <v>97280</v>
      </c>
      <c r="B3791" s="1115" t="s">
        <v>170</v>
      </c>
      <c r="C3791" s="1115" t="n">
        <v>97280</v>
      </c>
      <c r="D3791" s="1115" t="s">
        <v>3928</v>
      </c>
      <c r="E3791" s="1115" t="s">
        <v>3977</v>
      </c>
      <c r="F3791" s="1115" t="n">
        <v>95225</v>
      </c>
      <c r="G3791" s="1115" t="n">
        <v>97770</v>
      </c>
      <c r="H3791" s="1115" t="s">
        <v>3550</v>
      </c>
      <c r="I3791" s="1115" t="n">
        <v>97310</v>
      </c>
      <c r="J3791" s="1115" t="s">
        <v>928</v>
      </c>
    </row>
    <row r="3792" customFormat="false" ht="14.1" hidden="false" customHeight="true" outlineLevel="0" collapsed="false">
      <c r="A3792" s="1115" t="n">
        <v>97290</v>
      </c>
      <c r="B3792" s="1115" t="s">
        <v>170</v>
      </c>
      <c r="C3792" s="1115" t="n">
        <v>97290</v>
      </c>
      <c r="D3792" s="1115" t="s">
        <v>3147</v>
      </c>
      <c r="E3792" s="1115" t="s">
        <v>3834</v>
      </c>
      <c r="F3792" s="1115" t="n">
        <v>81860</v>
      </c>
      <c r="G3792" s="1115" t="n">
        <v>97780</v>
      </c>
      <c r="H3792" s="1115" t="s">
        <v>2745</v>
      </c>
      <c r="I3792" s="1115" t="n">
        <v>97320</v>
      </c>
      <c r="J3792" s="1115" t="s">
        <v>928</v>
      </c>
    </row>
    <row r="3793" customFormat="false" ht="14.1" hidden="false" customHeight="true" outlineLevel="0" collapsed="false">
      <c r="A3793" s="1115" t="n">
        <v>97310</v>
      </c>
      <c r="B3793" s="1115" t="s">
        <v>170</v>
      </c>
      <c r="C3793" s="1115" t="n">
        <v>97310</v>
      </c>
      <c r="D3793" s="1115" t="s">
        <v>3502</v>
      </c>
      <c r="E3793" s="1115" t="s">
        <v>1615</v>
      </c>
      <c r="F3793" s="1115" t="n">
        <v>74200</v>
      </c>
      <c r="G3793" s="1115" t="n">
        <v>97785</v>
      </c>
      <c r="H3793" s="1115" t="s">
        <v>2352</v>
      </c>
      <c r="I3793" s="1115" t="n">
        <v>97330</v>
      </c>
      <c r="J3793" s="1115" t="s">
        <v>928</v>
      </c>
    </row>
    <row r="3794" customFormat="false" ht="14.1" hidden="false" customHeight="true" outlineLevel="0" collapsed="false">
      <c r="A3794" s="1115" t="n">
        <v>97320</v>
      </c>
      <c r="B3794" s="1115" t="s">
        <v>170</v>
      </c>
      <c r="C3794" s="1115" t="n">
        <v>97320</v>
      </c>
      <c r="D3794" s="1115" t="s">
        <v>3145</v>
      </c>
      <c r="E3794" s="1115" t="s">
        <v>1846</v>
      </c>
      <c r="F3794" s="1115" t="n">
        <v>19110</v>
      </c>
      <c r="G3794" s="1115" t="n">
        <v>97810</v>
      </c>
      <c r="H3794" s="1115" t="s">
        <v>3891</v>
      </c>
      <c r="I3794" s="1115" t="n">
        <v>97335</v>
      </c>
      <c r="J3794" s="1115" t="s">
        <v>928</v>
      </c>
    </row>
    <row r="3795" customFormat="false" ht="14.1" hidden="false" customHeight="true" outlineLevel="0" collapsed="false">
      <c r="A3795" s="1115" t="n">
        <v>97330</v>
      </c>
      <c r="B3795" s="1115" t="s">
        <v>170</v>
      </c>
      <c r="C3795" s="1115" t="n">
        <v>97330</v>
      </c>
      <c r="D3795" s="1115" t="s">
        <v>3696</v>
      </c>
      <c r="E3795" s="1115" t="s">
        <v>1846</v>
      </c>
      <c r="F3795" s="1115" t="n">
        <v>19120</v>
      </c>
      <c r="G3795" s="1115" t="n">
        <v>97815</v>
      </c>
      <c r="H3795" s="1115" t="s">
        <v>3528</v>
      </c>
      <c r="I3795" s="1115" t="n">
        <v>97340</v>
      </c>
      <c r="J3795" s="1115" t="s">
        <v>928</v>
      </c>
    </row>
    <row r="3796" customFormat="false" ht="14.1" hidden="false" customHeight="true" outlineLevel="0" collapsed="false">
      <c r="A3796" s="1115" t="n">
        <v>97335</v>
      </c>
      <c r="B3796" s="1115" t="s">
        <v>170</v>
      </c>
      <c r="C3796" s="1115" t="n">
        <v>97335</v>
      </c>
      <c r="D3796" s="1115" t="s">
        <v>3762</v>
      </c>
      <c r="E3796" s="1115" t="s">
        <v>1617</v>
      </c>
      <c r="F3796" s="1115" t="n">
        <v>86400</v>
      </c>
      <c r="G3796" s="1115" t="n">
        <v>97820</v>
      </c>
      <c r="H3796" s="1115" t="s">
        <v>3535</v>
      </c>
      <c r="I3796" s="1115" t="n">
        <v>97350</v>
      </c>
      <c r="J3796" s="1115" t="s">
        <v>928</v>
      </c>
    </row>
    <row r="3797" customFormat="false" ht="14.1" hidden="false" customHeight="true" outlineLevel="0" collapsed="false">
      <c r="A3797" s="1115" t="n">
        <v>97340</v>
      </c>
      <c r="B3797" s="1115" t="s">
        <v>170</v>
      </c>
      <c r="C3797" s="1115" t="n">
        <v>97340</v>
      </c>
      <c r="D3797" s="1115" t="s">
        <v>3163</v>
      </c>
      <c r="E3797" s="1115" t="s">
        <v>2899</v>
      </c>
      <c r="F3797" s="1115" t="n">
        <v>44260</v>
      </c>
      <c r="G3797" s="1115" t="n">
        <v>97830</v>
      </c>
      <c r="H3797" s="1115" t="s">
        <v>2388</v>
      </c>
      <c r="I3797" s="1115" t="n">
        <v>97360</v>
      </c>
      <c r="J3797" s="1115" t="s">
        <v>928</v>
      </c>
    </row>
    <row r="3798" customFormat="false" ht="14.1" hidden="false" customHeight="true" outlineLevel="0" collapsed="false">
      <c r="A3798" s="1115" t="n">
        <v>97350</v>
      </c>
      <c r="B3798" s="1115" t="s">
        <v>170</v>
      </c>
      <c r="C3798" s="1115" t="n">
        <v>97350</v>
      </c>
      <c r="D3798" s="1115" t="s">
        <v>2120</v>
      </c>
      <c r="E3798" s="1115" t="s">
        <v>3823</v>
      </c>
      <c r="F3798" s="1115" t="n">
        <v>81440</v>
      </c>
      <c r="G3798" s="1115" t="n">
        <v>97840</v>
      </c>
      <c r="H3798" s="1115" t="s">
        <v>2937</v>
      </c>
      <c r="I3798" s="1115" t="n">
        <v>97370</v>
      </c>
      <c r="J3798" s="1115" t="s">
        <v>170</v>
      </c>
    </row>
    <row r="3799" customFormat="false" ht="14.1" hidden="false" customHeight="true" outlineLevel="0" collapsed="false">
      <c r="A3799" s="1115" t="n">
        <v>97360</v>
      </c>
      <c r="B3799" s="1115" t="s">
        <v>170</v>
      </c>
      <c r="C3799" s="1115" t="n">
        <v>97360</v>
      </c>
      <c r="D3799" s="1115" t="s">
        <v>3530</v>
      </c>
      <c r="E3799" s="1115" t="s">
        <v>3803</v>
      </c>
      <c r="F3799" s="1115" t="n">
        <v>79940</v>
      </c>
      <c r="G3799" s="1115" t="n">
        <v>97850</v>
      </c>
      <c r="H3799" s="1115" t="s">
        <v>3731</v>
      </c>
      <c r="I3799" s="1115" t="n">
        <v>97390</v>
      </c>
      <c r="J3799" s="1115" t="s">
        <v>170</v>
      </c>
    </row>
    <row r="3800" customFormat="false" ht="14.1" hidden="false" customHeight="true" outlineLevel="0" collapsed="false">
      <c r="A3800" s="1115" t="n">
        <v>97370</v>
      </c>
      <c r="B3800" s="1115" t="s">
        <v>170</v>
      </c>
      <c r="C3800" s="1115" t="n">
        <v>97370</v>
      </c>
      <c r="D3800" s="1115" t="s">
        <v>3974</v>
      </c>
      <c r="E3800" s="1115" t="s">
        <v>3882</v>
      </c>
      <c r="F3800" s="1115" t="n">
        <v>83915</v>
      </c>
      <c r="G3800" s="1115" t="n">
        <v>97860</v>
      </c>
      <c r="H3800" s="1115" t="s">
        <v>814</v>
      </c>
      <c r="I3800" s="1115" t="n">
        <v>97410</v>
      </c>
      <c r="J3800" s="1115" t="s">
        <v>170</v>
      </c>
    </row>
    <row r="3801" customFormat="false" ht="14.1" hidden="false" customHeight="true" outlineLevel="0" collapsed="false">
      <c r="A3801" s="1115" t="n">
        <v>97390</v>
      </c>
      <c r="B3801" s="1115" t="s">
        <v>170</v>
      </c>
      <c r="C3801" s="1115" t="n">
        <v>97390</v>
      </c>
      <c r="D3801" s="1115" t="s">
        <v>2402</v>
      </c>
      <c r="E3801" s="1115" t="s">
        <v>3846</v>
      </c>
      <c r="F3801" s="1115" t="n">
        <v>82480</v>
      </c>
      <c r="G3801" s="1115" t="n">
        <v>97870</v>
      </c>
      <c r="H3801" s="1115" t="s">
        <v>2041</v>
      </c>
      <c r="I3801" s="1115" t="n">
        <v>97420</v>
      </c>
      <c r="J3801" s="1115" t="s">
        <v>170</v>
      </c>
    </row>
    <row r="3802" customFormat="false" ht="14.1" hidden="false" customHeight="true" outlineLevel="0" collapsed="false">
      <c r="A3802" s="1115" t="n">
        <v>97410</v>
      </c>
      <c r="B3802" s="1115" t="s">
        <v>170</v>
      </c>
      <c r="C3802" s="1115" t="n">
        <v>97410</v>
      </c>
      <c r="D3802" s="1115" t="s">
        <v>3613</v>
      </c>
      <c r="E3802" s="1115" t="s">
        <v>2757</v>
      </c>
      <c r="F3802" s="1115" t="n">
        <v>41330</v>
      </c>
      <c r="G3802" s="1115" t="n">
        <v>97880</v>
      </c>
      <c r="H3802" s="1115" t="s">
        <v>3345</v>
      </c>
      <c r="I3802" s="1115" t="n">
        <v>97430</v>
      </c>
      <c r="J3802" s="1115" t="s">
        <v>170</v>
      </c>
    </row>
    <row r="3803" customFormat="false" ht="14.1" hidden="false" customHeight="true" outlineLevel="0" collapsed="false">
      <c r="A3803" s="1115" t="n">
        <v>97420</v>
      </c>
      <c r="B3803" s="1115" t="s">
        <v>170</v>
      </c>
      <c r="C3803" s="1115" t="n">
        <v>97420</v>
      </c>
      <c r="D3803" s="1115" t="s">
        <v>3015</v>
      </c>
      <c r="E3803" s="1115" t="s">
        <v>2652</v>
      </c>
      <c r="F3803" s="1115" t="n">
        <v>38720</v>
      </c>
      <c r="G3803" s="1115" t="n">
        <v>97890</v>
      </c>
      <c r="H3803" s="1115" t="s">
        <v>2258</v>
      </c>
      <c r="I3803" s="1115" t="n">
        <v>97435</v>
      </c>
      <c r="J3803" s="1115" t="s">
        <v>170</v>
      </c>
    </row>
    <row r="3804" customFormat="false" ht="14.1" hidden="false" customHeight="true" outlineLevel="0" collapsed="false">
      <c r="A3804" s="1115" t="n">
        <v>97430</v>
      </c>
      <c r="B3804" s="1115" t="s">
        <v>170</v>
      </c>
      <c r="C3804" s="1115" t="n">
        <v>97430</v>
      </c>
      <c r="D3804" s="1115" t="s">
        <v>3909</v>
      </c>
      <c r="E3804" s="1115" t="s">
        <v>1166</v>
      </c>
      <c r="F3804" s="1115" t="n">
        <v>3400</v>
      </c>
      <c r="G3804" s="1115" t="n">
        <v>97895</v>
      </c>
      <c r="H3804" s="1115" t="s">
        <v>3219</v>
      </c>
      <c r="I3804" s="1115" t="n">
        <v>97440</v>
      </c>
      <c r="J3804" s="1115" t="s">
        <v>1083</v>
      </c>
    </row>
    <row r="3805" customFormat="false" ht="14.1" hidden="false" customHeight="true" outlineLevel="0" collapsed="false">
      <c r="A3805" s="1115" t="n">
        <v>97435</v>
      </c>
      <c r="B3805" s="1115" t="s">
        <v>170</v>
      </c>
      <c r="C3805" s="1115" t="n">
        <v>97435</v>
      </c>
      <c r="D3805" s="1115" t="s">
        <v>2069</v>
      </c>
      <c r="E3805" s="1115" t="s">
        <v>1200</v>
      </c>
      <c r="F3805" s="1115" t="n">
        <v>3790</v>
      </c>
      <c r="G3805" s="1115" t="n">
        <v>97900</v>
      </c>
      <c r="H3805" s="1115" t="s">
        <v>1365</v>
      </c>
      <c r="I3805" s="1115" t="n">
        <v>97450</v>
      </c>
      <c r="J3805" s="1115" t="s">
        <v>1083</v>
      </c>
    </row>
    <row r="3806" customFormat="false" ht="14.1" hidden="false" customHeight="true" outlineLevel="0" collapsed="false">
      <c r="A3806" s="1115" t="n">
        <v>97440</v>
      </c>
      <c r="B3806" s="1115" t="s">
        <v>170</v>
      </c>
      <c r="C3806" s="1115" t="n">
        <v>97440</v>
      </c>
      <c r="D3806" s="1115" t="s">
        <v>1558</v>
      </c>
      <c r="E3806" s="1115" t="s">
        <v>2664</v>
      </c>
      <c r="F3806" s="1115" t="n">
        <v>38820</v>
      </c>
      <c r="G3806" s="1115" t="n">
        <v>97910</v>
      </c>
      <c r="H3806" s="1115" t="s">
        <v>1688</v>
      </c>
      <c r="I3806" s="1115" t="n">
        <v>97460</v>
      </c>
      <c r="J3806" s="1115" t="s">
        <v>1083</v>
      </c>
    </row>
    <row r="3807" customFormat="false" ht="14.1" hidden="false" customHeight="true" outlineLevel="0" collapsed="false">
      <c r="A3807" s="1115" t="n">
        <v>97450</v>
      </c>
      <c r="B3807" s="1115" t="s">
        <v>170</v>
      </c>
      <c r="C3807" s="1115" t="n">
        <v>97450</v>
      </c>
      <c r="D3807" s="1115" t="s">
        <v>3964</v>
      </c>
      <c r="E3807" s="1115" t="s">
        <v>3870</v>
      </c>
      <c r="F3807" s="1115" t="n">
        <v>83400</v>
      </c>
      <c r="G3807" s="1115" t="n">
        <v>97920</v>
      </c>
      <c r="H3807" s="1115" t="s">
        <v>3888</v>
      </c>
      <c r="I3807" s="1115" t="n">
        <v>97470</v>
      </c>
      <c r="J3807" s="1115" t="s">
        <v>1083</v>
      </c>
    </row>
    <row r="3808" customFormat="false" ht="14.1" hidden="false" customHeight="true" outlineLevel="0" collapsed="false">
      <c r="A3808" s="1115" t="n">
        <v>97460</v>
      </c>
      <c r="B3808" s="1115" t="s">
        <v>170</v>
      </c>
      <c r="C3808" s="1115" t="n">
        <v>97460</v>
      </c>
      <c r="D3808" s="1115" t="s">
        <v>3480</v>
      </c>
      <c r="E3808" s="1115" t="s">
        <v>3993</v>
      </c>
      <c r="F3808" s="1115" t="n">
        <v>97620</v>
      </c>
      <c r="G3808" s="1115" t="n">
        <v>97925</v>
      </c>
      <c r="H3808" s="1115" t="s">
        <v>3946</v>
      </c>
      <c r="I3808" s="1115" t="n">
        <v>97510</v>
      </c>
      <c r="J3808" s="1115" t="s">
        <v>1083</v>
      </c>
    </row>
    <row r="3809" customFormat="false" ht="14.1" hidden="false" customHeight="true" outlineLevel="0" collapsed="false">
      <c r="A3809" s="1115" t="n">
        <v>97470</v>
      </c>
      <c r="B3809" s="1115" t="s">
        <v>170</v>
      </c>
      <c r="C3809" s="1115" t="n">
        <v>97470</v>
      </c>
      <c r="D3809" s="1115" t="s">
        <v>865</v>
      </c>
      <c r="E3809" s="1115" t="s">
        <v>1802</v>
      </c>
      <c r="F3809" s="1115" t="n">
        <v>17410</v>
      </c>
      <c r="G3809" s="1115" t="n">
        <v>97940</v>
      </c>
      <c r="H3809" s="1115" t="s">
        <v>3017</v>
      </c>
      <c r="I3809" s="1115" t="n">
        <v>97530</v>
      </c>
      <c r="J3809" s="1115" t="s">
        <v>1083</v>
      </c>
    </row>
    <row r="3810" customFormat="false" ht="14.1" hidden="false" customHeight="true" outlineLevel="0" collapsed="false">
      <c r="A3810" s="1115" t="n">
        <v>97510</v>
      </c>
      <c r="B3810" s="1115" t="s">
        <v>170</v>
      </c>
      <c r="C3810" s="1115" t="n">
        <v>97510</v>
      </c>
      <c r="D3810" s="1115" t="s">
        <v>3991</v>
      </c>
      <c r="E3810" s="1115" t="s">
        <v>2219</v>
      </c>
      <c r="F3810" s="1115" t="n">
        <v>27960</v>
      </c>
      <c r="G3810" s="1115" t="n">
        <v>97950</v>
      </c>
      <c r="H3810" s="1115" t="s">
        <v>3899</v>
      </c>
      <c r="I3810" s="1115" t="n">
        <v>97540</v>
      </c>
      <c r="J3810" s="1115" t="s">
        <v>1083</v>
      </c>
    </row>
    <row r="3811" customFormat="false" ht="14.1" hidden="false" customHeight="true" outlineLevel="0" collapsed="false">
      <c r="A3811" s="1115" t="n">
        <v>97530</v>
      </c>
      <c r="B3811" s="1115" t="s">
        <v>170</v>
      </c>
      <c r="C3811" s="1115" t="n">
        <v>97530</v>
      </c>
      <c r="D3811" s="1115" t="s">
        <v>3992</v>
      </c>
      <c r="E3811" s="1115" t="s">
        <v>3705</v>
      </c>
      <c r="F3811" s="1115" t="n">
        <v>73710</v>
      </c>
      <c r="G3811" s="1115" t="n">
        <v>97960</v>
      </c>
      <c r="H3811" s="1115" t="s">
        <v>2686</v>
      </c>
      <c r="I3811" s="1115" t="n">
        <v>97550</v>
      </c>
      <c r="J3811" s="1115" t="s">
        <v>1083</v>
      </c>
    </row>
    <row r="3812" customFormat="false" ht="14.1" hidden="false" customHeight="true" outlineLevel="0" collapsed="false">
      <c r="A3812" s="1115" t="n">
        <v>97540</v>
      </c>
      <c r="B3812" s="1115" t="s">
        <v>170</v>
      </c>
      <c r="C3812" s="1115" t="n">
        <v>97540</v>
      </c>
      <c r="D3812" s="1115" t="s">
        <v>3942</v>
      </c>
      <c r="E3812" s="1115" t="s">
        <v>1620</v>
      </c>
      <c r="F3812" s="1115" t="n">
        <v>44500</v>
      </c>
      <c r="G3812" s="1115" t="n">
        <v>97965</v>
      </c>
      <c r="H3812" s="1115" t="s">
        <v>2784</v>
      </c>
      <c r="I3812" s="1115" t="n">
        <v>97560</v>
      </c>
      <c r="J3812" s="1115" t="s">
        <v>1083</v>
      </c>
    </row>
    <row r="3813" customFormat="false" ht="14.1" hidden="false" customHeight="true" outlineLevel="0" collapsed="false">
      <c r="A3813" s="1115" t="n">
        <v>97550</v>
      </c>
      <c r="B3813" s="1115" t="s">
        <v>170</v>
      </c>
      <c r="C3813" s="1115" t="n">
        <v>97550</v>
      </c>
      <c r="D3813" s="1115" t="s">
        <v>3320</v>
      </c>
      <c r="E3813" s="1115" t="s">
        <v>3991</v>
      </c>
      <c r="F3813" s="1115" t="n">
        <v>97510</v>
      </c>
      <c r="G3813" s="1115" t="n">
        <v>97970</v>
      </c>
      <c r="H3813" s="1115" t="s">
        <v>3862</v>
      </c>
      <c r="I3813" s="1115" t="n">
        <v>97580</v>
      </c>
      <c r="J3813" s="1115" t="s">
        <v>1083</v>
      </c>
    </row>
    <row r="3814" customFormat="false" ht="14.1" hidden="false" customHeight="true" outlineLevel="0" collapsed="false">
      <c r="A3814" s="1115" t="n">
        <v>97560</v>
      </c>
      <c r="B3814" s="1115" t="s">
        <v>170</v>
      </c>
      <c r="C3814" s="1115" t="n">
        <v>97560</v>
      </c>
      <c r="D3814" s="1115" t="s">
        <v>2825</v>
      </c>
      <c r="E3814" s="1115" t="s">
        <v>3532</v>
      </c>
      <c r="F3814" s="1115" t="n">
        <v>65480</v>
      </c>
      <c r="G3814" s="1115" t="n">
        <v>97980</v>
      </c>
      <c r="H3814" s="1115" t="s">
        <v>892</v>
      </c>
      <c r="I3814" s="1115" t="n">
        <v>97590</v>
      </c>
      <c r="J3814" s="1115" t="s">
        <v>1035</v>
      </c>
    </row>
    <row r="3815" customFormat="false" ht="14.1" hidden="false" customHeight="true" outlineLevel="0" collapsed="false">
      <c r="A3815" s="1115" t="n">
        <v>97580</v>
      </c>
      <c r="B3815" s="1115" t="s">
        <v>170</v>
      </c>
      <c r="C3815" s="1115" t="n">
        <v>97580</v>
      </c>
      <c r="D3815" s="1115" t="s">
        <v>3202</v>
      </c>
      <c r="E3815" s="1115" t="s">
        <v>1622</v>
      </c>
      <c r="F3815" s="1115" t="n">
        <v>39310</v>
      </c>
      <c r="G3815" s="1115" t="n">
        <v>97990</v>
      </c>
      <c r="H3815" s="1115" t="s">
        <v>3260</v>
      </c>
      <c r="I3815" s="1115" t="n">
        <v>97610</v>
      </c>
      <c r="J3815" s="1115" t="s">
        <v>1035</v>
      </c>
    </row>
    <row r="3816" customFormat="false" ht="14.1" hidden="false" customHeight="true" outlineLevel="0" collapsed="false">
      <c r="A3816" s="1115" t="n">
        <v>97590</v>
      </c>
      <c r="B3816" s="1115" t="s">
        <v>170</v>
      </c>
      <c r="C3816" s="1115" t="n">
        <v>97590</v>
      </c>
      <c r="D3816" s="1115" t="s">
        <v>3673</v>
      </c>
      <c r="E3816" s="1115" t="s">
        <v>3790</v>
      </c>
      <c r="F3816" s="1115" t="n">
        <v>79520</v>
      </c>
      <c r="G3816" s="1115" t="n">
        <v>98100</v>
      </c>
      <c r="H3816" s="1115" t="s">
        <v>1035</v>
      </c>
      <c r="I3816" s="1115" t="n">
        <v>97615</v>
      </c>
      <c r="J3816" s="1115" t="s">
        <v>1035</v>
      </c>
    </row>
    <row r="3817" customFormat="false" ht="14.1" hidden="false" customHeight="true" outlineLevel="0" collapsed="false">
      <c r="A3817" s="1115" t="n">
        <v>97610</v>
      </c>
      <c r="B3817" s="1115" t="s">
        <v>170</v>
      </c>
      <c r="C3817" s="1115" t="n">
        <v>97610</v>
      </c>
      <c r="D3817" s="1115" t="s">
        <v>3388</v>
      </c>
      <c r="E3817" s="1115" t="s">
        <v>3279</v>
      </c>
      <c r="F3817" s="1115" t="n">
        <v>58350</v>
      </c>
      <c r="G3817" s="1115" t="n">
        <v>98120</v>
      </c>
      <c r="H3817" s="1115" t="s">
        <v>1035</v>
      </c>
      <c r="I3817" s="1115" t="n">
        <v>97620</v>
      </c>
      <c r="J3817" s="1115" t="s">
        <v>1035</v>
      </c>
    </row>
    <row r="3818" customFormat="false" ht="14.1" hidden="false" customHeight="true" outlineLevel="0" collapsed="false">
      <c r="A3818" s="1115" t="n">
        <v>97615</v>
      </c>
      <c r="B3818" s="1115" t="s">
        <v>170</v>
      </c>
      <c r="C3818" s="1115" t="n">
        <v>97615</v>
      </c>
      <c r="D3818" s="1115" t="s">
        <v>3937</v>
      </c>
      <c r="E3818" s="1115" t="s">
        <v>3518</v>
      </c>
      <c r="F3818" s="1115" t="n">
        <v>64830</v>
      </c>
      <c r="G3818" s="1115" t="n">
        <v>98220</v>
      </c>
      <c r="H3818" s="1115" t="s">
        <v>2273</v>
      </c>
      <c r="I3818" s="1115" t="n">
        <v>97625</v>
      </c>
      <c r="J3818" s="1115" t="s">
        <v>1035</v>
      </c>
    </row>
    <row r="3819" customFormat="false" ht="14.1" hidden="false" customHeight="true" outlineLevel="0" collapsed="false">
      <c r="A3819" s="1115" t="n">
        <v>97620</v>
      </c>
      <c r="B3819" s="1115" t="s">
        <v>170</v>
      </c>
      <c r="C3819" s="1115" t="n">
        <v>97620</v>
      </c>
      <c r="D3819" s="1115" t="s">
        <v>3993</v>
      </c>
      <c r="E3819" s="1115" t="s">
        <v>1724</v>
      </c>
      <c r="F3819" s="1115" t="n">
        <v>16270</v>
      </c>
      <c r="G3819" s="1115" t="n">
        <v>98230</v>
      </c>
      <c r="H3819" s="1115" t="s">
        <v>3074</v>
      </c>
      <c r="I3819" s="1115" t="n">
        <v>97630</v>
      </c>
      <c r="J3819" s="1115" t="s">
        <v>1035</v>
      </c>
    </row>
    <row r="3820" customFormat="false" ht="14.1" hidden="false" customHeight="true" outlineLevel="0" collapsed="false">
      <c r="A3820" s="1115" t="n">
        <v>97625</v>
      </c>
      <c r="B3820" s="1115" t="s">
        <v>170</v>
      </c>
      <c r="C3820" s="1115" t="n">
        <v>97625</v>
      </c>
      <c r="D3820" s="1115" t="s">
        <v>3989</v>
      </c>
      <c r="E3820" s="1115" t="s">
        <v>1697</v>
      </c>
      <c r="F3820" s="1115" t="n">
        <v>15540</v>
      </c>
      <c r="G3820" s="1115" t="n">
        <v>98260</v>
      </c>
      <c r="H3820" s="1115" t="s">
        <v>2758</v>
      </c>
      <c r="I3820" s="1115" t="n">
        <v>97635</v>
      </c>
      <c r="J3820" s="1115" t="s">
        <v>1035</v>
      </c>
    </row>
    <row r="3821" customFormat="false" ht="14.1" hidden="false" customHeight="true" outlineLevel="0" collapsed="false">
      <c r="A3821" s="1115" t="n">
        <v>97630</v>
      </c>
      <c r="B3821" s="1115" t="s">
        <v>170</v>
      </c>
      <c r="C3821" s="1115" t="n">
        <v>97630</v>
      </c>
      <c r="D3821" s="1115" t="s">
        <v>3516</v>
      </c>
      <c r="E3821" s="1115" t="s">
        <v>3978</v>
      </c>
      <c r="F3821" s="1115" t="n">
        <v>95240</v>
      </c>
      <c r="G3821" s="1115" t="n">
        <v>98280</v>
      </c>
      <c r="H3821" s="1115" t="s">
        <v>3811</v>
      </c>
      <c r="I3821" s="1115" t="n">
        <v>97645</v>
      </c>
      <c r="J3821" s="1115" t="s">
        <v>1035</v>
      </c>
    </row>
    <row r="3822" customFormat="false" ht="14.1" hidden="false" customHeight="true" outlineLevel="0" collapsed="false">
      <c r="A3822" s="1115" t="n">
        <v>97635</v>
      </c>
      <c r="B3822" s="1115" t="s">
        <v>170</v>
      </c>
      <c r="C3822" s="1115" t="n">
        <v>97635</v>
      </c>
      <c r="D3822" s="1115" t="s">
        <v>2061</v>
      </c>
      <c r="E3822" s="1115" t="s">
        <v>1624</v>
      </c>
      <c r="F3822" s="1115" t="n">
        <v>35700</v>
      </c>
      <c r="G3822" s="1115" t="n">
        <v>98310</v>
      </c>
      <c r="H3822" s="1115" t="s">
        <v>2277</v>
      </c>
      <c r="I3822" s="1115" t="n">
        <v>97650</v>
      </c>
      <c r="J3822" s="1115" t="s">
        <v>1035</v>
      </c>
    </row>
    <row r="3823" customFormat="false" ht="14.1" hidden="false" customHeight="true" outlineLevel="0" collapsed="false">
      <c r="A3823" s="1115" t="n">
        <v>97645</v>
      </c>
      <c r="B3823" s="1115" t="s">
        <v>170</v>
      </c>
      <c r="C3823" s="1115" t="n">
        <v>97645</v>
      </c>
      <c r="D3823" s="1115" t="s">
        <v>2060</v>
      </c>
      <c r="E3823" s="1115" t="s">
        <v>1625</v>
      </c>
      <c r="F3823" s="1115" t="n">
        <v>62800</v>
      </c>
      <c r="G3823" s="1115" t="n">
        <v>98330</v>
      </c>
      <c r="H3823" s="1115" t="s">
        <v>2002</v>
      </c>
      <c r="I3823" s="1115" t="n">
        <v>97655</v>
      </c>
      <c r="J3823" s="1115" t="s">
        <v>1035</v>
      </c>
    </row>
    <row r="3824" customFormat="false" ht="14.1" hidden="false" customHeight="true" outlineLevel="0" collapsed="false">
      <c r="A3824" s="1115" t="n">
        <v>97650</v>
      </c>
      <c r="B3824" s="1115" t="s">
        <v>170</v>
      </c>
      <c r="C3824" s="1115" t="n">
        <v>97650</v>
      </c>
      <c r="D3824" s="1115" t="s">
        <v>2052</v>
      </c>
      <c r="E3824" s="1115" t="s">
        <v>2056</v>
      </c>
      <c r="F3824" s="1115" t="n">
        <v>23200</v>
      </c>
      <c r="G3824" s="1115" t="n">
        <v>98350</v>
      </c>
      <c r="H3824" s="1115" t="s">
        <v>3930</v>
      </c>
      <c r="I3824" s="1115" t="n">
        <v>97670</v>
      </c>
      <c r="J3824" s="1115" t="s">
        <v>1035</v>
      </c>
    </row>
    <row r="3825" customFormat="false" ht="14.1" hidden="false" customHeight="true" outlineLevel="0" collapsed="false">
      <c r="A3825" s="1115" t="n">
        <v>97655</v>
      </c>
      <c r="B3825" s="1115" t="s">
        <v>170</v>
      </c>
      <c r="C3825" s="1115" t="n">
        <v>97655</v>
      </c>
      <c r="D3825" s="1115" t="s">
        <v>961</v>
      </c>
      <c r="E3825" s="1115" t="s">
        <v>3436</v>
      </c>
      <c r="F3825" s="1115" t="n">
        <v>62870</v>
      </c>
      <c r="G3825" s="1115" t="n">
        <v>98360</v>
      </c>
      <c r="H3825" s="1115" t="s">
        <v>3995</v>
      </c>
      <c r="I3825" s="1115" t="n">
        <v>97675</v>
      </c>
      <c r="J3825" s="1115" t="s">
        <v>1035</v>
      </c>
    </row>
    <row r="3826" customFormat="false" ht="14.1" hidden="false" customHeight="true" outlineLevel="0" collapsed="false">
      <c r="A3826" s="1115" t="n">
        <v>97670</v>
      </c>
      <c r="B3826" s="1115" t="s">
        <v>170</v>
      </c>
      <c r="C3826" s="1115" t="n">
        <v>97670</v>
      </c>
      <c r="D3826" s="1115" t="s">
        <v>2456</v>
      </c>
      <c r="E3826" s="1115" t="s">
        <v>1733</v>
      </c>
      <c r="F3826" s="1115" t="n">
        <v>16310</v>
      </c>
      <c r="G3826" s="1115" t="n">
        <v>98370</v>
      </c>
      <c r="H3826" s="1115" t="s">
        <v>3996</v>
      </c>
      <c r="I3826" s="1115" t="n">
        <v>97680</v>
      </c>
      <c r="J3826" s="1115" t="s">
        <v>1035</v>
      </c>
    </row>
    <row r="3827" customFormat="false" ht="14.1" hidden="false" customHeight="true" outlineLevel="0" collapsed="false">
      <c r="A3827" s="1115" t="n">
        <v>97675</v>
      </c>
      <c r="B3827" s="1115" t="s">
        <v>170</v>
      </c>
      <c r="C3827" s="1115" t="n">
        <v>97675</v>
      </c>
      <c r="D3827" s="1115" t="s">
        <v>3291</v>
      </c>
      <c r="E3827" s="1115" t="s">
        <v>3227</v>
      </c>
      <c r="F3827" s="1115" t="n">
        <v>56210</v>
      </c>
      <c r="G3827" s="1115" t="n">
        <v>98390</v>
      </c>
      <c r="H3827" s="1115" t="s">
        <v>956</v>
      </c>
      <c r="I3827" s="1115" t="n">
        <v>97685</v>
      </c>
      <c r="J3827" s="1115" t="s">
        <v>1035</v>
      </c>
    </row>
    <row r="3828" customFormat="false" ht="14.1" hidden="false" customHeight="true" outlineLevel="0" collapsed="false">
      <c r="A3828" s="1115" t="n">
        <v>97680</v>
      </c>
      <c r="B3828" s="1115" t="s">
        <v>170</v>
      </c>
      <c r="C3828" s="1115" t="n">
        <v>97680</v>
      </c>
      <c r="D3828" s="1115" t="s">
        <v>3787</v>
      </c>
      <c r="E3828" s="1115" t="s">
        <v>1626</v>
      </c>
      <c r="F3828" s="1115" t="n">
        <v>49900</v>
      </c>
      <c r="G3828" s="1115" t="n">
        <v>98400</v>
      </c>
      <c r="H3828" s="1115" t="s">
        <v>1963</v>
      </c>
      <c r="I3828" s="1115" t="n">
        <v>97690</v>
      </c>
      <c r="J3828" s="1115" t="s">
        <v>1035</v>
      </c>
    </row>
    <row r="3829" customFormat="false" ht="14.1" hidden="false" customHeight="true" outlineLevel="0" collapsed="false">
      <c r="A3829" s="1115" t="n">
        <v>97685</v>
      </c>
      <c r="B3829" s="1115" t="s">
        <v>170</v>
      </c>
      <c r="C3829" s="1115" t="n">
        <v>97685</v>
      </c>
      <c r="D3829" s="1115" t="s">
        <v>3847</v>
      </c>
      <c r="E3829" s="1115" t="s">
        <v>1626</v>
      </c>
      <c r="F3829" s="1115" t="n">
        <v>49950</v>
      </c>
      <c r="G3829" s="1115" t="n">
        <v>98420</v>
      </c>
      <c r="H3829" s="1115" t="s">
        <v>3774</v>
      </c>
      <c r="I3829" s="1115" t="n">
        <v>97700</v>
      </c>
      <c r="J3829" s="1115" t="s">
        <v>1418</v>
      </c>
    </row>
    <row r="3830" customFormat="false" ht="14.1" hidden="false" customHeight="true" outlineLevel="0" collapsed="false">
      <c r="A3830" s="1115" t="n">
        <v>97690</v>
      </c>
      <c r="B3830" s="1115" t="s">
        <v>170</v>
      </c>
      <c r="C3830" s="1115" t="n">
        <v>97690</v>
      </c>
      <c r="D3830" s="1115" t="s">
        <v>3880</v>
      </c>
      <c r="E3830" s="1115" t="s">
        <v>3148</v>
      </c>
      <c r="F3830" s="1115" t="n">
        <v>52950</v>
      </c>
      <c r="G3830" s="1115" t="n">
        <v>98440</v>
      </c>
      <c r="H3830" s="1115" t="s">
        <v>2184</v>
      </c>
      <c r="I3830" s="1115" t="n">
        <v>97710</v>
      </c>
      <c r="J3830" s="1115" t="s">
        <v>1035</v>
      </c>
    </row>
    <row r="3831" customFormat="false" ht="14.1" hidden="false" customHeight="true" outlineLevel="0" collapsed="false">
      <c r="A3831" s="1115" t="n">
        <v>97700</v>
      </c>
      <c r="B3831" s="1115" t="s">
        <v>170</v>
      </c>
      <c r="C3831" s="1115" t="n">
        <v>97700</v>
      </c>
      <c r="D3831" s="1115" t="s">
        <v>1418</v>
      </c>
      <c r="E3831" s="1115" t="s">
        <v>1627</v>
      </c>
      <c r="F3831" s="1115" t="n">
        <v>34800</v>
      </c>
      <c r="G3831" s="1115" t="n">
        <v>98450</v>
      </c>
      <c r="H3831" s="1115" t="s">
        <v>2603</v>
      </c>
      <c r="I3831" s="1115" t="n">
        <v>97715</v>
      </c>
      <c r="J3831" s="1115" t="s">
        <v>1035</v>
      </c>
    </row>
    <row r="3832" customFormat="false" ht="14.1" hidden="false" customHeight="true" outlineLevel="0" collapsed="false">
      <c r="A3832" s="1115" t="n">
        <v>97710</v>
      </c>
      <c r="B3832" s="1115" t="s">
        <v>170</v>
      </c>
      <c r="C3832" s="1115" t="n">
        <v>97710</v>
      </c>
      <c r="D3832" s="1115" t="s">
        <v>3368</v>
      </c>
      <c r="E3832" s="1115" t="s">
        <v>3758</v>
      </c>
      <c r="F3832" s="1115" t="n">
        <v>77330</v>
      </c>
      <c r="G3832" s="1115" t="n">
        <v>98470</v>
      </c>
      <c r="H3832" s="1115" t="s">
        <v>3390</v>
      </c>
      <c r="I3832" s="1115" t="n">
        <v>97720</v>
      </c>
      <c r="J3832" s="1115" t="s">
        <v>1035</v>
      </c>
    </row>
    <row r="3833" customFormat="false" ht="14.1" hidden="false" customHeight="true" outlineLevel="0" collapsed="false">
      <c r="A3833" s="1115" t="n">
        <v>97715</v>
      </c>
      <c r="B3833" s="1115" t="s">
        <v>170</v>
      </c>
      <c r="C3833" s="1115" t="n">
        <v>97715</v>
      </c>
      <c r="D3833" s="1115" t="s">
        <v>3685</v>
      </c>
      <c r="E3833" s="1115" t="s">
        <v>2405</v>
      </c>
      <c r="F3833" s="1115" t="n">
        <v>32560</v>
      </c>
      <c r="G3833" s="1115" t="n">
        <v>98500</v>
      </c>
      <c r="H3833" s="1115" t="s">
        <v>1325</v>
      </c>
      <c r="I3833" s="1115" t="n">
        <v>97735</v>
      </c>
      <c r="J3833" s="1115" t="s">
        <v>1035</v>
      </c>
    </row>
    <row r="3834" customFormat="false" ht="14.1" hidden="false" customHeight="true" outlineLevel="0" collapsed="false">
      <c r="A3834" s="1115" t="n">
        <v>97720</v>
      </c>
      <c r="B3834" s="1115" t="s">
        <v>170</v>
      </c>
      <c r="C3834" s="1115" t="n">
        <v>97720</v>
      </c>
      <c r="D3834" s="1115" t="s">
        <v>3994</v>
      </c>
      <c r="E3834" s="1115" t="s">
        <v>2339</v>
      </c>
      <c r="F3834" s="1115" t="n">
        <v>31350</v>
      </c>
      <c r="G3834" s="1115" t="n">
        <v>98510</v>
      </c>
      <c r="H3834" s="1115" t="s">
        <v>3827</v>
      </c>
      <c r="I3834" s="1115" t="n">
        <v>97740</v>
      </c>
      <c r="J3834" s="1115" t="s">
        <v>1035</v>
      </c>
    </row>
    <row r="3835" customFormat="false" ht="14.1" hidden="false" customHeight="true" outlineLevel="0" collapsed="false">
      <c r="A3835" s="1115" t="n">
        <v>97735</v>
      </c>
      <c r="B3835" s="1115" t="s">
        <v>170</v>
      </c>
      <c r="C3835" s="1115" t="n">
        <v>97735</v>
      </c>
      <c r="D3835" s="1115" t="s">
        <v>3945</v>
      </c>
      <c r="E3835" s="1115" t="s">
        <v>2502</v>
      </c>
      <c r="F3835" s="1115" t="n">
        <v>34870</v>
      </c>
      <c r="G3835" s="1115" t="n">
        <v>98530</v>
      </c>
      <c r="H3835" s="1115" t="s">
        <v>3659</v>
      </c>
      <c r="I3835" s="1115" t="n">
        <v>97745</v>
      </c>
      <c r="J3835" s="1115" t="s">
        <v>1035</v>
      </c>
    </row>
    <row r="3836" customFormat="false" ht="14.1" hidden="false" customHeight="true" outlineLevel="0" collapsed="false">
      <c r="A3836" s="1115" t="n">
        <v>97740</v>
      </c>
      <c r="B3836" s="1115" t="s">
        <v>170</v>
      </c>
      <c r="C3836" s="1115" t="n">
        <v>97740</v>
      </c>
      <c r="D3836" s="1115" t="s">
        <v>803</v>
      </c>
      <c r="E3836" s="1115" t="s">
        <v>3121</v>
      </c>
      <c r="F3836" s="1115" t="n">
        <v>52320</v>
      </c>
      <c r="G3836" s="1115" t="n">
        <v>98550</v>
      </c>
      <c r="H3836" s="1115" t="s">
        <v>3897</v>
      </c>
      <c r="I3836" s="1115" t="n">
        <v>97750</v>
      </c>
      <c r="J3836" s="1115" t="s">
        <v>1035</v>
      </c>
    </row>
    <row r="3837" customFormat="false" ht="14.1" hidden="false" customHeight="true" outlineLevel="0" collapsed="false">
      <c r="A3837" s="1115" t="n">
        <v>97745</v>
      </c>
      <c r="B3837" s="1115" t="s">
        <v>170</v>
      </c>
      <c r="C3837" s="1115" t="n">
        <v>97745</v>
      </c>
      <c r="D3837" s="1115" t="s">
        <v>3742</v>
      </c>
      <c r="E3837" s="1115" t="s">
        <v>3997</v>
      </c>
      <c r="F3837" s="1115" t="n">
        <v>99220</v>
      </c>
      <c r="G3837" s="1115" t="n">
        <v>98560</v>
      </c>
      <c r="H3837" s="1115" t="s">
        <v>2149</v>
      </c>
      <c r="I3837" s="1115" t="n">
        <v>97755</v>
      </c>
      <c r="J3837" s="1115" t="s">
        <v>1035</v>
      </c>
    </row>
    <row r="3838" customFormat="false" ht="14.1" hidden="false" customHeight="true" outlineLevel="0" collapsed="false">
      <c r="A3838" s="1115" t="n">
        <v>97750</v>
      </c>
      <c r="B3838" s="1115" t="s">
        <v>170</v>
      </c>
      <c r="C3838" s="1115" t="n">
        <v>97750</v>
      </c>
      <c r="D3838" s="1115" t="s">
        <v>2650</v>
      </c>
      <c r="E3838" s="1115" t="s">
        <v>3196</v>
      </c>
      <c r="F3838" s="1115" t="n">
        <v>54630</v>
      </c>
      <c r="G3838" s="1115" t="n">
        <v>98570</v>
      </c>
      <c r="H3838" s="1115" t="s">
        <v>703</v>
      </c>
      <c r="I3838" s="1115" t="n">
        <v>97760</v>
      </c>
      <c r="J3838" s="1115" t="s">
        <v>1035</v>
      </c>
    </row>
    <row r="3839" customFormat="false" ht="14.1" hidden="false" customHeight="true" outlineLevel="0" collapsed="false">
      <c r="A3839" s="1115" t="n">
        <v>97755</v>
      </c>
      <c r="B3839" s="1115" t="s">
        <v>170</v>
      </c>
      <c r="C3839" s="1115" t="n">
        <v>97755</v>
      </c>
      <c r="D3839" s="1115" t="s">
        <v>3908</v>
      </c>
      <c r="E3839" s="1115" t="s">
        <v>3873</v>
      </c>
      <c r="F3839" s="1115" t="n">
        <v>83620</v>
      </c>
      <c r="G3839" s="1115" t="n">
        <v>98580</v>
      </c>
      <c r="H3839" s="1115" t="s">
        <v>3048</v>
      </c>
      <c r="I3839" s="1115" t="n">
        <v>97765</v>
      </c>
      <c r="J3839" s="1115" t="s">
        <v>1035</v>
      </c>
    </row>
    <row r="3840" customFormat="false" ht="14.1" hidden="false" customHeight="true" outlineLevel="0" collapsed="false">
      <c r="A3840" s="1115" t="n">
        <v>97760</v>
      </c>
      <c r="B3840" s="1115" t="s">
        <v>170</v>
      </c>
      <c r="C3840" s="1115" t="n">
        <v>97760</v>
      </c>
      <c r="D3840" s="1115" t="s">
        <v>3788</v>
      </c>
      <c r="E3840" s="1115" t="s">
        <v>2952</v>
      </c>
      <c r="F3840" s="1115" t="n">
        <v>45910</v>
      </c>
      <c r="G3840" s="1115" t="n">
        <v>98600</v>
      </c>
      <c r="H3840" s="1115" t="s">
        <v>2734</v>
      </c>
      <c r="I3840" s="1115" t="n">
        <v>97770</v>
      </c>
      <c r="J3840" s="1115" t="s">
        <v>1035</v>
      </c>
    </row>
    <row r="3841" customFormat="false" ht="14.1" hidden="false" customHeight="true" outlineLevel="0" collapsed="false">
      <c r="A3841" s="1115" t="n">
        <v>97765</v>
      </c>
      <c r="B3841" s="1115" t="s">
        <v>170</v>
      </c>
      <c r="C3841" s="1115" t="n">
        <v>97765</v>
      </c>
      <c r="D3841" s="1115" t="s">
        <v>1937</v>
      </c>
      <c r="E3841" s="1115" t="s">
        <v>3144</v>
      </c>
      <c r="F3841" s="1115" t="n">
        <v>52920</v>
      </c>
      <c r="G3841" s="1115" t="n">
        <v>98610</v>
      </c>
      <c r="H3841" s="1115" t="s">
        <v>3257</v>
      </c>
      <c r="I3841" s="1115" t="n">
        <v>97780</v>
      </c>
      <c r="J3841" s="1115" t="s">
        <v>1035</v>
      </c>
    </row>
    <row r="3842" customFormat="false" ht="14.1" hidden="false" customHeight="true" outlineLevel="0" collapsed="false">
      <c r="A3842" s="1115" t="n">
        <v>97770</v>
      </c>
      <c r="B3842" s="1115" t="s">
        <v>170</v>
      </c>
      <c r="C3842" s="1115" t="n">
        <v>97770</v>
      </c>
      <c r="D3842" s="1115" t="s">
        <v>3550</v>
      </c>
      <c r="E3842" s="1115" t="s">
        <v>2168</v>
      </c>
      <c r="F3842" s="1115" t="n">
        <v>26950</v>
      </c>
      <c r="G3842" s="1115" t="n">
        <v>98620</v>
      </c>
      <c r="H3842" s="1115" t="s">
        <v>3453</v>
      </c>
      <c r="I3842" s="1115" t="n">
        <v>97785</v>
      </c>
      <c r="J3842" s="1115" t="s">
        <v>1035</v>
      </c>
    </row>
    <row r="3843" customFormat="false" ht="14.1" hidden="false" customHeight="true" outlineLevel="0" collapsed="false">
      <c r="A3843" s="1115" t="n">
        <v>97780</v>
      </c>
      <c r="B3843" s="1115" t="s">
        <v>170</v>
      </c>
      <c r="C3843" s="1115" t="n">
        <v>97780</v>
      </c>
      <c r="D3843" s="1115" t="s">
        <v>2745</v>
      </c>
      <c r="E3843" s="1115" t="s">
        <v>2211</v>
      </c>
      <c r="F3843" s="1115" t="n">
        <v>27740</v>
      </c>
      <c r="G3843" s="1115" t="n">
        <v>98630</v>
      </c>
      <c r="H3843" s="1115" t="s">
        <v>779</v>
      </c>
      <c r="I3843" s="1115" t="n">
        <v>97810</v>
      </c>
      <c r="J3843" s="1115" t="s">
        <v>1365</v>
      </c>
    </row>
    <row r="3844" customFormat="false" ht="14.1" hidden="false" customHeight="true" outlineLevel="0" collapsed="false">
      <c r="A3844" s="1115" t="n">
        <v>97785</v>
      </c>
      <c r="B3844" s="1115" t="s">
        <v>170</v>
      </c>
      <c r="C3844" s="1115" t="n">
        <v>97785</v>
      </c>
      <c r="D3844" s="1115" t="s">
        <v>2352</v>
      </c>
      <c r="E3844" s="1115" t="s">
        <v>1621</v>
      </c>
      <c r="F3844" s="1115" t="n">
        <v>12950</v>
      </c>
      <c r="G3844" s="1115" t="n">
        <v>98650</v>
      </c>
      <c r="H3844" s="1115" t="s">
        <v>3985</v>
      </c>
      <c r="I3844" s="1115" t="n">
        <v>97815</v>
      </c>
      <c r="J3844" s="1115" t="s">
        <v>1365</v>
      </c>
    </row>
    <row r="3845" customFormat="false" ht="14.1" hidden="false" customHeight="true" outlineLevel="0" collapsed="false">
      <c r="A3845" s="1115" t="n">
        <v>97810</v>
      </c>
      <c r="B3845" s="1115" t="s">
        <v>170</v>
      </c>
      <c r="C3845" s="1115" t="n">
        <v>97810</v>
      </c>
      <c r="D3845" s="1115" t="s">
        <v>3891</v>
      </c>
      <c r="E3845" s="1115" t="s">
        <v>3416</v>
      </c>
      <c r="F3845" s="1115" t="n">
        <v>62310</v>
      </c>
      <c r="G3845" s="1115" t="n">
        <v>98660</v>
      </c>
      <c r="H3845" s="1115" t="s">
        <v>3805</v>
      </c>
      <c r="I3845" s="1115" t="n">
        <v>97820</v>
      </c>
      <c r="J3845" s="1115" t="s">
        <v>1365</v>
      </c>
    </row>
    <row r="3846" customFormat="false" ht="14.1" hidden="false" customHeight="true" outlineLevel="0" collapsed="false">
      <c r="A3846" s="1115" t="n">
        <v>97815</v>
      </c>
      <c r="B3846" s="1115" t="s">
        <v>170</v>
      </c>
      <c r="C3846" s="1115" t="n">
        <v>97815</v>
      </c>
      <c r="D3846" s="1115" t="s">
        <v>3528</v>
      </c>
      <c r="E3846" s="1115" t="s">
        <v>1398</v>
      </c>
      <c r="F3846" s="1115" t="n">
        <v>7450</v>
      </c>
      <c r="G3846" s="1115" t="n">
        <v>98710</v>
      </c>
      <c r="H3846" s="1115" t="s">
        <v>2031</v>
      </c>
      <c r="I3846" s="1115" t="n">
        <v>97830</v>
      </c>
      <c r="J3846" s="1115" t="s">
        <v>1365</v>
      </c>
    </row>
    <row r="3847" customFormat="false" ht="14.1" hidden="false" customHeight="true" outlineLevel="0" collapsed="false">
      <c r="A3847" s="1115" t="n">
        <v>97820</v>
      </c>
      <c r="B3847" s="1115" t="s">
        <v>170</v>
      </c>
      <c r="C3847" s="1115" t="n">
        <v>97820</v>
      </c>
      <c r="D3847" s="1115" t="s">
        <v>3535</v>
      </c>
      <c r="E3847" s="1115" t="s">
        <v>3958</v>
      </c>
      <c r="F3847" s="1115" t="n">
        <v>92610</v>
      </c>
      <c r="G3847" s="1115" t="n">
        <v>98720</v>
      </c>
      <c r="H3847" s="1115" t="s">
        <v>3887</v>
      </c>
      <c r="I3847" s="1115" t="n">
        <v>97840</v>
      </c>
      <c r="J3847" s="1115" t="s">
        <v>1365</v>
      </c>
    </row>
    <row r="3848" customFormat="false" ht="14.1" hidden="false" customHeight="true" outlineLevel="0" collapsed="false">
      <c r="A3848" s="1115" t="n">
        <v>97830</v>
      </c>
      <c r="B3848" s="1115" t="s">
        <v>170</v>
      </c>
      <c r="C3848" s="1115" t="n">
        <v>97830</v>
      </c>
      <c r="D3848" s="1115" t="s">
        <v>2388</v>
      </c>
      <c r="E3848" s="1115" t="s">
        <v>2126</v>
      </c>
      <c r="F3848" s="1115" t="n">
        <v>25710</v>
      </c>
      <c r="G3848" s="1115" t="n">
        <v>98730</v>
      </c>
      <c r="H3848" s="1115" t="s">
        <v>3948</v>
      </c>
      <c r="I3848" s="1115" t="n">
        <v>97850</v>
      </c>
      <c r="J3848" s="1115" t="s">
        <v>1365</v>
      </c>
    </row>
    <row r="3849" customFormat="false" ht="14.1" hidden="false" customHeight="true" outlineLevel="0" collapsed="false">
      <c r="A3849" s="1115" t="n">
        <v>97840</v>
      </c>
      <c r="B3849" s="1115" t="s">
        <v>170</v>
      </c>
      <c r="C3849" s="1115" t="n">
        <v>97840</v>
      </c>
      <c r="D3849" s="1115" t="s">
        <v>2937</v>
      </c>
      <c r="E3849" s="1115" t="s">
        <v>2997</v>
      </c>
      <c r="F3849" s="1115" t="n">
        <v>47900</v>
      </c>
      <c r="G3849" s="1115" t="n">
        <v>98740</v>
      </c>
      <c r="H3849" s="1115" t="s">
        <v>3215</v>
      </c>
      <c r="I3849" s="1115" t="n">
        <v>97860</v>
      </c>
      <c r="J3849" s="1115" t="s">
        <v>1365</v>
      </c>
    </row>
    <row r="3850" customFormat="false" ht="14.1" hidden="false" customHeight="true" outlineLevel="0" collapsed="false">
      <c r="A3850" s="1115" t="n">
        <v>97850</v>
      </c>
      <c r="B3850" s="1115" t="s">
        <v>170</v>
      </c>
      <c r="C3850" s="1115" t="n">
        <v>97850</v>
      </c>
      <c r="D3850" s="1115" t="s">
        <v>3731</v>
      </c>
      <c r="E3850" s="1115" t="s">
        <v>1656</v>
      </c>
      <c r="F3850" s="1115" t="n">
        <v>14430</v>
      </c>
      <c r="G3850" s="1115" t="n">
        <v>98760</v>
      </c>
      <c r="H3850" s="1115" t="s">
        <v>1719</v>
      </c>
      <c r="I3850" s="1115" t="n">
        <v>97870</v>
      </c>
      <c r="J3850" s="1115" t="s">
        <v>1365</v>
      </c>
    </row>
    <row r="3851" customFormat="false" ht="14.1" hidden="false" customHeight="true" outlineLevel="0" collapsed="false">
      <c r="A3851" s="1115" t="n">
        <v>97860</v>
      </c>
      <c r="B3851" s="1115" t="s">
        <v>170</v>
      </c>
      <c r="C3851" s="1115" t="n">
        <v>97860</v>
      </c>
      <c r="D3851" s="1115" t="s">
        <v>814</v>
      </c>
      <c r="E3851" s="1115" t="s">
        <v>3917</v>
      </c>
      <c r="F3851" s="1115" t="n">
        <v>86970</v>
      </c>
      <c r="G3851" s="1115" t="n">
        <v>98770</v>
      </c>
      <c r="H3851" s="1115" t="s">
        <v>753</v>
      </c>
      <c r="I3851" s="1115" t="n">
        <v>97880</v>
      </c>
      <c r="J3851" s="1115" t="s">
        <v>1365</v>
      </c>
    </row>
    <row r="3852" customFormat="false" ht="14.1" hidden="false" customHeight="true" outlineLevel="0" collapsed="false">
      <c r="A3852" s="1115" t="n">
        <v>97870</v>
      </c>
      <c r="B3852" s="1115" t="s">
        <v>170</v>
      </c>
      <c r="C3852" s="1115" t="n">
        <v>97870</v>
      </c>
      <c r="D3852" s="1115" t="s">
        <v>2041</v>
      </c>
      <c r="E3852" s="1115" t="s">
        <v>3073</v>
      </c>
      <c r="F3852" s="1115" t="n">
        <v>51440</v>
      </c>
      <c r="G3852" s="1115" t="n">
        <v>98780</v>
      </c>
      <c r="H3852" s="1115" t="s">
        <v>3102</v>
      </c>
      <c r="I3852" s="1115" t="n">
        <v>97890</v>
      </c>
      <c r="J3852" s="1115" t="s">
        <v>1365</v>
      </c>
    </row>
    <row r="3853" customFormat="false" ht="14.1" hidden="false" customHeight="true" outlineLevel="0" collapsed="false">
      <c r="A3853" s="1115" t="n">
        <v>97880</v>
      </c>
      <c r="B3853" s="1115" t="s">
        <v>170</v>
      </c>
      <c r="C3853" s="1115" t="n">
        <v>97880</v>
      </c>
      <c r="D3853" s="1115" t="s">
        <v>3345</v>
      </c>
      <c r="E3853" s="1115" t="s">
        <v>3923</v>
      </c>
      <c r="F3853" s="1115" t="n">
        <v>88615</v>
      </c>
      <c r="G3853" s="1115" t="n">
        <v>98790</v>
      </c>
      <c r="H3853" s="1115" t="s">
        <v>3479</v>
      </c>
      <c r="I3853" s="1115" t="n">
        <v>97895</v>
      </c>
      <c r="J3853" s="1115" t="s">
        <v>1365</v>
      </c>
    </row>
    <row r="3854" customFormat="false" ht="14.1" hidden="false" customHeight="true" outlineLevel="0" collapsed="false">
      <c r="A3854" s="1115" t="n">
        <v>97890</v>
      </c>
      <c r="B3854" s="1115" t="s">
        <v>170</v>
      </c>
      <c r="C3854" s="1115" t="n">
        <v>97890</v>
      </c>
      <c r="D3854" s="1115" t="s">
        <v>2258</v>
      </c>
      <c r="E3854" s="1115" t="s">
        <v>3922</v>
      </c>
      <c r="F3854" s="1115" t="n">
        <v>88610</v>
      </c>
      <c r="G3854" s="1115" t="n">
        <v>98800</v>
      </c>
      <c r="H3854" s="1115" t="s">
        <v>1488</v>
      </c>
      <c r="I3854" s="1115" t="n">
        <v>97900</v>
      </c>
      <c r="J3854" s="1115" t="s">
        <v>1365</v>
      </c>
    </row>
    <row r="3855" customFormat="false" ht="14.1" hidden="false" customHeight="true" outlineLevel="0" collapsed="false">
      <c r="A3855" s="1115" t="n">
        <v>97895</v>
      </c>
      <c r="B3855" s="1115" t="s">
        <v>170</v>
      </c>
      <c r="C3855" s="1115" t="n">
        <v>97895</v>
      </c>
      <c r="D3855" s="1115" t="s">
        <v>3219</v>
      </c>
      <c r="E3855" s="1115" t="s">
        <v>3883</v>
      </c>
      <c r="F3855" s="1115" t="n">
        <v>83925</v>
      </c>
      <c r="G3855" s="1115" t="n">
        <v>98810</v>
      </c>
      <c r="H3855" s="1115" t="s">
        <v>3054</v>
      </c>
      <c r="I3855" s="1115" t="n">
        <v>97910</v>
      </c>
      <c r="J3855" s="1115" t="s">
        <v>1365</v>
      </c>
    </row>
    <row r="3856" customFormat="false" ht="14.1" hidden="false" customHeight="true" outlineLevel="0" collapsed="false">
      <c r="A3856" s="1115" t="n">
        <v>97900</v>
      </c>
      <c r="B3856" s="1115" t="s">
        <v>170</v>
      </c>
      <c r="C3856" s="1115" t="n">
        <v>97900</v>
      </c>
      <c r="D3856" s="1115" t="s">
        <v>1365</v>
      </c>
      <c r="E3856" s="1115" t="s">
        <v>1849</v>
      </c>
      <c r="F3856" s="1115" t="n">
        <v>19150</v>
      </c>
      <c r="G3856" s="1115" t="n">
        <v>98820</v>
      </c>
      <c r="H3856" s="1115" t="s">
        <v>3998</v>
      </c>
      <c r="I3856" s="1115" t="n">
        <v>97920</v>
      </c>
      <c r="J3856" s="1115" t="s">
        <v>1365</v>
      </c>
    </row>
    <row r="3857" customFormat="false" ht="14.1" hidden="false" customHeight="true" outlineLevel="0" collapsed="false">
      <c r="A3857" s="1115" t="n">
        <v>97910</v>
      </c>
      <c r="B3857" s="1115" t="s">
        <v>170</v>
      </c>
      <c r="C3857" s="1115" t="n">
        <v>97910</v>
      </c>
      <c r="D3857" s="1115" t="s">
        <v>1688</v>
      </c>
      <c r="E3857" s="1115" t="s">
        <v>1628</v>
      </c>
      <c r="F3857" s="1115" t="n">
        <v>88270</v>
      </c>
      <c r="G3857" s="1115" t="n">
        <v>98830</v>
      </c>
      <c r="H3857" s="1115" t="s">
        <v>3153</v>
      </c>
      <c r="I3857" s="1115" t="n">
        <v>97925</v>
      </c>
      <c r="J3857" s="1115" t="s">
        <v>1365</v>
      </c>
    </row>
    <row r="3858" customFormat="false" ht="14.1" hidden="false" customHeight="true" outlineLevel="0" collapsed="false">
      <c r="A3858" s="1115" t="n">
        <v>97920</v>
      </c>
      <c r="B3858" s="1115" t="s">
        <v>170</v>
      </c>
      <c r="C3858" s="1115" t="n">
        <v>97920</v>
      </c>
      <c r="D3858" s="1115" t="s">
        <v>3888</v>
      </c>
      <c r="E3858" s="1115" t="s">
        <v>3360</v>
      </c>
      <c r="F3858" s="1115" t="n">
        <v>61110</v>
      </c>
      <c r="G3858" s="1115" t="n">
        <v>98840</v>
      </c>
      <c r="H3858" s="1115" t="s">
        <v>3769</v>
      </c>
      <c r="I3858" s="1115" t="n">
        <v>97940</v>
      </c>
      <c r="J3858" s="1115" t="s">
        <v>1365</v>
      </c>
    </row>
    <row r="3859" customFormat="false" ht="14.1" hidden="false" customHeight="true" outlineLevel="0" collapsed="false">
      <c r="A3859" s="1115" t="n">
        <v>97925</v>
      </c>
      <c r="B3859" s="1115" t="s">
        <v>170</v>
      </c>
      <c r="C3859" s="1115" t="n">
        <v>97925</v>
      </c>
      <c r="D3859" s="1115" t="s">
        <v>3946</v>
      </c>
      <c r="E3859" s="1115" t="s">
        <v>3826</v>
      </c>
      <c r="F3859" s="1115" t="n">
        <v>81560</v>
      </c>
      <c r="G3859" s="1115" t="n">
        <v>98850</v>
      </c>
      <c r="H3859" s="1115" t="s">
        <v>2726</v>
      </c>
      <c r="I3859" s="1115" t="n">
        <v>97950</v>
      </c>
      <c r="J3859" s="1115" t="s">
        <v>1365</v>
      </c>
    </row>
    <row r="3860" customFormat="false" ht="14.1" hidden="false" customHeight="true" outlineLevel="0" collapsed="false">
      <c r="A3860" s="1115" t="n">
        <v>97940</v>
      </c>
      <c r="B3860" s="1115" t="s">
        <v>170</v>
      </c>
      <c r="C3860" s="1115" t="n">
        <v>97940</v>
      </c>
      <c r="D3860" s="1115" t="s">
        <v>3017</v>
      </c>
      <c r="E3860" s="1115" t="s">
        <v>3828</v>
      </c>
      <c r="F3860" s="1115" t="n">
        <v>81590</v>
      </c>
      <c r="G3860" s="1115" t="n">
        <v>98860</v>
      </c>
      <c r="H3860" s="1115" t="s">
        <v>3351</v>
      </c>
      <c r="I3860" s="1115" t="n">
        <v>97960</v>
      </c>
      <c r="J3860" s="1115" t="s">
        <v>1365</v>
      </c>
    </row>
    <row r="3861" customFormat="false" ht="14.1" hidden="false" customHeight="true" outlineLevel="0" collapsed="false">
      <c r="A3861" s="1115" t="n">
        <v>97950</v>
      </c>
      <c r="B3861" s="1115" t="s">
        <v>170</v>
      </c>
      <c r="C3861" s="1115" t="n">
        <v>97950</v>
      </c>
      <c r="D3861" s="1115" t="s">
        <v>3899</v>
      </c>
      <c r="E3861" s="1115" t="s">
        <v>3999</v>
      </c>
      <c r="F3861" s="1115" t="n">
        <v>99410</v>
      </c>
      <c r="G3861" s="1115" t="n">
        <v>98900</v>
      </c>
      <c r="H3861" s="1115" t="s">
        <v>1469</v>
      </c>
      <c r="I3861" s="1115" t="n">
        <v>97965</v>
      </c>
      <c r="J3861" s="1115" t="s">
        <v>1365</v>
      </c>
    </row>
    <row r="3862" customFormat="false" ht="14.1" hidden="false" customHeight="true" outlineLevel="0" collapsed="false">
      <c r="A3862" s="1115" t="n">
        <v>97960</v>
      </c>
      <c r="B3862" s="1115" t="s">
        <v>170</v>
      </c>
      <c r="C3862" s="1115" t="n">
        <v>97960</v>
      </c>
      <c r="D3862" s="1115" t="s">
        <v>2686</v>
      </c>
      <c r="E3862" s="1115" t="s">
        <v>3640</v>
      </c>
      <c r="F3862" s="1115" t="n">
        <v>70910</v>
      </c>
      <c r="G3862" s="1115" t="n">
        <v>98920</v>
      </c>
      <c r="H3862" s="1115" t="s">
        <v>2359</v>
      </c>
      <c r="I3862" s="1115" t="n">
        <v>97970</v>
      </c>
      <c r="J3862" s="1115" t="s">
        <v>1365</v>
      </c>
    </row>
    <row r="3863" customFormat="false" ht="14.1" hidden="false" customHeight="true" outlineLevel="0" collapsed="false">
      <c r="A3863" s="1115" t="n">
        <v>97965</v>
      </c>
      <c r="B3863" s="1115" t="s">
        <v>170</v>
      </c>
      <c r="C3863" s="1115" t="n">
        <v>97965</v>
      </c>
      <c r="D3863" s="1115" t="s">
        <v>2784</v>
      </c>
      <c r="E3863" s="1115" t="s">
        <v>3098</v>
      </c>
      <c r="F3863" s="1115" t="n">
        <v>51850</v>
      </c>
      <c r="G3863" s="1115" t="n">
        <v>98925</v>
      </c>
      <c r="H3863" s="1115" t="s">
        <v>3955</v>
      </c>
      <c r="I3863" s="1115" t="n">
        <v>97980</v>
      </c>
      <c r="J3863" s="1115" t="s">
        <v>1365</v>
      </c>
    </row>
    <row r="3864" customFormat="false" ht="14.1" hidden="false" customHeight="true" outlineLevel="0" collapsed="false">
      <c r="A3864" s="1115" t="n">
        <v>97970</v>
      </c>
      <c r="B3864" s="1115" t="s">
        <v>170</v>
      </c>
      <c r="C3864" s="1115" t="n">
        <v>97970</v>
      </c>
      <c r="D3864" s="1115" t="s">
        <v>3862</v>
      </c>
      <c r="E3864" s="1115" t="s">
        <v>1796</v>
      </c>
      <c r="F3864" s="1115" t="n">
        <v>17210</v>
      </c>
      <c r="G3864" s="1115" t="n">
        <v>98930</v>
      </c>
      <c r="H3864" s="1115" t="s">
        <v>2608</v>
      </c>
      <c r="I3864" s="1115" t="n">
        <v>97990</v>
      </c>
      <c r="J3864" s="1115" t="s">
        <v>1365</v>
      </c>
    </row>
    <row r="3865" customFormat="false" ht="14.1" hidden="false" customHeight="true" outlineLevel="0" collapsed="false">
      <c r="A3865" s="1115" t="n">
        <v>97980</v>
      </c>
      <c r="B3865" s="1115" t="s">
        <v>170</v>
      </c>
      <c r="C3865" s="1115" t="n">
        <v>97980</v>
      </c>
      <c r="D3865" s="1115" t="s">
        <v>892</v>
      </c>
      <c r="E3865" s="1115" t="s">
        <v>2441</v>
      </c>
      <c r="F3865" s="1115" t="n">
        <v>33430</v>
      </c>
      <c r="G3865" s="1115" t="n">
        <v>98940</v>
      </c>
      <c r="H3865" s="1115" t="s">
        <v>3675</v>
      </c>
      <c r="I3865" s="1115" t="n">
        <v>98100</v>
      </c>
      <c r="J3865" s="1115" t="s">
        <v>1365</v>
      </c>
    </row>
    <row r="3866" customFormat="false" ht="14.1" hidden="false" customHeight="true" outlineLevel="0" collapsed="false">
      <c r="A3866" s="1115" t="n">
        <v>97990</v>
      </c>
      <c r="B3866" s="1115" t="s">
        <v>170</v>
      </c>
      <c r="C3866" s="1115" t="n">
        <v>97990</v>
      </c>
      <c r="D3866" s="1115" t="s">
        <v>3260</v>
      </c>
      <c r="E3866" s="1115" t="s">
        <v>2214</v>
      </c>
      <c r="F3866" s="1115" t="n">
        <v>27860</v>
      </c>
      <c r="G3866" s="1115" t="n">
        <v>98950</v>
      </c>
      <c r="H3866" s="1115" t="s">
        <v>3797</v>
      </c>
      <c r="I3866" s="1115" t="n">
        <v>98120</v>
      </c>
      <c r="J3866" s="1115" t="s">
        <v>1365</v>
      </c>
    </row>
    <row r="3867" customFormat="false" ht="14.1" hidden="false" customHeight="true" outlineLevel="0" collapsed="false">
      <c r="A3867" s="1115" t="n">
        <v>98100</v>
      </c>
      <c r="B3867" s="1115" t="s">
        <v>170</v>
      </c>
      <c r="C3867" s="1115" t="n">
        <v>98100</v>
      </c>
      <c r="D3867" s="1115" t="s">
        <v>1035</v>
      </c>
      <c r="E3867" s="1115" t="s">
        <v>2914</v>
      </c>
      <c r="F3867" s="1115" t="n">
        <v>44590</v>
      </c>
      <c r="G3867" s="1115" t="n">
        <v>98960</v>
      </c>
      <c r="H3867" s="1115" t="s">
        <v>3293</v>
      </c>
      <c r="I3867" s="1115" t="n">
        <v>98220</v>
      </c>
      <c r="J3867" s="1115" t="s">
        <v>1365</v>
      </c>
    </row>
    <row r="3868" customFormat="false" ht="14.1" hidden="false" customHeight="true" outlineLevel="0" collapsed="false">
      <c r="A3868" s="1115" t="n">
        <v>98120</v>
      </c>
      <c r="B3868" s="1115" t="s">
        <v>170</v>
      </c>
      <c r="C3868" s="1115" t="n">
        <v>98120</v>
      </c>
      <c r="D3868" s="1115" t="s">
        <v>1035</v>
      </c>
      <c r="E3868" s="1115" t="s">
        <v>3303</v>
      </c>
      <c r="F3868" s="1115" t="n">
        <v>58580</v>
      </c>
      <c r="G3868" s="1115" t="n">
        <v>98970</v>
      </c>
      <c r="H3868" s="1115" t="s">
        <v>3400</v>
      </c>
      <c r="I3868" s="1115" t="n">
        <v>98230</v>
      </c>
      <c r="J3868" s="1115" t="s">
        <v>1365</v>
      </c>
    </row>
    <row r="3869" customFormat="false" ht="14.1" hidden="false" customHeight="true" outlineLevel="0" collapsed="false">
      <c r="A3869" s="1115" t="n">
        <v>98220</v>
      </c>
      <c r="B3869" s="1115" t="s">
        <v>170</v>
      </c>
      <c r="C3869" s="1115" t="n">
        <v>98220</v>
      </c>
      <c r="D3869" s="1115" t="s">
        <v>2273</v>
      </c>
      <c r="E3869" s="1115" t="s">
        <v>2861</v>
      </c>
      <c r="F3869" s="1115" t="n">
        <v>43380</v>
      </c>
      <c r="G3869" s="1115" t="n">
        <v>98980</v>
      </c>
      <c r="H3869" s="1115" t="s">
        <v>2199</v>
      </c>
      <c r="I3869" s="1115" t="n">
        <v>98260</v>
      </c>
      <c r="J3869" s="1115" t="s">
        <v>1365</v>
      </c>
    </row>
    <row r="3870" customFormat="false" ht="14.1" hidden="false" customHeight="true" outlineLevel="0" collapsed="false">
      <c r="A3870" s="1115" t="n">
        <v>98230</v>
      </c>
      <c r="B3870" s="1115" t="s">
        <v>170</v>
      </c>
      <c r="C3870" s="1115" t="n">
        <v>98230</v>
      </c>
      <c r="D3870" s="1115" t="s">
        <v>3074</v>
      </c>
      <c r="E3870" s="1115" t="s">
        <v>3995</v>
      </c>
      <c r="F3870" s="1115" t="n">
        <v>98360</v>
      </c>
      <c r="G3870" s="1115" t="n">
        <v>98985</v>
      </c>
      <c r="H3870" s="1115" t="s">
        <v>3843</v>
      </c>
      <c r="I3870" s="1115" t="n">
        <v>98280</v>
      </c>
      <c r="J3870" s="1115" t="s">
        <v>1365</v>
      </c>
    </row>
    <row r="3871" customFormat="false" ht="14.1" hidden="false" customHeight="true" outlineLevel="0" collapsed="false">
      <c r="A3871" s="1115" t="n">
        <v>98260</v>
      </c>
      <c r="B3871" s="1115" t="s">
        <v>170</v>
      </c>
      <c r="C3871" s="1115" t="n">
        <v>98260</v>
      </c>
      <c r="D3871" s="1115" t="s">
        <v>2758</v>
      </c>
      <c r="E3871" s="1115" t="s">
        <v>3996</v>
      </c>
      <c r="F3871" s="1115" t="n">
        <v>98370</v>
      </c>
      <c r="G3871" s="1115" t="n">
        <v>98990</v>
      </c>
      <c r="H3871" s="1115" t="s">
        <v>3314</v>
      </c>
      <c r="I3871" s="1115" t="n">
        <v>98310</v>
      </c>
      <c r="J3871" s="1115" t="s">
        <v>1365</v>
      </c>
    </row>
    <row r="3872" customFormat="false" ht="14.1" hidden="false" customHeight="true" outlineLevel="0" collapsed="false">
      <c r="A3872" s="1115" t="n">
        <v>98280</v>
      </c>
      <c r="B3872" s="1115" t="s">
        <v>170</v>
      </c>
      <c r="C3872" s="1115" t="n">
        <v>98280</v>
      </c>
      <c r="D3872" s="1115" t="s">
        <v>3811</v>
      </c>
      <c r="E3872" s="1115" t="s">
        <v>4000</v>
      </c>
      <c r="F3872" s="1115" t="n">
        <v>99690</v>
      </c>
      <c r="G3872" s="1115" t="n">
        <v>98995</v>
      </c>
      <c r="H3872" s="1115" t="s">
        <v>1492</v>
      </c>
      <c r="I3872" s="1115" t="n">
        <v>98330</v>
      </c>
      <c r="J3872" s="1115" t="s">
        <v>1365</v>
      </c>
    </row>
    <row r="3873" customFormat="false" ht="14.1" hidden="false" customHeight="true" outlineLevel="0" collapsed="false">
      <c r="A3873" s="1115" t="n">
        <v>98310</v>
      </c>
      <c r="B3873" s="1115" t="s">
        <v>170</v>
      </c>
      <c r="C3873" s="1115" t="n">
        <v>98310</v>
      </c>
      <c r="D3873" s="1115" t="s">
        <v>2277</v>
      </c>
      <c r="E3873" s="1115" t="s">
        <v>3920</v>
      </c>
      <c r="F3873" s="1115" t="n">
        <v>88210</v>
      </c>
      <c r="G3873" s="1115" t="n">
        <v>99100</v>
      </c>
      <c r="H3873" s="1115" t="s">
        <v>1083</v>
      </c>
      <c r="I3873" s="1115" t="n">
        <v>98350</v>
      </c>
      <c r="J3873" s="1115" t="s">
        <v>1365</v>
      </c>
    </row>
    <row r="3874" customFormat="false" ht="14.1" hidden="false" customHeight="true" outlineLevel="0" collapsed="false">
      <c r="A3874" s="1115" t="n">
        <v>98330</v>
      </c>
      <c r="B3874" s="1115" t="s">
        <v>170</v>
      </c>
      <c r="C3874" s="1115" t="n">
        <v>98330</v>
      </c>
      <c r="D3874" s="1115" t="s">
        <v>2002</v>
      </c>
      <c r="E3874" s="1115" t="s">
        <v>3975</v>
      </c>
      <c r="F3874" s="1115" t="n">
        <v>93940</v>
      </c>
      <c r="G3874" s="1115" t="n">
        <v>99110</v>
      </c>
      <c r="H3874" s="1115" t="s">
        <v>2317</v>
      </c>
      <c r="I3874" s="1115" t="n">
        <v>98360</v>
      </c>
      <c r="J3874" s="1115" t="s">
        <v>1365</v>
      </c>
    </row>
    <row r="3875" customFormat="false" ht="14.1" hidden="false" customHeight="true" outlineLevel="0" collapsed="false">
      <c r="A3875" s="1115" t="n">
        <v>98350</v>
      </c>
      <c r="B3875" s="1115" t="s">
        <v>170</v>
      </c>
      <c r="C3875" s="1115" t="n">
        <v>98350</v>
      </c>
      <c r="D3875" s="1115" t="s">
        <v>3930</v>
      </c>
      <c r="E3875" s="1115" t="s">
        <v>2030</v>
      </c>
      <c r="F3875" s="1115" t="n">
        <v>22550</v>
      </c>
      <c r="G3875" s="1115" t="n">
        <v>99120</v>
      </c>
      <c r="H3875" s="1115" t="s">
        <v>2196</v>
      </c>
      <c r="I3875" s="1115" t="n">
        <v>98370</v>
      </c>
      <c r="J3875" s="1115" t="s">
        <v>1365</v>
      </c>
    </row>
    <row r="3876" customFormat="false" ht="14.1" hidden="false" customHeight="true" outlineLevel="0" collapsed="false">
      <c r="A3876" s="1115" t="n">
        <v>98360</v>
      </c>
      <c r="B3876" s="1115" t="s">
        <v>170</v>
      </c>
      <c r="C3876" s="1115" t="n">
        <v>98360</v>
      </c>
      <c r="D3876" s="1115" t="s">
        <v>3995</v>
      </c>
      <c r="E3876" s="1115" t="s">
        <v>2030</v>
      </c>
      <c r="F3876" s="1115" t="n">
        <v>22550</v>
      </c>
      <c r="G3876" s="1115" t="n">
        <v>99130</v>
      </c>
      <c r="H3876" s="1115" t="s">
        <v>3860</v>
      </c>
      <c r="I3876" s="1115" t="n">
        <v>98390</v>
      </c>
      <c r="J3876" s="1115" t="s">
        <v>1365</v>
      </c>
    </row>
    <row r="3877" customFormat="false" ht="14.1" hidden="false" customHeight="true" outlineLevel="0" collapsed="false">
      <c r="A3877" s="1115" t="n">
        <v>98370</v>
      </c>
      <c r="B3877" s="1115" t="s">
        <v>170</v>
      </c>
      <c r="C3877" s="1115" t="n">
        <v>98370</v>
      </c>
      <c r="D3877" s="1115" t="s">
        <v>3996</v>
      </c>
      <c r="E3877" s="1115" t="s">
        <v>1603</v>
      </c>
      <c r="F3877" s="1115" t="n">
        <v>12450</v>
      </c>
      <c r="G3877" s="1115" t="n">
        <v>99140</v>
      </c>
      <c r="H3877" s="1115" t="s">
        <v>2832</v>
      </c>
      <c r="I3877" s="1115" t="n">
        <v>98400</v>
      </c>
      <c r="J3877" s="1115" t="s">
        <v>1365</v>
      </c>
    </row>
    <row r="3878" customFormat="false" ht="14.1" hidden="false" customHeight="true" outlineLevel="0" collapsed="false">
      <c r="A3878" s="1115" t="n">
        <v>98390</v>
      </c>
      <c r="B3878" s="1115" t="s">
        <v>170</v>
      </c>
      <c r="C3878" s="1115" t="n">
        <v>98390</v>
      </c>
      <c r="D3878" s="1115" t="s">
        <v>956</v>
      </c>
      <c r="E3878" s="1115" t="s">
        <v>1806</v>
      </c>
      <c r="F3878" s="1115" t="n">
        <v>17440</v>
      </c>
      <c r="G3878" s="1115" t="n">
        <v>99150</v>
      </c>
      <c r="H3878" s="1115" t="s">
        <v>3938</v>
      </c>
      <c r="I3878" s="1115" t="n">
        <v>98420</v>
      </c>
      <c r="J3878" s="1115" t="s">
        <v>1365</v>
      </c>
    </row>
    <row r="3879" customFormat="false" ht="14.1" hidden="false" customHeight="true" outlineLevel="0" collapsed="false">
      <c r="A3879" s="1115" t="n">
        <v>98400</v>
      </c>
      <c r="B3879" s="1115" t="s">
        <v>170</v>
      </c>
      <c r="C3879" s="1115" t="n">
        <v>98400</v>
      </c>
      <c r="D3879" s="1115" t="s">
        <v>1963</v>
      </c>
      <c r="E3879" s="1115" t="s">
        <v>2360</v>
      </c>
      <c r="F3879" s="1115" t="n">
        <v>31580</v>
      </c>
      <c r="G3879" s="1115" t="n">
        <v>99160</v>
      </c>
      <c r="H3879" s="1115" t="s">
        <v>3030</v>
      </c>
      <c r="I3879" s="1115" t="n">
        <v>98440</v>
      </c>
      <c r="J3879" s="1115" t="s">
        <v>1365</v>
      </c>
    </row>
    <row r="3880" customFormat="false" ht="14.1" hidden="false" customHeight="true" outlineLevel="0" collapsed="false">
      <c r="A3880" s="1115" t="n">
        <v>98420</v>
      </c>
      <c r="B3880" s="1115" t="s">
        <v>170</v>
      </c>
      <c r="C3880" s="1115" t="n">
        <v>98420</v>
      </c>
      <c r="D3880" s="1115" t="s">
        <v>3774</v>
      </c>
      <c r="E3880" s="1115" t="s">
        <v>1629</v>
      </c>
      <c r="F3880" s="1115" t="n">
        <v>66500</v>
      </c>
      <c r="G3880" s="1115" t="n">
        <v>99170</v>
      </c>
      <c r="H3880" s="1115" t="s">
        <v>3634</v>
      </c>
      <c r="I3880" s="1115" t="n">
        <v>98450</v>
      </c>
      <c r="J3880" s="1115" t="s">
        <v>1365</v>
      </c>
    </row>
    <row r="3881" customFormat="false" ht="14.1" hidden="false" customHeight="true" outlineLevel="0" collapsed="false">
      <c r="A3881" s="1115" t="n">
        <v>98440</v>
      </c>
      <c r="B3881" s="1115" t="s">
        <v>170</v>
      </c>
      <c r="C3881" s="1115" t="n">
        <v>98440</v>
      </c>
      <c r="D3881" s="1115" t="s">
        <v>2184</v>
      </c>
      <c r="E3881" s="1115" t="s">
        <v>3759</v>
      </c>
      <c r="F3881" s="1115" t="n">
        <v>77360</v>
      </c>
      <c r="G3881" s="1115" t="n">
        <v>99180</v>
      </c>
      <c r="H3881" s="1115" t="s">
        <v>3706</v>
      </c>
      <c r="I3881" s="1115" t="n">
        <v>98470</v>
      </c>
      <c r="J3881" s="1115" t="s">
        <v>1365</v>
      </c>
    </row>
    <row r="3882" customFormat="false" ht="14.1" hidden="false" customHeight="true" outlineLevel="0" collapsed="false">
      <c r="A3882" s="1115" t="n">
        <v>98450</v>
      </c>
      <c r="B3882" s="1115" t="s">
        <v>170</v>
      </c>
      <c r="C3882" s="1115" t="n">
        <v>98450</v>
      </c>
      <c r="D3882" s="1115" t="s">
        <v>2603</v>
      </c>
      <c r="E3882" s="1115" t="s">
        <v>3182</v>
      </c>
      <c r="F3882" s="1115" t="n">
        <v>54440</v>
      </c>
      <c r="G3882" s="1115" t="n">
        <v>99190</v>
      </c>
      <c r="H3882" s="1115" t="s">
        <v>1383</v>
      </c>
      <c r="I3882" s="1115" t="n">
        <v>98500</v>
      </c>
      <c r="J3882" s="1115" t="s">
        <v>1325</v>
      </c>
    </row>
    <row r="3883" customFormat="false" ht="14.1" hidden="false" customHeight="true" outlineLevel="0" collapsed="false">
      <c r="A3883" s="1115" t="n">
        <v>98470</v>
      </c>
      <c r="B3883" s="1115" t="s">
        <v>170</v>
      </c>
      <c r="C3883" s="1115" t="n">
        <v>98470</v>
      </c>
      <c r="D3883" s="1115" t="s">
        <v>3390</v>
      </c>
      <c r="E3883" s="1115" t="s">
        <v>1751</v>
      </c>
      <c r="F3883" s="1115" t="n">
        <v>16550</v>
      </c>
      <c r="G3883" s="1115" t="n">
        <v>99195</v>
      </c>
      <c r="H3883" s="1115" t="s">
        <v>3602</v>
      </c>
      <c r="I3883" s="1115" t="n">
        <v>98510</v>
      </c>
      <c r="J3883" s="1115" t="s">
        <v>1325</v>
      </c>
    </row>
    <row r="3884" customFormat="false" ht="14.1" hidden="false" customHeight="true" outlineLevel="0" collapsed="false">
      <c r="A3884" s="1115" t="n">
        <v>98500</v>
      </c>
      <c r="B3884" s="1115" t="s">
        <v>170</v>
      </c>
      <c r="C3884" s="1115" t="n">
        <v>98500</v>
      </c>
      <c r="D3884" s="1115" t="s">
        <v>1325</v>
      </c>
      <c r="E3884" s="1115" t="s">
        <v>3918</v>
      </c>
      <c r="F3884" s="1115" t="n">
        <v>86980</v>
      </c>
      <c r="G3884" s="1115" t="n">
        <v>99210</v>
      </c>
      <c r="H3884" s="1115" t="s">
        <v>3592</v>
      </c>
      <c r="I3884" s="1115" t="n">
        <v>98530</v>
      </c>
      <c r="J3884" s="1115" t="s">
        <v>1325</v>
      </c>
    </row>
    <row r="3885" customFormat="false" ht="14.1" hidden="false" customHeight="true" outlineLevel="0" collapsed="false">
      <c r="A3885" s="1115" t="n">
        <v>98510</v>
      </c>
      <c r="B3885" s="1115" t="s">
        <v>170</v>
      </c>
      <c r="C3885" s="1115" t="n">
        <v>98510</v>
      </c>
      <c r="D3885" s="1115" t="s">
        <v>3827</v>
      </c>
      <c r="E3885" s="1115" t="s">
        <v>3201</v>
      </c>
      <c r="F3885" s="1115" t="n">
        <v>54750</v>
      </c>
      <c r="G3885" s="1115" t="n">
        <v>99220</v>
      </c>
      <c r="H3885" s="1115" t="s">
        <v>3997</v>
      </c>
      <c r="I3885" s="1115" t="n">
        <v>98550</v>
      </c>
      <c r="J3885" s="1115" t="s">
        <v>1325</v>
      </c>
    </row>
    <row r="3886" customFormat="false" ht="14.1" hidden="false" customHeight="true" outlineLevel="0" collapsed="false">
      <c r="A3886" s="1115" t="n">
        <v>98530</v>
      </c>
      <c r="B3886" s="1115" t="s">
        <v>170</v>
      </c>
      <c r="C3886" s="1115" t="n">
        <v>98530</v>
      </c>
      <c r="D3886" s="1115" t="s">
        <v>3659</v>
      </c>
      <c r="E3886" s="1115" t="s">
        <v>3884</v>
      </c>
      <c r="F3886" s="1115" t="n">
        <v>83975</v>
      </c>
      <c r="G3886" s="1115" t="n">
        <v>99230</v>
      </c>
      <c r="H3886" s="1115" t="s">
        <v>2005</v>
      </c>
      <c r="I3886" s="1115" t="n">
        <v>98560</v>
      </c>
      <c r="J3886" s="1115" t="s">
        <v>1325</v>
      </c>
    </row>
    <row r="3887" customFormat="false" ht="14.1" hidden="false" customHeight="true" outlineLevel="0" collapsed="false">
      <c r="A3887" s="1115" t="n">
        <v>98550</v>
      </c>
      <c r="B3887" s="1115" t="s">
        <v>170</v>
      </c>
      <c r="C3887" s="1115" t="n">
        <v>98550</v>
      </c>
      <c r="D3887" s="1115" t="s">
        <v>3897</v>
      </c>
      <c r="E3887" s="1115" t="s">
        <v>2906</v>
      </c>
      <c r="F3887" s="1115" t="n">
        <v>44360</v>
      </c>
      <c r="G3887" s="1115" t="n">
        <v>99240</v>
      </c>
      <c r="H3887" s="1115" t="s">
        <v>2667</v>
      </c>
      <c r="I3887" s="1115" t="n">
        <v>98570</v>
      </c>
      <c r="J3887" s="1115" t="s">
        <v>1325</v>
      </c>
    </row>
    <row r="3888" customFormat="false" ht="14.1" hidden="false" customHeight="true" outlineLevel="0" collapsed="false">
      <c r="A3888" s="1115" t="n">
        <v>98560</v>
      </c>
      <c r="B3888" s="1115" t="s">
        <v>170</v>
      </c>
      <c r="C3888" s="1115" t="n">
        <v>98560</v>
      </c>
      <c r="D3888" s="1115" t="s">
        <v>2149</v>
      </c>
      <c r="E3888" s="1115" t="s">
        <v>2371</v>
      </c>
      <c r="F3888" s="1115" t="n">
        <v>31780</v>
      </c>
      <c r="G3888" s="1115" t="n">
        <v>99250</v>
      </c>
      <c r="H3888" s="1115" t="s">
        <v>2415</v>
      </c>
      <c r="I3888" s="1115" t="n">
        <v>98580</v>
      </c>
      <c r="J3888" s="1115" t="s">
        <v>1325</v>
      </c>
    </row>
    <row r="3889" customFormat="false" ht="14.1" hidden="false" customHeight="true" outlineLevel="0" collapsed="false">
      <c r="A3889" s="1115" t="n">
        <v>98570</v>
      </c>
      <c r="B3889" s="1115" t="s">
        <v>170</v>
      </c>
      <c r="C3889" s="1115" t="n">
        <v>98570</v>
      </c>
      <c r="D3889" s="1115" t="s">
        <v>703</v>
      </c>
      <c r="E3889" s="1115" t="s">
        <v>2147</v>
      </c>
      <c r="F3889" s="1115" t="n">
        <v>25910</v>
      </c>
      <c r="G3889" s="1115" t="n">
        <v>99260</v>
      </c>
      <c r="H3889" s="1115" t="s">
        <v>3003</v>
      </c>
      <c r="I3889" s="1115" t="n">
        <v>98600</v>
      </c>
      <c r="J3889" s="1115" t="s">
        <v>1469</v>
      </c>
    </row>
    <row r="3890" customFormat="false" ht="14.1" hidden="false" customHeight="true" outlineLevel="0" collapsed="false">
      <c r="A3890" s="1115" t="n">
        <v>98580</v>
      </c>
      <c r="B3890" s="1115" t="s">
        <v>170</v>
      </c>
      <c r="C3890" s="1115" t="n">
        <v>98580</v>
      </c>
      <c r="D3890" s="1115" t="s">
        <v>3048</v>
      </c>
      <c r="E3890" s="1115" t="s">
        <v>3998</v>
      </c>
      <c r="F3890" s="1115" t="n">
        <v>98820</v>
      </c>
      <c r="G3890" s="1115" t="n">
        <v>99270</v>
      </c>
      <c r="H3890" s="1115" t="s">
        <v>1768</v>
      </c>
      <c r="I3890" s="1115" t="n">
        <v>98610</v>
      </c>
      <c r="J3890" s="1115" t="s">
        <v>1469</v>
      </c>
    </row>
    <row r="3891" customFormat="false" ht="14.1" hidden="false" customHeight="true" outlineLevel="0" collapsed="false">
      <c r="A3891" s="1115" t="n">
        <v>98600</v>
      </c>
      <c r="B3891" s="1115" t="s">
        <v>170</v>
      </c>
      <c r="C3891" s="1115" t="n">
        <v>98600</v>
      </c>
      <c r="D3891" s="1115" t="s">
        <v>2734</v>
      </c>
      <c r="E3891" s="1115" t="s">
        <v>3853</v>
      </c>
      <c r="F3891" s="1115" t="n">
        <v>82655</v>
      </c>
      <c r="G3891" s="1115" t="n">
        <v>99280</v>
      </c>
      <c r="H3891" s="1115" t="s">
        <v>3939</v>
      </c>
      <c r="I3891" s="1115" t="n">
        <v>98620</v>
      </c>
      <c r="J3891" s="1115" t="s">
        <v>1469</v>
      </c>
    </row>
    <row r="3892" customFormat="false" ht="14.1" hidden="false" customHeight="true" outlineLevel="0" collapsed="false">
      <c r="A3892" s="1115" t="n">
        <v>98610</v>
      </c>
      <c r="B3892" s="1115" t="s">
        <v>170</v>
      </c>
      <c r="C3892" s="1115" t="n">
        <v>98610</v>
      </c>
      <c r="D3892" s="1115" t="s">
        <v>3257</v>
      </c>
      <c r="E3892" s="1115" t="s">
        <v>1631</v>
      </c>
      <c r="F3892" s="1115" t="n">
        <v>25830</v>
      </c>
      <c r="G3892" s="1115" t="n">
        <v>99290</v>
      </c>
      <c r="H3892" s="1115" t="s">
        <v>2357</v>
      </c>
      <c r="I3892" s="1115" t="n">
        <v>98630</v>
      </c>
      <c r="J3892" s="1115" t="s">
        <v>1469</v>
      </c>
    </row>
    <row r="3893" customFormat="false" ht="14.1" hidden="false" customHeight="true" outlineLevel="0" collapsed="false">
      <c r="A3893" s="1115" t="n">
        <v>98620</v>
      </c>
      <c r="B3893" s="1115" t="s">
        <v>170</v>
      </c>
      <c r="C3893" s="1115" t="n">
        <v>98620</v>
      </c>
      <c r="D3893" s="1115" t="s">
        <v>3453</v>
      </c>
      <c r="E3893" s="1115" t="s">
        <v>3571</v>
      </c>
      <c r="F3893" s="1115" t="n">
        <v>66550</v>
      </c>
      <c r="G3893" s="1115" t="n">
        <v>99300</v>
      </c>
      <c r="H3893" s="1115" t="s">
        <v>1241</v>
      </c>
      <c r="I3893" s="1115" t="n">
        <v>98650</v>
      </c>
      <c r="J3893" s="1115" t="s">
        <v>1469</v>
      </c>
    </row>
    <row r="3894" customFormat="false" ht="14.1" hidden="false" customHeight="true" outlineLevel="0" collapsed="false">
      <c r="A3894" s="1115" t="n">
        <v>98630</v>
      </c>
      <c r="B3894" s="1115" t="s">
        <v>170</v>
      </c>
      <c r="C3894" s="1115" t="n">
        <v>98630</v>
      </c>
      <c r="D3894" s="1115" t="s">
        <v>779</v>
      </c>
      <c r="E3894" s="1115" t="s">
        <v>937</v>
      </c>
      <c r="F3894" s="1115" t="n">
        <v>1120</v>
      </c>
      <c r="G3894" s="1115" t="n">
        <v>99310</v>
      </c>
      <c r="H3894" s="1115" t="s">
        <v>4001</v>
      </c>
      <c r="I3894" s="1115" t="n">
        <v>98660</v>
      </c>
      <c r="J3894" s="1115" t="s">
        <v>1469</v>
      </c>
    </row>
    <row r="3895" customFormat="false" ht="14.1" hidden="false" customHeight="true" outlineLevel="0" collapsed="false">
      <c r="A3895" s="1115" t="n">
        <v>98650</v>
      </c>
      <c r="B3895" s="1115" t="s">
        <v>170</v>
      </c>
      <c r="C3895" s="1115" t="n">
        <v>98650</v>
      </c>
      <c r="D3895" s="1115" t="s">
        <v>3985</v>
      </c>
      <c r="E3895" s="1115" t="s">
        <v>2515</v>
      </c>
      <c r="F3895" s="1115" t="n">
        <v>35270</v>
      </c>
      <c r="G3895" s="1115" t="n">
        <v>99320</v>
      </c>
      <c r="H3895" s="1115" t="s">
        <v>2821</v>
      </c>
      <c r="I3895" s="1115" t="n">
        <v>98710</v>
      </c>
      <c r="J3895" s="1115" t="s">
        <v>1469</v>
      </c>
    </row>
    <row r="3896" customFormat="false" ht="14.1" hidden="false" customHeight="true" outlineLevel="0" collapsed="false">
      <c r="A3896" s="1115" t="n">
        <v>98660</v>
      </c>
      <c r="B3896" s="1115" t="s">
        <v>170</v>
      </c>
      <c r="C3896" s="1115" t="n">
        <v>98660</v>
      </c>
      <c r="D3896" s="1115" t="s">
        <v>3805</v>
      </c>
      <c r="E3896" s="1115" t="s">
        <v>3700</v>
      </c>
      <c r="F3896" s="1115" t="n">
        <v>73470</v>
      </c>
      <c r="G3896" s="1115" t="n">
        <v>99330</v>
      </c>
      <c r="H3896" s="1115" t="s">
        <v>3470</v>
      </c>
      <c r="I3896" s="1115" t="n">
        <v>98720</v>
      </c>
      <c r="J3896" s="1115" t="s">
        <v>1469</v>
      </c>
    </row>
    <row r="3897" customFormat="false" ht="14.1" hidden="false" customHeight="true" outlineLevel="0" collapsed="false">
      <c r="A3897" s="1115" t="n">
        <v>98710</v>
      </c>
      <c r="B3897" s="1115" t="s">
        <v>170</v>
      </c>
      <c r="C3897" s="1115" t="n">
        <v>98710</v>
      </c>
      <c r="D3897" s="1115" t="s">
        <v>2031</v>
      </c>
      <c r="E3897" s="1115" t="s">
        <v>3986</v>
      </c>
      <c r="F3897" s="1115" t="n">
        <v>95730</v>
      </c>
      <c r="G3897" s="1115" t="n">
        <v>99340</v>
      </c>
      <c r="H3897" s="1115" t="s">
        <v>3676</v>
      </c>
      <c r="I3897" s="1115" t="n">
        <v>98730</v>
      </c>
      <c r="J3897" s="1115" t="s">
        <v>1469</v>
      </c>
    </row>
    <row r="3898" customFormat="false" ht="14.1" hidden="false" customHeight="true" outlineLevel="0" collapsed="false">
      <c r="A3898" s="1115" t="n">
        <v>98720</v>
      </c>
      <c r="B3898" s="1115" t="s">
        <v>170</v>
      </c>
      <c r="C3898" s="1115" t="n">
        <v>98720</v>
      </c>
      <c r="D3898" s="1115" t="s">
        <v>3887</v>
      </c>
      <c r="E3898" s="1115" t="s">
        <v>3932</v>
      </c>
      <c r="F3898" s="1115" t="n">
        <v>89130</v>
      </c>
      <c r="G3898" s="1115" t="n">
        <v>99360</v>
      </c>
      <c r="H3898" s="1115" t="s">
        <v>2223</v>
      </c>
      <c r="I3898" s="1115" t="n">
        <v>98740</v>
      </c>
      <c r="J3898" s="1115" t="s">
        <v>1469</v>
      </c>
    </row>
    <row r="3899" customFormat="false" ht="14.1" hidden="false" customHeight="true" outlineLevel="0" collapsed="false">
      <c r="A3899" s="1115" t="n">
        <v>98730</v>
      </c>
      <c r="B3899" s="1115" t="s">
        <v>170</v>
      </c>
      <c r="C3899" s="1115" t="n">
        <v>98730</v>
      </c>
      <c r="D3899" s="1115" t="s">
        <v>3948</v>
      </c>
      <c r="E3899" s="1115" t="s">
        <v>1794</v>
      </c>
      <c r="F3899" s="1115" t="n">
        <v>17200</v>
      </c>
      <c r="G3899" s="1115" t="n">
        <v>99380</v>
      </c>
      <c r="H3899" s="1115" t="s">
        <v>2008</v>
      </c>
      <c r="I3899" s="1115" t="n">
        <v>98760</v>
      </c>
      <c r="J3899" s="1115" t="s">
        <v>1469</v>
      </c>
    </row>
    <row r="3900" customFormat="false" ht="14.1" hidden="false" customHeight="true" outlineLevel="0" collapsed="false">
      <c r="A3900" s="1115" t="n">
        <v>98740</v>
      </c>
      <c r="B3900" s="1115" t="s">
        <v>170</v>
      </c>
      <c r="C3900" s="1115" t="n">
        <v>98740</v>
      </c>
      <c r="D3900" s="1115" t="s">
        <v>3215</v>
      </c>
      <c r="E3900" s="1115" t="s">
        <v>2499</v>
      </c>
      <c r="F3900" s="1115" t="n">
        <v>34750</v>
      </c>
      <c r="G3900" s="1115" t="n">
        <v>99400</v>
      </c>
      <c r="H3900" s="1115" t="s">
        <v>767</v>
      </c>
      <c r="I3900" s="1115" t="n">
        <v>98770</v>
      </c>
      <c r="J3900" s="1115" t="s">
        <v>1469</v>
      </c>
    </row>
    <row r="3901" customFormat="false" ht="14.1" hidden="false" customHeight="true" outlineLevel="0" collapsed="false">
      <c r="A3901" s="1115" t="n">
        <v>98760</v>
      </c>
      <c r="B3901" s="1115" t="s">
        <v>170</v>
      </c>
      <c r="C3901" s="1115" t="n">
        <v>98760</v>
      </c>
      <c r="D3901" s="1115" t="s">
        <v>1719</v>
      </c>
      <c r="E3901" s="1115" t="s">
        <v>3896</v>
      </c>
      <c r="F3901" s="1115" t="n">
        <v>85350</v>
      </c>
      <c r="G3901" s="1115" t="n">
        <v>99410</v>
      </c>
      <c r="H3901" s="1115" t="s">
        <v>3999</v>
      </c>
      <c r="I3901" s="1115" t="n">
        <v>98780</v>
      </c>
      <c r="J3901" s="1115" t="s">
        <v>1469</v>
      </c>
    </row>
    <row r="3902" customFormat="false" ht="14.1" hidden="false" customHeight="true" outlineLevel="0" collapsed="false">
      <c r="A3902" s="1115" t="n">
        <v>98770</v>
      </c>
      <c r="B3902" s="1115" t="s">
        <v>170</v>
      </c>
      <c r="C3902" s="1115" t="n">
        <v>98770</v>
      </c>
      <c r="D3902" s="1115" t="s">
        <v>753</v>
      </c>
      <c r="E3902" s="1115" t="s">
        <v>3701</v>
      </c>
      <c r="F3902" s="1115" t="n">
        <v>73480</v>
      </c>
      <c r="G3902" s="1115" t="n">
        <v>99420</v>
      </c>
      <c r="H3902" s="1115" t="s">
        <v>3522</v>
      </c>
      <c r="I3902" s="1115" t="n">
        <v>98790</v>
      </c>
      <c r="J3902" s="1115" t="s">
        <v>1469</v>
      </c>
    </row>
    <row r="3903" customFormat="false" ht="14.1" hidden="false" customHeight="true" outlineLevel="0" collapsed="false">
      <c r="A3903" s="1115" t="n">
        <v>98780</v>
      </c>
      <c r="B3903" s="1115" t="s">
        <v>170</v>
      </c>
      <c r="C3903" s="1115" t="n">
        <v>98780</v>
      </c>
      <c r="D3903" s="1115" t="s">
        <v>3102</v>
      </c>
      <c r="E3903" s="1115" t="s">
        <v>2864</v>
      </c>
      <c r="F3903" s="1115" t="n">
        <v>43430</v>
      </c>
      <c r="G3903" s="1115" t="n">
        <v>99430</v>
      </c>
      <c r="H3903" s="1115" t="s">
        <v>3356</v>
      </c>
      <c r="I3903" s="1115" t="n">
        <v>98800</v>
      </c>
      <c r="J3903" s="1115" t="s">
        <v>1488</v>
      </c>
    </row>
    <row r="3904" customFormat="false" ht="14.1" hidden="false" customHeight="true" outlineLevel="0" collapsed="false">
      <c r="A3904" s="1115" t="n">
        <v>98790</v>
      </c>
      <c r="B3904" s="1115" t="s">
        <v>170</v>
      </c>
      <c r="C3904" s="1115" t="n">
        <v>98790</v>
      </c>
      <c r="D3904" s="1115" t="s">
        <v>3479</v>
      </c>
      <c r="E3904" s="1115" t="s">
        <v>1632</v>
      </c>
      <c r="F3904" s="1115" t="n">
        <v>66600</v>
      </c>
      <c r="G3904" s="1115" t="n">
        <v>99440</v>
      </c>
      <c r="H3904" s="1115" t="s">
        <v>2967</v>
      </c>
      <c r="I3904" s="1115" t="n">
        <v>98810</v>
      </c>
      <c r="J3904" s="1115" t="s">
        <v>1488</v>
      </c>
    </row>
    <row r="3905" customFormat="false" ht="14.1" hidden="false" customHeight="true" outlineLevel="0" collapsed="false">
      <c r="A3905" s="1115" t="n">
        <v>98800</v>
      </c>
      <c r="B3905" s="1115" t="s">
        <v>170</v>
      </c>
      <c r="C3905" s="1115" t="n">
        <v>98800</v>
      </c>
      <c r="D3905" s="1115" t="s">
        <v>1488</v>
      </c>
      <c r="E3905" s="1115" t="s">
        <v>2399</v>
      </c>
      <c r="F3905" s="1115" t="n">
        <v>32430</v>
      </c>
      <c r="G3905" s="1115" t="n">
        <v>99450</v>
      </c>
      <c r="H3905" s="1115" t="s">
        <v>3474</v>
      </c>
      <c r="I3905" s="1115" t="n">
        <v>98820</v>
      </c>
      <c r="J3905" s="1115" t="s">
        <v>1488</v>
      </c>
    </row>
    <row r="3906" customFormat="false" ht="14.1" hidden="false" customHeight="true" outlineLevel="0" collapsed="false">
      <c r="A3906" s="1115" t="n">
        <v>98810</v>
      </c>
      <c r="B3906" s="1115" t="s">
        <v>170</v>
      </c>
      <c r="C3906" s="1115" t="n">
        <v>98810</v>
      </c>
      <c r="D3906" s="1115" t="s">
        <v>3054</v>
      </c>
      <c r="E3906" s="1115" t="s">
        <v>3982</v>
      </c>
      <c r="F3906" s="1115" t="n">
        <v>95285</v>
      </c>
      <c r="G3906" s="1115" t="n">
        <v>99460</v>
      </c>
      <c r="H3906" s="1115" t="s">
        <v>2742</v>
      </c>
      <c r="I3906" s="1115" t="n">
        <v>98830</v>
      </c>
      <c r="J3906" s="1115" t="s">
        <v>1488</v>
      </c>
    </row>
    <row r="3907" customFormat="false" ht="14.1" hidden="false" customHeight="true" outlineLevel="0" collapsed="false">
      <c r="A3907" s="1115" t="n">
        <v>98820</v>
      </c>
      <c r="B3907" s="1115" t="s">
        <v>170</v>
      </c>
      <c r="C3907" s="1115" t="n">
        <v>98820</v>
      </c>
      <c r="D3907" s="1115" t="s">
        <v>3998</v>
      </c>
      <c r="E3907" s="1115" t="s">
        <v>1633</v>
      </c>
      <c r="F3907" s="1115" t="n">
        <v>91200</v>
      </c>
      <c r="G3907" s="1115" t="n">
        <v>99470</v>
      </c>
      <c r="H3907" s="1115" t="s">
        <v>2240</v>
      </c>
      <c r="I3907" s="1115" t="n">
        <v>98840</v>
      </c>
      <c r="J3907" s="1115" t="s">
        <v>1488</v>
      </c>
    </row>
    <row r="3908" customFormat="false" ht="14.1" hidden="false" customHeight="true" outlineLevel="0" collapsed="false">
      <c r="A3908" s="1115" t="n">
        <v>98830</v>
      </c>
      <c r="B3908" s="1115" t="s">
        <v>170</v>
      </c>
      <c r="C3908" s="1115" t="n">
        <v>98830</v>
      </c>
      <c r="D3908" s="1115" t="s">
        <v>3153</v>
      </c>
      <c r="E3908" s="1115" t="s">
        <v>3612</v>
      </c>
      <c r="F3908" s="1115" t="n">
        <v>69170</v>
      </c>
      <c r="G3908" s="1115" t="n">
        <v>99490</v>
      </c>
      <c r="H3908" s="1115" t="s">
        <v>2421</v>
      </c>
      <c r="I3908" s="1115" t="n">
        <v>98850</v>
      </c>
      <c r="J3908" s="1115" t="s">
        <v>1488</v>
      </c>
    </row>
    <row r="3909" customFormat="false" ht="14.1" hidden="false" customHeight="true" outlineLevel="0" collapsed="false">
      <c r="A3909" s="1115" t="n">
        <v>98840</v>
      </c>
      <c r="B3909" s="1115" t="s">
        <v>170</v>
      </c>
      <c r="C3909" s="1115" t="n">
        <v>98840</v>
      </c>
      <c r="D3909" s="1115" t="s">
        <v>3769</v>
      </c>
      <c r="E3909" s="1115" t="s">
        <v>4002</v>
      </c>
      <c r="F3909" s="1115" t="n">
        <v>99680</v>
      </c>
      <c r="G3909" s="1115" t="n">
        <v>99510</v>
      </c>
      <c r="H3909" s="1115" t="s">
        <v>3697</v>
      </c>
      <c r="I3909" s="1115" t="n">
        <v>98860</v>
      </c>
      <c r="J3909" s="1115" t="s">
        <v>1488</v>
      </c>
    </row>
    <row r="3910" customFormat="false" ht="14.1" hidden="false" customHeight="true" outlineLevel="0" collapsed="false">
      <c r="A3910" s="1115" t="n">
        <v>98850</v>
      </c>
      <c r="B3910" s="1115" t="s">
        <v>170</v>
      </c>
      <c r="C3910" s="1115" t="n">
        <v>98850</v>
      </c>
      <c r="D3910" s="1115" t="s">
        <v>2726</v>
      </c>
      <c r="E3910" s="1115" t="s">
        <v>3961</v>
      </c>
      <c r="F3910" s="1115" t="n">
        <v>93170</v>
      </c>
      <c r="G3910" s="1115" t="n">
        <v>99520</v>
      </c>
      <c r="H3910" s="1115" t="s">
        <v>3840</v>
      </c>
      <c r="I3910" s="1115" t="n">
        <v>98900</v>
      </c>
      <c r="J3910" s="1115" t="s">
        <v>1469</v>
      </c>
    </row>
    <row r="3911" customFormat="false" ht="14.1" hidden="false" customHeight="true" outlineLevel="0" collapsed="false">
      <c r="A3911" s="1115" t="n">
        <v>98860</v>
      </c>
      <c r="B3911" s="1115" t="s">
        <v>170</v>
      </c>
      <c r="C3911" s="1115" t="n">
        <v>98860</v>
      </c>
      <c r="D3911" s="1115" t="s">
        <v>3351</v>
      </c>
      <c r="E3911" s="1115" t="s">
        <v>3980</v>
      </c>
      <c r="F3911" s="1115" t="n">
        <v>95270</v>
      </c>
      <c r="G3911" s="1115" t="n">
        <v>99540</v>
      </c>
      <c r="H3911" s="1115" t="s">
        <v>3951</v>
      </c>
      <c r="I3911" s="1115" t="n">
        <v>98920</v>
      </c>
      <c r="J3911" s="1115" t="s">
        <v>1469</v>
      </c>
    </row>
    <row r="3912" customFormat="false" ht="14.1" hidden="false" customHeight="true" outlineLevel="0" collapsed="false">
      <c r="A3912" s="1115" t="n">
        <v>98900</v>
      </c>
      <c r="B3912" s="1115" t="s">
        <v>170</v>
      </c>
      <c r="C3912" s="1115" t="n">
        <v>98900</v>
      </c>
      <c r="D3912" s="1115" t="s">
        <v>1469</v>
      </c>
      <c r="E3912" s="1115" t="s">
        <v>3894</v>
      </c>
      <c r="F3912" s="1115" t="n">
        <v>85220</v>
      </c>
      <c r="G3912" s="1115" t="n">
        <v>99550</v>
      </c>
      <c r="H3912" s="1115" t="s">
        <v>931</v>
      </c>
      <c r="I3912" s="1115" t="n">
        <v>98925</v>
      </c>
      <c r="J3912" s="1115" t="s">
        <v>1469</v>
      </c>
    </row>
    <row r="3913" customFormat="false" ht="14.1" hidden="false" customHeight="true" outlineLevel="0" collapsed="false">
      <c r="A3913" s="1115" t="n">
        <v>98920</v>
      </c>
      <c r="B3913" s="1115" t="s">
        <v>170</v>
      </c>
      <c r="C3913" s="1115" t="n">
        <v>98920</v>
      </c>
      <c r="D3913" s="1115" t="s">
        <v>2359</v>
      </c>
      <c r="E3913" s="1115" t="s">
        <v>3621</v>
      </c>
      <c r="F3913" s="1115" t="n">
        <v>69450</v>
      </c>
      <c r="G3913" s="1115" t="n">
        <v>99560</v>
      </c>
      <c r="H3913" s="1115" t="s">
        <v>3409</v>
      </c>
      <c r="I3913" s="1115" t="n">
        <v>98930</v>
      </c>
      <c r="J3913" s="1115" t="s">
        <v>1469</v>
      </c>
    </row>
    <row r="3914" customFormat="false" ht="14.1" hidden="false" customHeight="true" outlineLevel="0" collapsed="false">
      <c r="A3914" s="1115" t="n">
        <v>98925</v>
      </c>
      <c r="B3914" s="1115" t="s">
        <v>170</v>
      </c>
      <c r="C3914" s="1115" t="n">
        <v>98925</v>
      </c>
      <c r="D3914" s="1115" t="s">
        <v>3955</v>
      </c>
      <c r="E3914" s="1115" t="s">
        <v>3979</v>
      </c>
      <c r="F3914" s="1115" t="n">
        <v>95245</v>
      </c>
      <c r="G3914" s="1115" t="n">
        <v>99600</v>
      </c>
      <c r="H3914" s="1115" t="s">
        <v>170</v>
      </c>
      <c r="I3914" s="1115" t="n">
        <v>98940</v>
      </c>
      <c r="J3914" s="1115" t="s">
        <v>1469</v>
      </c>
    </row>
    <row r="3915" customFormat="false" ht="14.1" hidden="false" customHeight="true" outlineLevel="0" collapsed="false">
      <c r="A3915" s="1115" t="n">
        <v>98930</v>
      </c>
      <c r="B3915" s="1115" t="s">
        <v>170</v>
      </c>
      <c r="C3915" s="1115" t="n">
        <v>98930</v>
      </c>
      <c r="D3915" s="1115" t="s">
        <v>2608</v>
      </c>
      <c r="E3915" s="1115" t="s">
        <v>4001</v>
      </c>
      <c r="F3915" s="1115" t="n">
        <v>99310</v>
      </c>
      <c r="G3915" s="1115" t="n">
        <v>99610</v>
      </c>
      <c r="H3915" s="1115" t="s">
        <v>3864</v>
      </c>
      <c r="I3915" s="1115" t="n">
        <v>98950</v>
      </c>
      <c r="J3915" s="1115" t="s">
        <v>1469</v>
      </c>
    </row>
    <row r="3916" customFormat="false" ht="14.1" hidden="false" customHeight="true" outlineLevel="0" collapsed="false">
      <c r="A3916" s="1115" t="n">
        <v>98940</v>
      </c>
      <c r="B3916" s="1115" t="s">
        <v>170</v>
      </c>
      <c r="C3916" s="1115" t="n">
        <v>98940</v>
      </c>
      <c r="D3916" s="1115" t="s">
        <v>3675</v>
      </c>
      <c r="E3916" s="1115" t="s">
        <v>3992</v>
      </c>
      <c r="F3916" s="1115" t="n">
        <v>97530</v>
      </c>
      <c r="G3916" s="1115" t="n">
        <v>99620</v>
      </c>
      <c r="H3916" s="1115" t="s">
        <v>2362</v>
      </c>
      <c r="I3916" s="1115" t="n">
        <v>98960</v>
      </c>
      <c r="J3916" s="1115" t="s">
        <v>1469</v>
      </c>
    </row>
    <row r="3917" customFormat="false" ht="14.1" hidden="false" customHeight="true" outlineLevel="0" collapsed="false">
      <c r="A3917" s="1115" t="n">
        <v>98950</v>
      </c>
      <c r="B3917" s="1115" t="s">
        <v>170</v>
      </c>
      <c r="C3917" s="1115" t="n">
        <v>98950</v>
      </c>
      <c r="D3917" s="1115" t="s">
        <v>3797</v>
      </c>
      <c r="E3917" s="1115" t="s">
        <v>3947</v>
      </c>
      <c r="F3917" s="1115" t="n">
        <v>91150</v>
      </c>
      <c r="G3917" s="1115" t="n">
        <v>99630</v>
      </c>
      <c r="H3917" s="1115" t="s">
        <v>2447</v>
      </c>
      <c r="I3917" s="1115" t="n">
        <v>98970</v>
      </c>
      <c r="J3917" s="1115" t="s">
        <v>1469</v>
      </c>
    </row>
    <row r="3918" customFormat="false" ht="14.1" hidden="false" customHeight="true" outlineLevel="0" collapsed="false">
      <c r="A3918" s="1115" t="n">
        <v>98960</v>
      </c>
      <c r="B3918" s="1115" t="s">
        <v>170</v>
      </c>
      <c r="C3918" s="1115" t="n">
        <v>98960</v>
      </c>
      <c r="D3918" s="1115" t="s">
        <v>3293</v>
      </c>
      <c r="E3918" s="1115" t="s">
        <v>3984</v>
      </c>
      <c r="F3918" s="1115" t="n">
        <v>95375</v>
      </c>
      <c r="G3918" s="1115" t="n">
        <v>99640</v>
      </c>
      <c r="H3918" s="1115" t="s">
        <v>3924</v>
      </c>
      <c r="I3918" s="1115" t="n">
        <v>98980</v>
      </c>
      <c r="J3918" s="1115" t="s">
        <v>1469</v>
      </c>
    </row>
    <row r="3919" customFormat="false" ht="14.1" hidden="false" customHeight="true" outlineLevel="0" collapsed="false">
      <c r="A3919" s="1115" t="n">
        <v>98970</v>
      </c>
      <c r="B3919" s="1115" t="s">
        <v>170</v>
      </c>
      <c r="C3919" s="1115" t="n">
        <v>98970</v>
      </c>
      <c r="D3919" s="1115" t="s">
        <v>3400</v>
      </c>
      <c r="E3919" s="1115" t="s">
        <v>2648</v>
      </c>
      <c r="F3919" s="1115" t="n">
        <v>38650</v>
      </c>
      <c r="G3919" s="1115" t="n">
        <v>99645</v>
      </c>
      <c r="H3919" s="1115" t="s">
        <v>3027</v>
      </c>
      <c r="I3919" s="1115" t="n">
        <v>98985</v>
      </c>
      <c r="J3919" s="1115" t="s">
        <v>1469</v>
      </c>
    </row>
    <row r="3920" customFormat="false" ht="14.1" hidden="false" customHeight="true" outlineLevel="0" collapsed="false">
      <c r="A3920" s="1115" t="n">
        <v>98980</v>
      </c>
      <c r="B3920" s="1115" t="s">
        <v>170</v>
      </c>
      <c r="C3920" s="1115" t="n">
        <v>98980</v>
      </c>
      <c r="D3920" s="1115" t="s">
        <v>2199</v>
      </c>
      <c r="E3920" s="1115" t="s">
        <v>3994</v>
      </c>
      <c r="F3920" s="1115" t="n">
        <v>97720</v>
      </c>
      <c r="G3920" s="1115" t="n">
        <v>99650</v>
      </c>
      <c r="H3920" s="1115" t="s">
        <v>3824</v>
      </c>
      <c r="I3920" s="1115" t="n">
        <v>98990</v>
      </c>
      <c r="J3920" s="1115" t="s">
        <v>1469</v>
      </c>
    </row>
    <row r="3921" customFormat="false" ht="14.1" hidden="false" customHeight="true" outlineLevel="0" collapsed="false">
      <c r="A3921" s="1115" t="n">
        <v>98985</v>
      </c>
      <c r="B3921" s="1115" t="s">
        <v>170</v>
      </c>
      <c r="C3921" s="1115" t="n">
        <v>98985</v>
      </c>
      <c r="D3921" s="1115" t="s">
        <v>3843</v>
      </c>
      <c r="E3921" s="1115" t="s">
        <v>3963</v>
      </c>
      <c r="F3921" s="1115" t="n">
        <v>93190</v>
      </c>
      <c r="G3921" s="1115" t="n">
        <v>99655</v>
      </c>
      <c r="H3921" s="1115" t="s">
        <v>3825</v>
      </c>
      <c r="I3921" s="1115" t="n">
        <v>98995</v>
      </c>
      <c r="J3921" s="1115" t="s">
        <v>1469</v>
      </c>
    </row>
    <row r="3922" customFormat="false" ht="14.1" hidden="false" customHeight="true" outlineLevel="0" collapsed="false">
      <c r="A3922" s="1115" t="n">
        <v>98990</v>
      </c>
      <c r="B3922" s="1115" t="s">
        <v>170</v>
      </c>
      <c r="C3922" s="1115" t="n">
        <v>98990</v>
      </c>
      <c r="D3922" s="1115" t="s">
        <v>3314</v>
      </c>
      <c r="E3922" s="1115" t="s">
        <v>3949</v>
      </c>
      <c r="F3922" s="1115" t="n">
        <v>91250</v>
      </c>
      <c r="G3922" s="1115" t="n">
        <v>99670</v>
      </c>
      <c r="H3922" s="1115" t="s">
        <v>3542</v>
      </c>
      <c r="I3922" s="1115" t="n">
        <v>99100</v>
      </c>
      <c r="J3922" s="1115" t="s">
        <v>1469</v>
      </c>
    </row>
    <row r="3923" customFormat="false" ht="14.1" hidden="false" customHeight="true" outlineLevel="0" collapsed="false">
      <c r="A3923" s="1115" t="n">
        <v>98995</v>
      </c>
      <c r="B3923" s="1115" t="s">
        <v>170</v>
      </c>
      <c r="C3923" s="1115" t="n">
        <v>98995</v>
      </c>
      <c r="D3923" s="1115" t="s">
        <v>1492</v>
      </c>
      <c r="E3923" s="1115" t="s">
        <v>3598</v>
      </c>
      <c r="F3923" s="1115" t="n">
        <v>68380</v>
      </c>
      <c r="G3923" s="1115" t="n">
        <v>99680</v>
      </c>
      <c r="H3923" s="1115" t="s">
        <v>4002</v>
      </c>
      <c r="I3923" s="1115" t="n">
        <v>99110</v>
      </c>
      <c r="J3923" s="1115" t="s">
        <v>1469</v>
      </c>
    </row>
    <row r="3924" customFormat="false" ht="14.1" hidden="false" customHeight="true" outlineLevel="0" collapsed="false">
      <c r="A3924" s="1115" t="n">
        <v>99100</v>
      </c>
      <c r="B3924" s="1115" t="s">
        <v>170</v>
      </c>
      <c r="C3924" s="1115" t="n">
        <v>99100</v>
      </c>
      <c r="D3924" s="1115" t="s">
        <v>1083</v>
      </c>
      <c r="E3924" s="1115" t="s">
        <v>3395</v>
      </c>
      <c r="F3924" s="1115" t="n">
        <v>61730</v>
      </c>
      <c r="G3924" s="1115" t="n">
        <v>99690</v>
      </c>
      <c r="H3924" s="1115" t="s">
        <v>4000</v>
      </c>
      <c r="I3924" s="1115" t="n">
        <v>99120</v>
      </c>
      <c r="J3924" s="1115" t="s">
        <v>1469</v>
      </c>
    </row>
    <row r="3925" customFormat="false" ht="14.1" hidden="false" customHeight="true" outlineLevel="0" collapsed="false">
      <c r="A3925" s="1115" t="n">
        <v>99110</v>
      </c>
      <c r="B3925" s="1115" t="s">
        <v>170</v>
      </c>
      <c r="C3925" s="1115" t="n">
        <v>99110</v>
      </c>
      <c r="D3925" s="1115" t="s">
        <v>2317</v>
      </c>
      <c r="E3925" s="1115" t="s">
        <v>3925</v>
      </c>
      <c r="F3925" s="1115" t="n">
        <v>88730</v>
      </c>
      <c r="G3925" s="1115" t="n">
        <v>99695</v>
      </c>
      <c r="H3925" s="1115" t="s">
        <v>3926</v>
      </c>
      <c r="I3925" s="1115" t="n">
        <v>99130</v>
      </c>
      <c r="J3925" s="1115" t="s">
        <v>1469</v>
      </c>
    </row>
    <row r="3926" customFormat="false" ht="14.1" hidden="false" customHeight="true" outlineLevel="0" collapsed="false">
      <c r="A3926" s="1115" t="n">
        <v>99120</v>
      </c>
      <c r="B3926" s="1115" t="s">
        <v>170</v>
      </c>
      <c r="C3926" s="1115" t="n">
        <v>99120</v>
      </c>
      <c r="D3926" s="1115" t="s">
        <v>2196</v>
      </c>
      <c r="E3926" s="1115" t="s">
        <v>3941</v>
      </c>
      <c r="F3926" s="1115" t="n">
        <v>89840</v>
      </c>
      <c r="G3926" s="1115" t="n">
        <v>99710</v>
      </c>
      <c r="H3926" s="1115" t="s">
        <v>3976</v>
      </c>
      <c r="I3926" s="1115" t="n">
        <v>99140</v>
      </c>
      <c r="J3926" s="1115" t="s">
        <v>1469</v>
      </c>
    </row>
    <row r="3927" customFormat="false" ht="14.1" hidden="false" customHeight="true" outlineLevel="0" collapsed="false">
      <c r="A3927" s="1115" t="n">
        <v>99130</v>
      </c>
      <c r="B3927" s="1115" t="s">
        <v>170</v>
      </c>
      <c r="C3927" s="1115" t="n">
        <v>99130</v>
      </c>
      <c r="D3927" s="1115" t="s">
        <v>3860</v>
      </c>
      <c r="E3927" s="1115" t="s">
        <v>1634</v>
      </c>
      <c r="F3927" s="1115" t="n">
        <v>62375</v>
      </c>
      <c r="G3927" s="1115" t="n">
        <v>99720</v>
      </c>
      <c r="H3927" s="1115" t="s">
        <v>3722</v>
      </c>
      <c r="I3927" s="1115" t="n">
        <v>99150</v>
      </c>
      <c r="J3927" s="1115" t="s">
        <v>1469</v>
      </c>
    </row>
    <row r="3928" customFormat="false" ht="14.1" hidden="false" customHeight="true" outlineLevel="0" collapsed="false">
      <c r="A3928" s="1115" t="n">
        <v>99140</v>
      </c>
      <c r="B3928" s="1115" t="s">
        <v>170</v>
      </c>
      <c r="C3928" s="1115" t="n">
        <v>99140</v>
      </c>
      <c r="D3928" s="1115" t="s">
        <v>2832</v>
      </c>
      <c r="E3928" s="1115" t="s">
        <v>1634</v>
      </c>
      <c r="F3928" s="1115" t="n">
        <v>62375</v>
      </c>
      <c r="G3928" s="1115" t="n">
        <v>99730</v>
      </c>
      <c r="H3928" s="1115" t="s">
        <v>1710</v>
      </c>
      <c r="I3928" s="1115" t="n">
        <v>99160</v>
      </c>
      <c r="J3928" s="1115" t="s">
        <v>1469</v>
      </c>
    </row>
    <row r="3929" customFormat="false" ht="14.1" hidden="false" customHeight="true" outlineLevel="0" collapsed="false">
      <c r="A3929" s="1115" t="n">
        <v>99150</v>
      </c>
      <c r="B3929" s="1115" t="s">
        <v>170</v>
      </c>
      <c r="C3929" s="1115" t="n">
        <v>99150</v>
      </c>
      <c r="D3929" s="1115" t="s">
        <v>3938</v>
      </c>
      <c r="E3929" s="1115" t="s">
        <v>3184</v>
      </c>
      <c r="F3929" s="1115" t="n">
        <v>54460</v>
      </c>
      <c r="G3929" s="1115" t="n">
        <v>99740</v>
      </c>
      <c r="H3929" s="1115" t="s">
        <v>3898</v>
      </c>
      <c r="I3929" s="1115" t="n">
        <v>99170</v>
      </c>
      <c r="J3929" s="1115" t="s">
        <v>1469</v>
      </c>
    </row>
    <row r="3930" customFormat="false" ht="14.1" hidden="false" customHeight="true" outlineLevel="0" collapsed="false">
      <c r="A3930" s="1115" t="n">
        <v>99160</v>
      </c>
      <c r="B3930" s="1115" t="s">
        <v>170</v>
      </c>
      <c r="C3930" s="1115" t="n">
        <v>99160</v>
      </c>
      <c r="D3930" s="1115" t="s">
        <v>3030</v>
      </c>
      <c r="E3930" s="1115" t="s">
        <v>1380</v>
      </c>
      <c r="F3930" s="1115" t="n">
        <v>7330</v>
      </c>
      <c r="G3930" s="1115" t="n">
        <v>99760</v>
      </c>
      <c r="H3930" s="1115" t="s">
        <v>3973</v>
      </c>
      <c r="I3930" s="1115" t="n">
        <v>99180</v>
      </c>
      <c r="J3930" s="1115" t="s">
        <v>1469</v>
      </c>
    </row>
    <row r="3931" customFormat="false" ht="14.1" hidden="false" customHeight="true" outlineLevel="0" collapsed="false">
      <c r="A3931" s="1115" t="n">
        <v>99170</v>
      </c>
      <c r="B3931" s="1115" t="s">
        <v>170</v>
      </c>
      <c r="C3931" s="1115" t="n">
        <v>99170</v>
      </c>
      <c r="D3931" s="1115" t="s">
        <v>3634</v>
      </c>
      <c r="E3931" s="1115" t="s">
        <v>1635</v>
      </c>
      <c r="F3931" s="1115" t="n">
        <v>91300</v>
      </c>
      <c r="G3931" s="1115" t="n">
        <v>99770</v>
      </c>
      <c r="H3931" s="1115" t="s">
        <v>2004</v>
      </c>
      <c r="I3931" s="1115" t="n">
        <v>99190</v>
      </c>
      <c r="J3931" s="1115" t="s">
        <v>1469</v>
      </c>
    </row>
    <row r="3932" customFormat="false" ht="14.1" hidden="false" customHeight="true" outlineLevel="0" collapsed="false">
      <c r="A3932" s="1115" t="n">
        <v>99180</v>
      </c>
      <c r="B3932" s="1115" t="s">
        <v>170</v>
      </c>
      <c r="C3932" s="1115" t="n">
        <v>99180</v>
      </c>
      <c r="D3932" s="1115" t="s">
        <v>3706</v>
      </c>
      <c r="E3932" s="1115" t="s">
        <v>3410</v>
      </c>
      <c r="F3932" s="1115" t="n">
        <v>62175</v>
      </c>
      <c r="G3932" s="1115" t="n">
        <v>99790</v>
      </c>
      <c r="H3932" s="1115" t="s">
        <v>2118</v>
      </c>
      <c r="I3932" s="1115" t="n">
        <v>99195</v>
      </c>
      <c r="J3932" s="1115" t="s">
        <v>1083</v>
      </c>
    </row>
    <row r="3933" customFormat="false" ht="14.1" hidden="false" customHeight="true" outlineLevel="0" collapsed="false">
      <c r="A3933" s="1115" t="n">
        <v>99190</v>
      </c>
      <c r="B3933" s="1115" t="s">
        <v>170</v>
      </c>
      <c r="C3933" s="1115" t="n">
        <v>99190</v>
      </c>
      <c r="D3933" s="1115" t="s">
        <v>1383</v>
      </c>
      <c r="E3933" s="1115" t="s">
        <v>2460</v>
      </c>
      <c r="F3933" s="1115" t="n">
        <v>34130</v>
      </c>
      <c r="G3933" s="1115" t="n">
        <v>99800</v>
      </c>
      <c r="H3933" s="1115" t="s">
        <v>171</v>
      </c>
      <c r="I3933" s="1115" t="n">
        <v>99210</v>
      </c>
      <c r="J3933" s="1115" t="s">
        <v>1083</v>
      </c>
    </row>
    <row r="3934" customFormat="false" ht="14.1" hidden="false" customHeight="true" outlineLevel="0" collapsed="false">
      <c r="A3934" s="1115" t="n">
        <v>99195</v>
      </c>
      <c r="B3934" s="1115" t="s">
        <v>170</v>
      </c>
      <c r="C3934" s="1115" t="n">
        <v>99195</v>
      </c>
      <c r="D3934" s="1115" t="s">
        <v>3602</v>
      </c>
      <c r="E3934" s="1115" t="s">
        <v>3907</v>
      </c>
      <c r="F3934" s="1115" t="n">
        <v>86230</v>
      </c>
      <c r="G3934" s="1115" t="n">
        <v>99820</v>
      </c>
      <c r="H3934" s="1115" t="s">
        <v>2324</v>
      </c>
      <c r="I3934" s="1115" t="n">
        <v>99220</v>
      </c>
      <c r="J3934" s="1115" t="s">
        <v>1083</v>
      </c>
    </row>
    <row r="3935" customFormat="false" ht="14.1" hidden="false" customHeight="true" outlineLevel="0" collapsed="false">
      <c r="A3935" s="1115" t="n">
        <v>99210</v>
      </c>
      <c r="B3935" s="1115" t="s">
        <v>170</v>
      </c>
      <c r="C3935" s="1115" t="n">
        <v>99210</v>
      </c>
      <c r="D3935" s="1115" t="s">
        <v>3592</v>
      </c>
      <c r="E3935" s="1115" t="s">
        <v>1956</v>
      </c>
      <c r="F3935" s="1115" t="n">
        <v>21430</v>
      </c>
      <c r="G3935" s="1115" t="n">
        <v>99830</v>
      </c>
      <c r="H3935" s="1115" t="s">
        <v>3794</v>
      </c>
      <c r="I3935" s="1115" t="n">
        <v>99230</v>
      </c>
      <c r="J3935" s="1115" t="s">
        <v>1083</v>
      </c>
    </row>
    <row r="3936" customFormat="false" ht="14.1" hidden="false" customHeight="true" outlineLevel="0" collapsed="false">
      <c r="A3936" s="1115" t="n">
        <v>99220</v>
      </c>
      <c r="B3936" s="1115" t="s">
        <v>170</v>
      </c>
      <c r="C3936" s="1115" t="n">
        <v>99220</v>
      </c>
      <c r="D3936" s="1115" t="s">
        <v>3997</v>
      </c>
      <c r="E3936" s="1115" t="s">
        <v>1636</v>
      </c>
      <c r="F3936" s="1115" t="n">
        <v>61400</v>
      </c>
      <c r="G3936" s="1115" t="n">
        <v>99835</v>
      </c>
      <c r="H3936" s="1115" t="s">
        <v>2845</v>
      </c>
      <c r="I3936" s="1115" t="n">
        <v>99240</v>
      </c>
      <c r="J3936" s="1115" t="s">
        <v>1083</v>
      </c>
    </row>
    <row r="3937" customFormat="false" ht="14.1" hidden="false" customHeight="true" outlineLevel="0" collapsed="false">
      <c r="A3937" s="1115" t="n">
        <v>99230</v>
      </c>
      <c r="B3937" s="1115" t="s">
        <v>170</v>
      </c>
      <c r="C3937" s="1115" t="n">
        <v>99230</v>
      </c>
      <c r="D3937" s="1115" t="s">
        <v>2005</v>
      </c>
      <c r="E3937" s="1115" t="s">
        <v>1636</v>
      </c>
      <c r="F3937" s="1115" t="n">
        <v>61410</v>
      </c>
      <c r="G3937" s="1115" t="n">
        <v>99860</v>
      </c>
      <c r="H3937" s="1115" t="s">
        <v>3304</v>
      </c>
      <c r="I3937" s="1115" t="n">
        <v>99250</v>
      </c>
      <c r="J3937" s="1115" t="s">
        <v>1083</v>
      </c>
    </row>
    <row r="3938" customFormat="false" ht="14.1" hidden="false" customHeight="true" outlineLevel="0" collapsed="false">
      <c r="A3938" s="1115" t="n">
        <v>99240</v>
      </c>
      <c r="B3938" s="1115" t="s">
        <v>170</v>
      </c>
      <c r="C3938" s="1115" t="n">
        <v>99240</v>
      </c>
      <c r="D3938" s="1115" t="s">
        <v>2667</v>
      </c>
      <c r="E3938" s="1115" t="s">
        <v>1637</v>
      </c>
      <c r="F3938" s="1115" t="n">
        <v>95600</v>
      </c>
      <c r="G3938" s="1115" t="n">
        <v>99870</v>
      </c>
      <c r="H3938" s="1115" t="s">
        <v>883</v>
      </c>
      <c r="I3938" s="1115" t="n">
        <v>99260</v>
      </c>
      <c r="J3938" s="1115" t="s">
        <v>1083</v>
      </c>
    </row>
    <row r="3939" customFormat="false" ht="14.1" hidden="false" customHeight="true" outlineLevel="0" collapsed="false">
      <c r="A3939" s="1115" t="n">
        <v>99250</v>
      </c>
      <c r="B3939" s="1115" t="s">
        <v>170</v>
      </c>
      <c r="C3939" s="1115" t="n">
        <v>99250</v>
      </c>
      <c r="D3939" s="1115" t="s">
        <v>2415</v>
      </c>
      <c r="E3939" s="1115" t="s">
        <v>3112</v>
      </c>
      <c r="F3939" s="1115" t="n">
        <v>52140</v>
      </c>
      <c r="G3939" s="1115" t="n">
        <v>99880</v>
      </c>
      <c r="H3939" s="1115" t="s">
        <v>3165</v>
      </c>
      <c r="I3939" s="1115" t="n">
        <v>99270</v>
      </c>
      <c r="J3939" s="1115" t="s">
        <v>1083</v>
      </c>
    </row>
    <row r="3940" customFormat="false" ht="14.1" hidden="false" customHeight="true" outlineLevel="0" collapsed="false">
      <c r="A3940" s="1115" t="n">
        <v>99260</v>
      </c>
      <c r="B3940" s="1115" t="s">
        <v>170</v>
      </c>
      <c r="C3940" s="1115" t="n">
        <v>99260</v>
      </c>
      <c r="D3940" s="1115" t="s">
        <v>3003</v>
      </c>
      <c r="E3940" s="1115" t="s">
        <v>1638</v>
      </c>
      <c r="F3940" s="1115" t="n">
        <v>84100</v>
      </c>
      <c r="G3940" s="1115" t="n">
        <v>99885</v>
      </c>
      <c r="H3940" s="1115" t="s">
        <v>2947</v>
      </c>
      <c r="I3940" s="1115" t="n">
        <v>99280</v>
      </c>
      <c r="J3940" s="1115" t="s">
        <v>1083</v>
      </c>
    </row>
    <row r="3941" customFormat="false" ht="14.1" hidden="false" customHeight="true" outlineLevel="0" collapsed="false">
      <c r="A3941" s="1115" t="n">
        <v>99270</v>
      </c>
      <c r="B3941" s="1115" t="s">
        <v>170</v>
      </c>
      <c r="C3941" s="1115" t="n">
        <v>99270</v>
      </c>
      <c r="D3941" s="1115" t="s">
        <v>1768</v>
      </c>
      <c r="E3941" s="1115" t="s">
        <v>1638</v>
      </c>
      <c r="F3941" s="1115" t="n">
        <v>84220</v>
      </c>
      <c r="G3941" s="1115" t="n">
        <v>99890</v>
      </c>
      <c r="H3941" s="1115" t="s">
        <v>3005</v>
      </c>
      <c r="I3941" s="1115" t="n">
        <v>99290</v>
      </c>
      <c r="J3941" s="1115" t="s">
        <v>1083</v>
      </c>
    </row>
    <row r="3942" customFormat="false" ht="14.1" hidden="false" customHeight="true" outlineLevel="0" collapsed="false">
      <c r="A3942" s="1115" t="n">
        <v>99280</v>
      </c>
      <c r="B3942" s="1115" t="s">
        <v>170</v>
      </c>
      <c r="C3942" s="1115" t="n">
        <v>99280</v>
      </c>
      <c r="D3942" s="1115" t="s">
        <v>3939</v>
      </c>
      <c r="E3942" s="1115" t="s">
        <v>1638</v>
      </c>
      <c r="F3942" s="1115" t="n">
        <v>84320</v>
      </c>
      <c r="G3942" s="1115" t="n">
        <v>99910</v>
      </c>
      <c r="H3942" s="1115" t="s">
        <v>2122</v>
      </c>
      <c r="I3942" s="1115" t="n">
        <v>99300</v>
      </c>
      <c r="J3942" s="1115" t="s">
        <v>1241</v>
      </c>
    </row>
    <row r="3943" customFormat="false" ht="14.1" hidden="false" customHeight="true" outlineLevel="0" collapsed="false">
      <c r="A3943" s="1115" t="n">
        <v>99290</v>
      </c>
      <c r="B3943" s="1115" t="s">
        <v>170</v>
      </c>
      <c r="C3943" s="1115" t="n">
        <v>99290</v>
      </c>
      <c r="D3943" s="1115" t="s">
        <v>2357</v>
      </c>
      <c r="E3943" s="1115" t="s">
        <v>1638</v>
      </c>
      <c r="F3943" s="1115" t="n">
        <v>84330</v>
      </c>
      <c r="G3943" s="1115" t="n">
        <v>99920</v>
      </c>
      <c r="H3943" s="1115" t="s">
        <v>3494</v>
      </c>
      <c r="I3943" s="1115" t="n">
        <v>99310</v>
      </c>
      <c r="J3943" s="1115" t="s">
        <v>1241</v>
      </c>
    </row>
    <row r="3944" customFormat="false" ht="14.1" hidden="false" customHeight="true" outlineLevel="0" collapsed="false">
      <c r="A3944" s="1115" t="n">
        <v>99300</v>
      </c>
      <c r="B3944" s="1115" t="s">
        <v>170</v>
      </c>
      <c r="C3944" s="1115" t="n">
        <v>99300</v>
      </c>
      <c r="D3944" s="1115" t="s">
        <v>1241</v>
      </c>
      <c r="E3944" s="1115" t="s">
        <v>1638</v>
      </c>
      <c r="F3944" s="1115" t="n">
        <v>84460</v>
      </c>
      <c r="G3944" s="1115" t="n">
        <v>99930</v>
      </c>
      <c r="H3944" s="1115" t="s">
        <v>3844</v>
      </c>
      <c r="I3944" s="1115" t="n">
        <v>99320</v>
      </c>
      <c r="J3944" s="1115" t="s">
        <v>1241</v>
      </c>
    </row>
    <row r="3945" customFormat="false" ht="14.1" hidden="false" customHeight="true" outlineLevel="0" collapsed="false">
      <c r="A3945" s="1115" t="n">
        <v>99310</v>
      </c>
      <c r="B3945" s="1115" t="s">
        <v>170</v>
      </c>
      <c r="C3945" s="1115" t="n">
        <v>99310</v>
      </c>
      <c r="D3945" s="1115" t="s">
        <v>4001</v>
      </c>
      <c r="E3945" s="1115" t="s">
        <v>1638</v>
      </c>
      <c r="F3945" s="1115" t="n">
        <v>84540</v>
      </c>
      <c r="G3945" s="1115" t="n">
        <v>99940</v>
      </c>
      <c r="H3945" s="1115" t="s">
        <v>3382</v>
      </c>
      <c r="I3945" s="1115" t="n">
        <v>99330</v>
      </c>
      <c r="J3945" s="1115" t="s">
        <v>1241</v>
      </c>
    </row>
    <row r="3946" customFormat="false" ht="14.1" hidden="false" customHeight="true" outlineLevel="0" collapsed="false">
      <c r="A3946" s="1115" t="n">
        <v>99320</v>
      </c>
      <c r="B3946" s="1115" t="s">
        <v>170</v>
      </c>
      <c r="C3946" s="1115" t="n">
        <v>99320</v>
      </c>
      <c r="D3946" s="1115" t="s">
        <v>2821</v>
      </c>
      <c r="E3946" s="1115" t="s">
        <v>1638</v>
      </c>
      <c r="F3946" s="1115" t="n">
        <v>84650</v>
      </c>
      <c r="G3946" s="1115" t="n">
        <v>99950</v>
      </c>
      <c r="H3946" s="1115" t="s">
        <v>2251</v>
      </c>
      <c r="I3946" s="1115" t="n">
        <v>99340</v>
      </c>
      <c r="J3946" s="1115" t="s">
        <v>1241</v>
      </c>
    </row>
    <row r="3947" customFormat="false" ht="14.1" hidden="false" customHeight="true" outlineLevel="0" collapsed="false">
      <c r="A3947" s="1115" t="n">
        <v>99330</v>
      </c>
      <c r="B3947" s="1115" t="s">
        <v>170</v>
      </c>
      <c r="C3947" s="1115" t="n">
        <v>99330</v>
      </c>
      <c r="D3947" s="1115" t="s">
        <v>3470</v>
      </c>
      <c r="E3947" s="1115" t="s">
        <v>1638</v>
      </c>
      <c r="F3947" s="1115" t="n">
        <v>84770</v>
      </c>
      <c r="G3947" s="1115" t="n">
        <v>99960</v>
      </c>
      <c r="H3947" s="1115" t="s">
        <v>3437</v>
      </c>
      <c r="I3947" s="1115" t="n">
        <v>99360</v>
      </c>
      <c r="J3947" s="1115" t="s">
        <v>1241</v>
      </c>
    </row>
    <row r="3948" customFormat="false" ht="14.1" hidden="false" customHeight="true" outlineLevel="0" collapsed="false">
      <c r="A3948" s="1115" t="n">
        <v>99340</v>
      </c>
      <c r="B3948" s="1115" t="s">
        <v>170</v>
      </c>
      <c r="C3948" s="1115" t="n">
        <v>99340</v>
      </c>
      <c r="D3948" s="1115" t="s">
        <v>3676</v>
      </c>
      <c r="E3948" s="1115" t="s">
        <v>1638</v>
      </c>
      <c r="F3948" s="1115" t="n">
        <v>84880</v>
      </c>
      <c r="G3948" s="1115" t="n">
        <v>99970</v>
      </c>
      <c r="H3948" s="1115" t="s">
        <v>3370</v>
      </c>
      <c r="I3948" s="1115" t="n">
        <v>99380</v>
      </c>
      <c r="J3948" s="1115" t="s">
        <v>1241</v>
      </c>
    </row>
    <row r="3949" customFormat="false" ht="14.1" hidden="false" customHeight="true" outlineLevel="0" collapsed="false">
      <c r="A3949" s="1115" t="n">
        <v>99360</v>
      </c>
      <c r="B3949" s="1115" t="s">
        <v>170</v>
      </c>
      <c r="C3949" s="1115" t="n">
        <v>99360</v>
      </c>
      <c r="D3949" s="1115" t="s">
        <v>2223</v>
      </c>
      <c r="E3949" s="1115" t="s">
        <v>2810</v>
      </c>
      <c r="F3949" s="1115" t="n">
        <v>41925</v>
      </c>
      <c r="G3949" s="1115" t="n">
        <v>99980</v>
      </c>
      <c r="H3949" s="1115" t="s">
        <v>1583</v>
      </c>
      <c r="I3949" s="1115" t="n">
        <v>99400</v>
      </c>
      <c r="J3949" s="1115" t="s">
        <v>767</v>
      </c>
    </row>
    <row r="3950" customFormat="false" ht="14.1" hidden="false" customHeight="true" outlineLevel="0" collapsed="false">
      <c r="A3950" s="1115" t="n">
        <v>99380</v>
      </c>
      <c r="B3950" s="1115" t="s">
        <v>170</v>
      </c>
      <c r="C3950" s="1115" t="n">
        <v>99380</v>
      </c>
      <c r="D3950" s="1115" t="s">
        <v>2008</v>
      </c>
      <c r="E3950" s="1115" t="s">
        <v>2844</v>
      </c>
      <c r="F3950" s="1115" t="n">
        <v>42830</v>
      </c>
      <c r="G3950" s="1115" t="n">
        <v>99990</v>
      </c>
      <c r="H3950" s="1115" t="s">
        <v>3361</v>
      </c>
      <c r="I3950" s="1115" t="n">
        <v>99410</v>
      </c>
      <c r="J3950" s="1115" t="s">
        <v>767</v>
      </c>
    </row>
    <row r="3951" customFormat="false" ht="14.1" hidden="false" customHeight="true" outlineLevel="0" collapsed="false">
      <c r="A3951" s="1115" t="n">
        <v>99400</v>
      </c>
      <c r="B3951" s="1115" t="s">
        <v>170</v>
      </c>
      <c r="C3951" s="1115" t="n">
        <v>99400</v>
      </c>
      <c r="D3951" s="1115" t="s">
        <v>767</v>
      </c>
      <c r="E3951" s="1115" t="s">
        <v>4003</v>
      </c>
      <c r="F3951" s="1115" t="n">
        <v>75680</v>
      </c>
      <c r="G3951" s="1115" t="n">
        <v>10000</v>
      </c>
      <c r="H3951" s="1115" t="s">
        <v>696</v>
      </c>
      <c r="I3951" s="1115" t="n">
        <v>99420</v>
      </c>
      <c r="J3951" s="1115" t="s">
        <v>767</v>
      </c>
    </row>
    <row r="3952" customFormat="false" ht="14.1" hidden="false" customHeight="true" outlineLevel="0" collapsed="false">
      <c r="A3952" s="1115" t="n">
        <v>99410</v>
      </c>
      <c r="B3952" s="1115" t="s">
        <v>170</v>
      </c>
      <c r="C3952" s="1115" t="n">
        <v>99410</v>
      </c>
      <c r="D3952" s="1115" t="s">
        <v>3999</v>
      </c>
      <c r="E3952" s="1115" t="s">
        <v>4003</v>
      </c>
      <c r="F3952" s="1115" t="n">
        <v>75680</v>
      </c>
      <c r="G3952" s="1115" t="n">
        <v>100000</v>
      </c>
      <c r="H3952" s="1115" t="s">
        <v>696</v>
      </c>
      <c r="I3952" s="1115" t="n">
        <v>99430</v>
      </c>
      <c r="J3952" s="1115" t="s">
        <v>767</v>
      </c>
    </row>
    <row r="3953" customFormat="false" ht="14.1" hidden="false" customHeight="true" outlineLevel="0" collapsed="false">
      <c r="A3953" s="1115" t="n">
        <v>99420</v>
      </c>
      <c r="B3953" s="1115" t="s">
        <v>170</v>
      </c>
      <c r="C3953" s="1115" t="n">
        <v>99420</v>
      </c>
      <c r="D3953" s="1115" t="s">
        <v>3522</v>
      </c>
      <c r="E3953" s="1115" t="s">
        <v>3746</v>
      </c>
      <c r="F3953" s="1115" t="n">
        <v>75840</v>
      </c>
      <c r="G3953" s="1115" t="n">
        <v>1000000</v>
      </c>
      <c r="H3953" s="1115" t="s">
        <v>696</v>
      </c>
      <c r="I3953" s="1115" t="n">
        <v>99440</v>
      </c>
      <c r="J3953" s="1115" t="s">
        <v>767</v>
      </c>
    </row>
    <row r="3954" customFormat="false" ht="14.1" hidden="false" customHeight="true" outlineLevel="0" collapsed="false">
      <c r="A3954" s="1115" t="n">
        <v>99430</v>
      </c>
      <c r="B3954" s="1115" t="s">
        <v>170</v>
      </c>
      <c r="C3954" s="1115" t="n">
        <v>99430</v>
      </c>
      <c r="D3954" s="1115" t="s">
        <v>3356</v>
      </c>
      <c r="E3954" s="1115" t="s">
        <v>2496</v>
      </c>
      <c r="F3954" s="1115" t="n">
        <v>34740</v>
      </c>
      <c r="I3954" s="1115" t="n">
        <v>99450</v>
      </c>
      <c r="J3954" s="1115" t="s">
        <v>767</v>
      </c>
    </row>
    <row r="3955" customFormat="false" ht="14.1" hidden="false" customHeight="true" outlineLevel="0" collapsed="false">
      <c r="A3955" s="1115" t="n">
        <v>99440</v>
      </c>
      <c r="B3955" s="1115" t="s">
        <v>170</v>
      </c>
      <c r="C3955" s="1115" t="n">
        <v>99440</v>
      </c>
      <c r="D3955" s="1115" t="s">
        <v>2967</v>
      </c>
      <c r="E3955" s="1115" t="s">
        <v>1640</v>
      </c>
      <c r="F3955" s="1115" t="n">
        <v>54410</v>
      </c>
      <c r="I3955" s="1115" t="n">
        <v>99460</v>
      </c>
      <c r="J3955" s="1115" t="s">
        <v>767</v>
      </c>
    </row>
    <row r="3956" customFormat="false" ht="14.1" hidden="false" customHeight="true" outlineLevel="0" collapsed="false">
      <c r="A3956" s="1115" t="n">
        <v>99450</v>
      </c>
      <c r="B3956" s="1115" t="s">
        <v>170</v>
      </c>
      <c r="C3956" s="1115" t="n">
        <v>99450</v>
      </c>
      <c r="D3956" s="1115" t="s">
        <v>3474</v>
      </c>
      <c r="E3956" s="1115" t="s">
        <v>3806</v>
      </c>
      <c r="F3956" s="1115" t="n">
        <v>80400</v>
      </c>
      <c r="I3956" s="1115" t="n">
        <v>99470</v>
      </c>
      <c r="J3956" s="1115" t="s">
        <v>767</v>
      </c>
    </row>
    <row r="3957" customFormat="false" ht="14.1" hidden="false" customHeight="true" outlineLevel="0" collapsed="false">
      <c r="A3957" s="1115" t="n">
        <v>99460</v>
      </c>
      <c r="B3957" s="1115" t="s">
        <v>170</v>
      </c>
      <c r="C3957" s="1115" t="n">
        <v>99460</v>
      </c>
      <c r="D3957" s="1115" t="s">
        <v>2742</v>
      </c>
      <c r="E3957" s="1115" t="s">
        <v>1642</v>
      </c>
      <c r="F3957" s="1115" t="n">
        <v>21900</v>
      </c>
      <c r="I3957" s="1115" t="n">
        <v>99490</v>
      </c>
      <c r="J3957" s="1115" t="s">
        <v>767</v>
      </c>
    </row>
    <row r="3958" customFormat="false" ht="14.1" hidden="false" customHeight="true" outlineLevel="0" collapsed="false">
      <c r="A3958" s="1115" t="n">
        <v>99470</v>
      </c>
      <c r="B3958" s="1115" t="s">
        <v>170</v>
      </c>
      <c r="C3958" s="1115" t="n">
        <v>99470</v>
      </c>
      <c r="D3958" s="1115" t="s">
        <v>2240</v>
      </c>
      <c r="E3958" s="1115" t="s">
        <v>1644</v>
      </c>
      <c r="F3958" s="1115" t="n">
        <v>33480</v>
      </c>
      <c r="I3958" s="1115" t="n">
        <v>99510</v>
      </c>
      <c r="J3958" s="1115" t="s">
        <v>767</v>
      </c>
    </row>
    <row r="3959" customFormat="false" ht="14.1" hidden="false" customHeight="true" outlineLevel="0" collapsed="false">
      <c r="A3959" s="1115" t="n">
        <v>99490</v>
      </c>
      <c r="B3959" s="1115" t="s">
        <v>170</v>
      </c>
      <c r="C3959" s="1115" t="n">
        <v>99490</v>
      </c>
      <c r="D3959" s="1115" t="s">
        <v>2421</v>
      </c>
      <c r="E3959" s="1115" t="s">
        <v>2117</v>
      </c>
      <c r="F3959" s="1115" t="n">
        <v>25610</v>
      </c>
      <c r="I3959" s="1115" t="n">
        <v>99520</v>
      </c>
      <c r="J3959" s="1115" t="s">
        <v>767</v>
      </c>
    </row>
    <row r="3960" customFormat="false" ht="14.1" hidden="false" customHeight="true" outlineLevel="0" collapsed="false">
      <c r="A3960" s="1115" t="n">
        <v>99510</v>
      </c>
      <c r="B3960" s="1115" t="s">
        <v>170</v>
      </c>
      <c r="C3960" s="1115" t="n">
        <v>99510</v>
      </c>
      <c r="D3960" s="1115" t="s">
        <v>3697</v>
      </c>
      <c r="E3960" s="1115" t="s">
        <v>2342</v>
      </c>
      <c r="F3960" s="1115" t="n">
        <v>31410</v>
      </c>
      <c r="I3960" s="1115" t="n">
        <v>99540</v>
      </c>
      <c r="J3960" s="1115" t="s">
        <v>767</v>
      </c>
    </row>
    <row r="3961" customFormat="false" ht="14.1" hidden="false" customHeight="true" outlineLevel="0" collapsed="false">
      <c r="A3961" s="1115" t="n">
        <v>99520</v>
      </c>
      <c r="B3961" s="1115" t="s">
        <v>170</v>
      </c>
      <c r="C3961" s="1115" t="n">
        <v>99520</v>
      </c>
      <c r="D3961" s="1115" t="s">
        <v>3840</v>
      </c>
      <c r="E3961" s="1115" t="s">
        <v>3905</v>
      </c>
      <c r="F3961" s="1115" t="n">
        <v>86170</v>
      </c>
      <c r="I3961" s="1115" t="n">
        <v>99550</v>
      </c>
      <c r="J3961" s="1115" t="s">
        <v>767</v>
      </c>
    </row>
    <row r="3962" customFormat="false" ht="14.1" hidden="false" customHeight="true" outlineLevel="0" collapsed="false">
      <c r="A3962" s="1115" t="n">
        <v>99540</v>
      </c>
      <c r="B3962" s="1115" t="s">
        <v>170</v>
      </c>
      <c r="C3962" s="1115" t="n">
        <v>99540</v>
      </c>
      <c r="D3962" s="1115" t="s">
        <v>3951</v>
      </c>
      <c r="E3962" s="1115" t="s">
        <v>1645</v>
      </c>
      <c r="F3962" s="1115" t="n">
        <v>32100</v>
      </c>
      <c r="I3962" s="1115" t="n">
        <v>99560</v>
      </c>
      <c r="J3962" s="1115" t="s">
        <v>767</v>
      </c>
    </row>
    <row r="3963" customFormat="false" ht="14.1" hidden="false" customHeight="true" outlineLevel="0" collapsed="false">
      <c r="A3963" s="1115" t="n">
        <v>99550</v>
      </c>
      <c r="B3963" s="1115" t="s">
        <v>170</v>
      </c>
      <c r="C3963" s="1115" t="n">
        <v>99550</v>
      </c>
      <c r="D3963" s="1115" t="s">
        <v>931</v>
      </c>
      <c r="E3963" s="1115" t="s">
        <v>1645</v>
      </c>
      <c r="F3963" s="1115" t="n">
        <v>32140</v>
      </c>
      <c r="I3963" s="1115" t="n">
        <v>99600</v>
      </c>
      <c r="J3963" s="1115" t="s">
        <v>170</v>
      </c>
    </row>
    <row r="3964" customFormat="false" ht="14.1" hidden="false" customHeight="true" outlineLevel="0" collapsed="false">
      <c r="A3964" s="1115" t="n">
        <v>99560</v>
      </c>
      <c r="B3964" s="1115" t="s">
        <v>170</v>
      </c>
      <c r="C3964" s="1115" t="n">
        <v>99560</v>
      </c>
      <c r="D3964" s="1115" t="s">
        <v>3409</v>
      </c>
      <c r="E3964" s="1115" t="s">
        <v>3608</v>
      </c>
      <c r="F3964" s="1115" t="n">
        <v>68810</v>
      </c>
      <c r="I3964" s="1115" t="n">
        <v>99610</v>
      </c>
      <c r="J3964" s="1115" t="s">
        <v>170</v>
      </c>
    </row>
    <row r="3965" customFormat="false" ht="14.1" hidden="false" customHeight="true" outlineLevel="0" collapsed="false">
      <c r="A3965" s="1115" t="n">
        <v>99600</v>
      </c>
      <c r="B3965" s="1115" t="s">
        <v>170</v>
      </c>
      <c r="C3965" s="1115" t="n">
        <v>99600</v>
      </c>
      <c r="D3965" s="1115" t="s">
        <v>170</v>
      </c>
      <c r="E3965" s="1115" t="s">
        <v>3488</v>
      </c>
      <c r="F3965" s="1115" t="n">
        <v>64220</v>
      </c>
      <c r="I3965" s="1115" t="n">
        <v>99620</v>
      </c>
      <c r="J3965" s="1115" t="s">
        <v>170</v>
      </c>
    </row>
    <row r="3966" customFormat="false" ht="14.1" hidden="false" customHeight="true" outlineLevel="0" collapsed="false">
      <c r="A3966" s="1115" t="n">
        <v>99610</v>
      </c>
      <c r="B3966" s="1115" t="s">
        <v>170</v>
      </c>
      <c r="C3966" s="1115" t="n">
        <v>99610</v>
      </c>
      <c r="D3966" s="1115" t="s">
        <v>3864</v>
      </c>
      <c r="E3966" s="1115" t="s">
        <v>2212</v>
      </c>
      <c r="F3966" s="1115" t="n">
        <v>27750</v>
      </c>
      <c r="I3966" s="1115" t="n">
        <v>99630</v>
      </c>
      <c r="J3966" s="1115" t="s">
        <v>170</v>
      </c>
    </row>
    <row r="3967" customFormat="false" ht="14.1" hidden="false" customHeight="true" outlineLevel="0" collapsed="false">
      <c r="A3967" s="1115" t="n">
        <v>99620</v>
      </c>
      <c r="B3967" s="1115" t="s">
        <v>170</v>
      </c>
      <c r="C3967" s="1115" t="n">
        <v>99620</v>
      </c>
      <c r="D3967" s="1115" t="s">
        <v>2362</v>
      </c>
      <c r="E3967" s="1115" t="s">
        <v>2239</v>
      </c>
      <c r="F3967" s="1115" t="n">
        <v>28850</v>
      </c>
      <c r="I3967" s="1115" t="n">
        <v>99640</v>
      </c>
      <c r="J3967" s="1115" t="s">
        <v>170</v>
      </c>
    </row>
    <row r="3968" customFormat="false" ht="14.1" hidden="false" customHeight="true" outlineLevel="0" collapsed="false">
      <c r="A3968" s="1115" t="n">
        <v>99630</v>
      </c>
      <c r="B3968" s="1115" t="s">
        <v>170</v>
      </c>
      <c r="C3968" s="1115" t="n">
        <v>99630</v>
      </c>
      <c r="D3968" s="1115" t="s">
        <v>2447</v>
      </c>
      <c r="E3968" s="1115" t="s">
        <v>1557</v>
      </c>
      <c r="F3968" s="1115" t="n">
        <v>10410</v>
      </c>
      <c r="I3968" s="1115" t="n">
        <v>99645</v>
      </c>
      <c r="J3968" s="1115" t="s">
        <v>170</v>
      </c>
    </row>
    <row r="3969" customFormat="false" ht="14.1" hidden="false" customHeight="true" outlineLevel="0" collapsed="false">
      <c r="A3969" s="1115" t="n">
        <v>99640</v>
      </c>
      <c r="B3969" s="1115" t="s">
        <v>170</v>
      </c>
      <c r="C3969" s="1115" t="n">
        <v>99640</v>
      </c>
      <c r="D3969" s="1115" t="s">
        <v>3924</v>
      </c>
      <c r="E3969" s="1115" t="s">
        <v>2047</v>
      </c>
      <c r="F3969" s="1115" t="n">
        <v>22940</v>
      </c>
      <c r="I3969" s="1115" t="n">
        <v>99650</v>
      </c>
      <c r="J3969" s="1115" t="s">
        <v>170</v>
      </c>
    </row>
    <row r="3970" customFormat="false" ht="14.1" hidden="false" customHeight="true" outlineLevel="0" collapsed="false">
      <c r="A3970" s="1115" t="n">
        <v>99645</v>
      </c>
      <c r="B3970" s="1115" t="s">
        <v>170</v>
      </c>
      <c r="C3970" s="1115" t="n">
        <v>99645</v>
      </c>
      <c r="D3970" s="1115" t="s">
        <v>3027</v>
      </c>
      <c r="E3970" s="1115" t="s">
        <v>2047</v>
      </c>
      <c r="F3970" s="1115" t="n">
        <v>22940</v>
      </c>
      <c r="I3970" s="1115" t="n">
        <v>99655</v>
      </c>
      <c r="J3970" s="1115" t="s">
        <v>170</v>
      </c>
    </row>
    <row r="3971" customFormat="false" ht="14.1" hidden="false" customHeight="true" outlineLevel="0" collapsed="false">
      <c r="A3971" s="1115" t="n">
        <v>99650</v>
      </c>
      <c r="B3971" s="1115" t="s">
        <v>170</v>
      </c>
      <c r="C3971" s="1115" t="n">
        <v>99650</v>
      </c>
      <c r="D3971" s="1115" t="s">
        <v>3824</v>
      </c>
      <c r="E3971" s="1115" t="s">
        <v>3584</v>
      </c>
      <c r="F3971" s="1115" t="n">
        <v>66880</v>
      </c>
      <c r="I3971" s="1115" t="n">
        <v>99670</v>
      </c>
      <c r="J3971" s="1115" t="s">
        <v>170</v>
      </c>
    </row>
    <row r="3972" customFormat="false" ht="14.1" hidden="false" customHeight="true" outlineLevel="0" collapsed="false">
      <c r="A3972" s="1115" t="n">
        <v>99655</v>
      </c>
      <c r="B3972" s="1115" t="s">
        <v>170</v>
      </c>
      <c r="C3972" s="1115" t="n">
        <v>99655</v>
      </c>
      <c r="D3972" s="1115" t="s">
        <v>3825</v>
      </c>
      <c r="E3972" s="1115" t="s">
        <v>1647</v>
      </c>
      <c r="F3972" s="1115" t="n">
        <v>32740</v>
      </c>
      <c r="I3972" s="1115" t="n">
        <v>99680</v>
      </c>
      <c r="J3972" s="1115" t="s">
        <v>170</v>
      </c>
    </row>
    <row r="3973" customFormat="false" ht="14.1" hidden="false" customHeight="true" outlineLevel="0" collapsed="false">
      <c r="A3973" s="1115" t="n">
        <v>99670</v>
      </c>
      <c r="B3973" s="1115" t="s">
        <v>170</v>
      </c>
      <c r="C3973" s="1115" t="n">
        <v>99670</v>
      </c>
      <c r="D3973" s="1115" t="s">
        <v>3542</v>
      </c>
      <c r="E3973" s="1115" t="s">
        <v>1649</v>
      </c>
      <c r="F3973" s="1115" t="n">
        <v>63700</v>
      </c>
      <c r="I3973" s="1115" t="n">
        <v>99690</v>
      </c>
      <c r="J3973" s="1115" t="s">
        <v>170</v>
      </c>
    </row>
    <row r="3974" customFormat="false" ht="14.1" hidden="false" customHeight="true" outlineLevel="0" collapsed="false">
      <c r="A3974" s="1115" t="n">
        <v>99680</v>
      </c>
      <c r="B3974" s="1115" t="s">
        <v>170</v>
      </c>
      <c r="C3974" s="1115" t="n">
        <v>99680</v>
      </c>
      <c r="D3974" s="1115" t="s">
        <v>4002</v>
      </c>
      <c r="E3974" s="1115" t="s">
        <v>1649</v>
      </c>
      <c r="F3974" s="1115" t="n">
        <v>63700</v>
      </c>
      <c r="I3974" s="1115" t="n">
        <v>99695</v>
      </c>
      <c r="J3974" s="1115" t="s">
        <v>170</v>
      </c>
    </row>
    <row r="3975" customFormat="false" ht="14.1" hidden="false" customHeight="true" outlineLevel="0" collapsed="false">
      <c r="A3975" s="1115" t="n">
        <v>99690</v>
      </c>
      <c r="B3975" s="1115" t="s">
        <v>170</v>
      </c>
      <c r="C3975" s="1115" t="n">
        <v>99690</v>
      </c>
      <c r="D3975" s="1115" t="s">
        <v>4000</v>
      </c>
      <c r="E3975" s="1115" t="s">
        <v>1649</v>
      </c>
      <c r="F3975" s="1115" t="n">
        <v>63700</v>
      </c>
      <c r="I3975" s="1115" t="n">
        <v>99710</v>
      </c>
      <c r="J3975" s="1115" t="s">
        <v>767</v>
      </c>
    </row>
    <row r="3976" customFormat="false" ht="14.1" hidden="false" customHeight="true" outlineLevel="0" collapsed="false">
      <c r="A3976" s="1115" t="n">
        <v>99695</v>
      </c>
      <c r="B3976" s="1115" t="s">
        <v>170</v>
      </c>
      <c r="C3976" s="1115" t="n">
        <v>99695</v>
      </c>
      <c r="D3976" s="1115" t="s">
        <v>3926</v>
      </c>
      <c r="E3976" s="1115" t="s">
        <v>3473</v>
      </c>
      <c r="F3976" s="1115" t="n">
        <v>63706</v>
      </c>
      <c r="I3976" s="1115" t="n">
        <v>99720</v>
      </c>
      <c r="J3976" s="1115" t="s">
        <v>767</v>
      </c>
    </row>
    <row r="3977" customFormat="false" ht="14.1" hidden="false" customHeight="true" outlineLevel="0" collapsed="false">
      <c r="A3977" s="1115" t="n">
        <v>99710</v>
      </c>
      <c r="B3977" s="1115" t="s">
        <v>170</v>
      </c>
      <c r="C3977" s="1115" t="n">
        <v>99710</v>
      </c>
      <c r="D3977" s="1115" t="s">
        <v>3976</v>
      </c>
      <c r="E3977" s="1115" t="s">
        <v>3468</v>
      </c>
      <c r="F3977" s="1115" t="n">
        <v>63660</v>
      </c>
      <c r="I3977" s="1115" t="n">
        <v>99730</v>
      </c>
      <c r="J3977" s="1115" t="s">
        <v>767</v>
      </c>
    </row>
    <row r="3978" customFormat="false" ht="14.1" hidden="false" customHeight="true" outlineLevel="0" collapsed="false">
      <c r="A3978" s="1115" t="n">
        <v>99720</v>
      </c>
      <c r="B3978" s="1115" t="s">
        <v>170</v>
      </c>
      <c r="C3978" s="1115" t="n">
        <v>99720</v>
      </c>
      <c r="D3978" s="1115" t="s">
        <v>3722</v>
      </c>
      <c r="E3978" s="1115" t="s">
        <v>2765</v>
      </c>
      <c r="F3978" s="1115" t="n">
        <v>41390</v>
      </c>
      <c r="I3978" s="1115" t="n">
        <v>99740</v>
      </c>
      <c r="J3978" s="1115" t="s">
        <v>767</v>
      </c>
    </row>
    <row r="3979" customFormat="false" ht="14.1" hidden="false" customHeight="true" outlineLevel="0" collapsed="false">
      <c r="A3979" s="1115" t="n">
        <v>99730</v>
      </c>
      <c r="B3979" s="1115" t="s">
        <v>170</v>
      </c>
      <c r="C3979" s="1115" t="n">
        <v>99730</v>
      </c>
      <c r="D3979" s="1115" t="s">
        <v>1710</v>
      </c>
      <c r="E3979" s="1115" t="s">
        <v>2503</v>
      </c>
      <c r="F3979" s="1115" t="n">
        <v>34910</v>
      </c>
      <c r="I3979" s="1115" t="n">
        <v>99760</v>
      </c>
      <c r="J3979" s="1115" t="s">
        <v>883</v>
      </c>
    </row>
    <row r="3980" customFormat="false" ht="14.1" hidden="false" customHeight="true" outlineLevel="0" collapsed="false">
      <c r="A3980" s="1115" t="n">
        <v>99740</v>
      </c>
      <c r="B3980" s="1115" t="s">
        <v>170</v>
      </c>
      <c r="C3980" s="1115" t="n">
        <v>99740</v>
      </c>
      <c r="D3980" s="1115" t="s">
        <v>3898</v>
      </c>
      <c r="E3980" s="1115" t="s">
        <v>3226</v>
      </c>
      <c r="F3980" s="1115" t="n">
        <v>56140</v>
      </c>
      <c r="I3980" s="1115" t="n">
        <v>99770</v>
      </c>
      <c r="J3980" s="1115" t="s">
        <v>883</v>
      </c>
    </row>
    <row r="3981" customFormat="false" ht="14.1" hidden="false" customHeight="true" outlineLevel="0" collapsed="false">
      <c r="A3981" s="1115" t="n">
        <v>99760</v>
      </c>
      <c r="B3981" s="1115" t="s">
        <v>170</v>
      </c>
      <c r="C3981" s="1115" t="n">
        <v>99760</v>
      </c>
      <c r="D3981" s="1115" t="s">
        <v>3973</v>
      </c>
      <c r="E3981" s="1115" t="s">
        <v>3988</v>
      </c>
      <c r="F3981" s="1115" t="n">
        <v>95930</v>
      </c>
      <c r="I3981" s="1115" t="n">
        <v>99790</v>
      </c>
      <c r="J3981" s="1115" t="s">
        <v>883</v>
      </c>
    </row>
    <row r="3982" customFormat="false" ht="14.1" hidden="false" customHeight="true" outlineLevel="0" collapsed="false">
      <c r="A3982" s="1115" t="n">
        <v>99770</v>
      </c>
      <c r="B3982" s="1115" t="s">
        <v>170</v>
      </c>
      <c r="C3982" s="1115" t="n">
        <v>99770</v>
      </c>
      <c r="D3982" s="1115" t="s">
        <v>2004</v>
      </c>
      <c r="E3982" s="1115" t="s">
        <v>3990</v>
      </c>
      <c r="F3982" s="1115" t="n">
        <v>95970</v>
      </c>
      <c r="I3982" s="1115" t="n">
        <v>99800</v>
      </c>
      <c r="J3982" s="1115" t="s">
        <v>883</v>
      </c>
    </row>
    <row r="3983" customFormat="false" ht="14.1" hidden="false" customHeight="true" outlineLevel="0" collapsed="false">
      <c r="A3983" s="1115" t="n">
        <v>99790</v>
      </c>
      <c r="B3983" s="1115" t="s">
        <v>170</v>
      </c>
      <c r="C3983" s="1115" t="n">
        <v>99790</v>
      </c>
      <c r="D3983" s="1115" t="s">
        <v>2118</v>
      </c>
      <c r="E3983" s="1115" t="s">
        <v>3935</v>
      </c>
      <c r="F3983" s="1115" t="n">
        <v>89600</v>
      </c>
      <c r="I3983" s="1115" t="n">
        <v>99820</v>
      </c>
      <c r="J3983" s="1115" t="s">
        <v>883</v>
      </c>
    </row>
    <row r="3984" customFormat="false" ht="14.1" hidden="false" customHeight="true" outlineLevel="0" collapsed="false">
      <c r="A3984" s="1115" t="n">
        <v>99800</v>
      </c>
      <c r="B3984" s="1115" t="s">
        <v>170</v>
      </c>
      <c r="C3984" s="1115" t="n">
        <v>99800</v>
      </c>
      <c r="D3984" s="1115" t="s">
        <v>171</v>
      </c>
      <c r="E3984" s="1115" t="s">
        <v>3953</v>
      </c>
      <c r="F3984" s="1115" t="n">
        <v>91810</v>
      </c>
      <c r="I3984" s="1115" t="n">
        <v>99830</v>
      </c>
      <c r="J3984" s="1115" t="s">
        <v>883</v>
      </c>
    </row>
    <row r="3985" customFormat="false" ht="14.1" hidden="false" customHeight="true" outlineLevel="0" collapsed="false">
      <c r="A3985" s="1115" t="n">
        <v>99820</v>
      </c>
      <c r="B3985" s="1115" t="s">
        <v>170</v>
      </c>
      <c r="C3985" s="1115" t="n">
        <v>99820</v>
      </c>
      <c r="D3985" s="1115" t="s">
        <v>2324</v>
      </c>
      <c r="E3985" s="1115" t="s">
        <v>3247</v>
      </c>
      <c r="F3985" s="1115" t="n">
        <v>56830</v>
      </c>
      <c r="I3985" s="1115" t="n">
        <v>99835</v>
      </c>
      <c r="J3985" s="1115" t="s">
        <v>883</v>
      </c>
    </row>
    <row r="3986" customFormat="false" ht="14.1" hidden="false" customHeight="true" outlineLevel="0" collapsed="false">
      <c r="A3986" s="1115" t="n">
        <v>99830</v>
      </c>
      <c r="B3986" s="1115" t="s">
        <v>170</v>
      </c>
      <c r="C3986" s="1115" t="n">
        <v>99830</v>
      </c>
      <c r="D3986" s="1115" t="s">
        <v>3794</v>
      </c>
      <c r="E3986" s="1115" t="s">
        <v>3957</v>
      </c>
      <c r="F3986" s="1115" t="n">
        <v>92250</v>
      </c>
      <c r="I3986" s="1115" t="n">
        <v>99860</v>
      </c>
      <c r="J3986" s="1115" t="s">
        <v>883</v>
      </c>
    </row>
    <row r="3987" customFormat="false" ht="14.1" hidden="false" customHeight="true" outlineLevel="0" collapsed="false">
      <c r="A3987" s="1115" t="n">
        <v>99835</v>
      </c>
      <c r="B3987" s="1115" t="s">
        <v>170</v>
      </c>
      <c r="C3987" s="1115" t="n">
        <v>99835</v>
      </c>
      <c r="D3987" s="1115" t="s">
        <v>2845</v>
      </c>
      <c r="E3987" s="1115" t="s">
        <v>3513</v>
      </c>
      <c r="F3987" s="1115" t="n">
        <v>64770</v>
      </c>
      <c r="I3987" s="1115" t="n">
        <v>99870</v>
      </c>
      <c r="J3987" s="1115" t="s">
        <v>883</v>
      </c>
    </row>
    <row r="3988" customFormat="false" ht="14.1" hidden="false" customHeight="true" outlineLevel="0" collapsed="false">
      <c r="A3988" s="1115" t="n">
        <v>99860</v>
      </c>
      <c r="B3988" s="1115" t="s">
        <v>170</v>
      </c>
      <c r="C3988" s="1115" t="n">
        <v>99860</v>
      </c>
      <c r="D3988" s="1115" t="s">
        <v>3304</v>
      </c>
      <c r="E3988" s="1115" t="s">
        <v>3513</v>
      </c>
      <c r="F3988" s="1115" t="n">
        <v>64770</v>
      </c>
      <c r="I3988" s="1115" t="n">
        <v>99880</v>
      </c>
      <c r="J3988" s="1115" t="s">
        <v>883</v>
      </c>
    </row>
    <row r="3989" customFormat="false" ht="14.1" hidden="false" customHeight="true" outlineLevel="0" collapsed="false">
      <c r="A3989" s="1115" t="n">
        <v>99870</v>
      </c>
      <c r="B3989" s="1115" t="s">
        <v>170</v>
      </c>
      <c r="C3989" s="1115" t="n">
        <v>99870</v>
      </c>
      <c r="D3989" s="1115" t="s">
        <v>883</v>
      </c>
      <c r="E3989" s="1115" t="s">
        <v>2897</v>
      </c>
      <c r="F3989" s="1115" t="n">
        <v>44250</v>
      </c>
      <c r="I3989" s="1115" t="n">
        <v>99885</v>
      </c>
      <c r="J3989" s="1115" t="s">
        <v>883</v>
      </c>
    </row>
    <row r="3990" customFormat="false" ht="14.1" hidden="false" customHeight="true" outlineLevel="0" collapsed="false">
      <c r="A3990" s="1115" t="n">
        <v>99880</v>
      </c>
      <c r="B3990" s="1115" t="s">
        <v>170</v>
      </c>
      <c r="C3990" s="1115" t="n">
        <v>99880</v>
      </c>
      <c r="D3990" s="1115" t="s">
        <v>3165</v>
      </c>
      <c r="E3990" s="1115" t="s">
        <v>1651</v>
      </c>
      <c r="F3990" s="1115" t="n">
        <v>44100</v>
      </c>
      <c r="I3990" s="1115" t="n">
        <v>99890</v>
      </c>
      <c r="J3990" s="1115" t="s">
        <v>883</v>
      </c>
    </row>
    <row r="3991" customFormat="false" ht="14.1" hidden="false" customHeight="true" outlineLevel="0" collapsed="false">
      <c r="A3991" s="1115" t="n">
        <v>99885</v>
      </c>
      <c r="B3991" s="1115" t="s">
        <v>170</v>
      </c>
      <c r="C3991" s="1115" t="n">
        <v>99885</v>
      </c>
      <c r="D3991" s="1115" t="s">
        <v>2947</v>
      </c>
      <c r="E3991" s="1115" t="s">
        <v>1651</v>
      </c>
      <c r="F3991" s="1115" t="n">
        <v>44120</v>
      </c>
      <c r="I3991" s="1115" t="n">
        <v>99910</v>
      </c>
      <c r="J3991" s="1115" t="s">
        <v>883</v>
      </c>
    </row>
    <row r="3992" customFormat="false" ht="14.1" hidden="false" customHeight="true" outlineLevel="0" collapsed="false">
      <c r="A3992" s="1115" t="n">
        <v>99890</v>
      </c>
      <c r="B3992" s="1115" t="s">
        <v>170</v>
      </c>
      <c r="C3992" s="1115" t="n">
        <v>99890</v>
      </c>
      <c r="D3992" s="1115" t="s">
        <v>3005</v>
      </c>
      <c r="E3992" s="1115" t="s">
        <v>2022</v>
      </c>
      <c r="F3992" s="1115" t="n">
        <v>22320</v>
      </c>
      <c r="I3992" s="1115" t="n">
        <v>99920</v>
      </c>
      <c r="J3992" s="1115" t="s">
        <v>883</v>
      </c>
    </row>
    <row r="3993" customFormat="false" ht="14.1" hidden="false" customHeight="true" outlineLevel="0" collapsed="false">
      <c r="A3993" s="1115" t="n">
        <v>99910</v>
      </c>
      <c r="B3993" s="1115" t="s">
        <v>170</v>
      </c>
      <c r="C3993" s="1115" t="n">
        <v>99910</v>
      </c>
      <c r="D3993" s="1115" t="s">
        <v>2122</v>
      </c>
      <c r="E3993" s="1115" t="s">
        <v>2022</v>
      </c>
      <c r="F3993" s="1115" t="n">
        <v>22320</v>
      </c>
      <c r="I3993" s="1115" t="n">
        <v>99930</v>
      </c>
      <c r="J3993" s="1115" t="s">
        <v>883</v>
      </c>
    </row>
    <row r="3994" customFormat="false" ht="14.1" hidden="false" customHeight="true" outlineLevel="0" collapsed="false">
      <c r="A3994" s="1115" t="n">
        <v>99920</v>
      </c>
      <c r="B3994" s="1115" t="s">
        <v>170</v>
      </c>
      <c r="C3994" s="1115" t="n">
        <v>99920</v>
      </c>
      <c r="D3994" s="1115" t="s">
        <v>3494</v>
      </c>
      <c r="E3994" s="1115" t="s">
        <v>3603</v>
      </c>
      <c r="F3994" s="1115" t="n">
        <v>68550</v>
      </c>
      <c r="I3994" s="1115" t="n">
        <v>99940</v>
      </c>
      <c r="J3994" s="1115" t="s">
        <v>883</v>
      </c>
    </row>
    <row r="3995" customFormat="false" ht="14.1" hidden="false" customHeight="true" outlineLevel="0" collapsed="false">
      <c r="A3995" s="1115" t="n">
        <v>99930</v>
      </c>
      <c r="B3995" s="1115" t="s">
        <v>170</v>
      </c>
      <c r="C3995" s="1115" t="n">
        <v>99930</v>
      </c>
      <c r="D3995" s="1115" t="s">
        <v>3844</v>
      </c>
      <c r="E3995" s="1115" t="s">
        <v>3857</v>
      </c>
      <c r="F3995" s="1115" t="n">
        <v>82750</v>
      </c>
      <c r="I3995" s="1115" t="n">
        <v>99950</v>
      </c>
      <c r="J3995" s="1115" t="s">
        <v>1583</v>
      </c>
    </row>
    <row r="3996" customFormat="false" ht="14.1" hidden="false" customHeight="true" outlineLevel="0" collapsed="false">
      <c r="A3996" s="1115" t="n">
        <v>99940</v>
      </c>
      <c r="B3996" s="1115" t="s">
        <v>170</v>
      </c>
      <c r="C3996" s="1115" t="n">
        <v>99940</v>
      </c>
      <c r="D3996" s="1115" t="s">
        <v>3382</v>
      </c>
      <c r="E3996" s="1115" t="s">
        <v>1391</v>
      </c>
      <c r="F3996" s="1115" t="n">
        <v>7380</v>
      </c>
      <c r="I3996" s="1115" t="n">
        <v>99960</v>
      </c>
      <c r="J3996" s="1115" t="s">
        <v>1583</v>
      </c>
    </row>
    <row r="3997" customFormat="false" ht="14.1" hidden="false" customHeight="true" outlineLevel="0" collapsed="false">
      <c r="A3997" s="1115" t="n">
        <v>99950</v>
      </c>
      <c r="B3997" s="1115" t="s">
        <v>170</v>
      </c>
      <c r="C3997" s="1115" t="n">
        <v>99950</v>
      </c>
      <c r="D3997" s="1115" t="s">
        <v>2251</v>
      </c>
      <c r="E3997" s="1115" t="s">
        <v>3572</v>
      </c>
      <c r="F3997" s="1115" t="n">
        <v>66560</v>
      </c>
      <c r="I3997" s="1115" t="n">
        <v>99970</v>
      </c>
      <c r="J3997" s="1115" t="s">
        <v>1583</v>
      </c>
    </row>
    <row r="3998" customFormat="false" ht="14.1" hidden="false" customHeight="true" outlineLevel="0" collapsed="false">
      <c r="A3998" s="1115" t="n">
        <v>99960</v>
      </c>
      <c r="B3998" s="1115" t="s">
        <v>170</v>
      </c>
      <c r="C3998" s="1115" t="n">
        <v>99960</v>
      </c>
      <c r="D3998" s="1115" t="s">
        <v>3437</v>
      </c>
      <c r="E3998" s="1115" t="s">
        <v>3499</v>
      </c>
      <c r="F3998" s="1115" t="n">
        <v>64610</v>
      </c>
      <c r="I3998" s="1115" t="n">
        <v>99980</v>
      </c>
      <c r="J3998" s="1115" t="s">
        <v>1583</v>
      </c>
    </row>
    <row r="3999" customFormat="false" ht="14.1" hidden="false" customHeight="true" outlineLevel="0" collapsed="false">
      <c r="A3999" s="1115" t="n">
        <v>99970</v>
      </c>
      <c r="B3999" s="1115" t="s">
        <v>170</v>
      </c>
      <c r="C3999" s="1115" t="n">
        <v>99970</v>
      </c>
      <c r="D3999" s="1115" t="s">
        <v>3370</v>
      </c>
      <c r="E3999" s="1115" t="s">
        <v>3546</v>
      </c>
      <c r="F3999" s="1115" t="n">
        <v>66140</v>
      </c>
      <c r="I3999" s="1115" t="n">
        <v>99990</v>
      </c>
      <c r="J3999" s="1115" t="s">
        <v>1583</v>
      </c>
    </row>
    <row r="4000" customFormat="false" ht="14.1" hidden="false" customHeight="true" outlineLevel="0" collapsed="false">
      <c r="A4000" s="1115" t="n">
        <v>99980</v>
      </c>
      <c r="B4000" s="1115" t="s">
        <v>170</v>
      </c>
      <c r="C4000" s="1115" t="n">
        <v>99980</v>
      </c>
      <c r="D4000" s="1115" t="s">
        <v>1583</v>
      </c>
      <c r="E4000" s="1115" t="s">
        <v>3611</v>
      </c>
      <c r="F4000" s="1115" t="n">
        <v>68970</v>
      </c>
      <c r="I4000" s="1115" t="n">
        <v>99991</v>
      </c>
      <c r="J4000" s="1115" t="s">
        <v>4004</v>
      </c>
    </row>
    <row r="4001" customFormat="false" ht="14.1" hidden="false" customHeight="true" outlineLevel="0" collapsed="false">
      <c r="A4001" s="1115" t="n">
        <v>99990</v>
      </c>
      <c r="B4001" s="1115" t="s">
        <v>170</v>
      </c>
      <c r="C4001" s="1115" t="n">
        <v>99990</v>
      </c>
      <c r="D4001" s="1115" t="s">
        <v>3361</v>
      </c>
      <c r="E4001" s="1115" t="s">
        <v>3611</v>
      </c>
      <c r="F4001" s="1115" t="n">
        <v>68970</v>
      </c>
    </row>
    <row r="4002" customFormat="false" ht="14.1" hidden="false" customHeight="true" outlineLevel="0" collapsed="false">
      <c r="A4002" s="1115" t="n">
        <v>99991</v>
      </c>
      <c r="B4002" s="1115" t="s">
        <v>170</v>
      </c>
      <c r="C4002" s="1115" t="n">
        <v>99991</v>
      </c>
      <c r="D4002" s="1115" t="s">
        <v>4004</v>
      </c>
      <c r="E4002" s="1115" t="s">
        <v>4004</v>
      </c>
      <c r="F4002" s="1115" t="n">
        <v>99991</v>
      </c>
    </row>
    <row r="4003" customFormat="false" ht="14.1" hidden="false" customHeight="true" outlineLevel="0" collapsed="false">
      <c r="B4003" s="1115" t="s">
        <v>4004</v>
      </c>
    </row>
  </sheetData>
  <sheetProtection sheet="true" password="e6ae" objects="true" scenarios="true" selectLockedCells="true" selectUnlockedCells="true"/>
  <mergeCells count="89">
    <mergeCell ref="C1:D1"/>
    <mergeCell ref="E1:F1"/>
    <mergeCell ref="AU3:AX3"/>
    <mergeCell ref="AY3:BA3"/>
    <mergeCell ref="AU4:AZ5"/>
    <mergeCell ref="AU6:AZ6"/>
    <mergeCell ref="AU7:AV7"/>
    <mergeCell ref="AU8:AZ8"/>
    <mergeCell ref="AU9:AX9"/>
    <mergeCell ref="AU10:AX10"/>
    <mergeCell ref="AU11:AX11"/>
    <mergeCell ref="AU12:AX12"/>
    <mergeCell ref="AU14:AZ14"/>
    <mergeCell ref="AU15:AW15"/>
    <mergeCell ref="AU16:AW16"/>
    <mergeCell ref="AU17:AZ17"/>
    <mergeCell ref="AU18:BA18"/>
    <mergeCell ref="AU19:BA19"/>
    <mergeCell ref="AU20:AY20"/>
    <mergeCell ref="BA20:BA31"/>
    <mergeCell ref="AU21:AY21"/>
    <mergeCell ref="AU22:AW22"/>
    <mergeCell ref="AU23:AW23"/>
    <mergeCell ref="AU24:AW24"/>
    <mergeCell ref="AU25:AW26"/>
    <mergeCell ref="AX25:AX26"/>
    <mergeCell ref="AU27:AW27"/>
    <mergeCell ref="AU28:AW28"/>
    <mergeCell ref="AU29:AW29"/>
    <mergeCell ref="AU30:AW30"/>
    <mergeCell ref="AU31:AV31"/>
    <mergeCell ref="AU32:AY32"/>
    <mergeCell ref="AU33:AY33"/>
    <mergeCell ref="AU34:BA34"/>
    <mergeCell ref="AU35:AV35"/>
    <mergeCell ref="AU36:AV36"/>
    <mergeCell ref="AU37:AV37"/>
    <mergeCell ref="AU38:AV38"/>
    <mergeCell ref="AU39:AV39"/>
    <mergeCell ref="AU40:AV40"/>
    <mergeCell ref="AU41:AY41"/>
    <mergeCell ref="AU42:AY42"/>
    <mergeCell ref="AU43:BA43"/>
    <mergeCell ref="AU44:AZ44"/>
    <mergeCell ref="AU45:BA45"/>
    <mergeCell ref="AU46:BA46"/>
    <mergeCell ref="AU47:AW47"/>
    <mergeCell ref="BA47:BA55"/>
    <mergeCell ref="AU48:AW48"/>
    <mergeCell ref="AU49:AW49"/>
    <mergeCell ref="AU50:AW51"/>
    <mergeCell ref="AX50:AX51"/>
    <mergeCell ref="AU52:AW52"/>
    <mergeCell ref="AU53:AW53"/>
    <mergeCell ref="AU54:AW54"/>
    <mergeCell ref="AU55:AW55"/>
    <mergeCell ref="AU56:AV56"/>
    <mergeCell ref="AU57:BA57"/>
    <mergeCell ref="AU58:AV58"/>
    <mergeCell ref="AU59:AV59"/>
    <mergeCell ref="AU60:AV60"/>
    <mergeCell ref="AU61:AV61"/>
    <mergeCell ref="AU62:AV62"/>
    <mergeCell ref="AU63:AV63"/>
    <mergeCell ref="AU64:AY64"/>
    <mergeCell ref="AU65:AY65"/>
    <mergeCell ref="AU66:BA66"/>
    <mergeCell ref="AV70:AZ70"/>
    <mergeCell ref="AV71:AZ71"/>
    <mergeCell ref="AV72:AZ72"/>
    <mergeCell ref="AU74:BA86"/>
    <mergeCell ref="AV90:AZ90"/>
    <mergeCell ref="AV91:AZ91"/>
    <mergeCell ref="AV92:AZ92"/>
    <mergeCell ref="AV96:AZ96"/>
    <mergeCell ref="AV97:AZ97"/>
    <mergeCell ref="AV101:AX101"/>
    <mergeCell ref="AV102:AX102"/>
    <mergeCell ref="AV103:AX103"/>
    <mergeCell ref="AV104:AX104"/>
    <mergeCell ref="AV105:AX105"/>
    <mergeCell ref="AV106:AX106"/>
    <mergeCell ref="AV107:AX107"/>
    <mergeCell ref="AV109:AX109"/>
    <mergeCell ref="AV111:AX111"/>
    <mergeCell ref="AV112:AX112"/>
    <mergeCell ref="AV114:AX114"/>
    <mergeCell ref="AV115:AX115"/>
    <mergeCell ref="AV116:AX116"/>
  </mergeCells>
  <dataValidations count="2">
    <dataValidation allowBlank="true" operator="equal" showDropDown="false" showErrorMessage="true" showInputMessage="false" sqref="AX25 AX27:AX28 AX50 AX52:AX53" type="none">
      <formula1>0</formula1>
      <formula2>0</formula2>
    </dataValidation>
    <dataValidation allowBlank="true" operator="equal" showDropDown="false" showErrorMessage="true" showInputMessage="true" sqref="AX29:AX30 AX54:AX55" type="none">
      <formula1>0</formula1>
      <formula2>0</formula2>
    </dataValidation>
  </dataValidations>
  <printOptions headings="false" gridLines="false" gridLinesSet="true" horizontalCentered="false" verticalCentered="false"/>
  <pageMargins left="0.815277777777778" right="0.7875" top="0.7875" bottom="0.7875" header="0.511805555555555" footer="0.511805555555555"/>
  <pageSetup paperSize="9" scale="78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1390948</TotalTime>
  <Application>LibreOffice/4.2.4.2$Linux_X86_64 LibreOffice_project/420m0$Build-2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2009-08-10T10:20:59Z</dcterms:created>
  <dc:language>fi-FI</dc:language>
  <cp:lastModifiedBy>Paavo Ingalsuo</cp:lastModifiedBy>
  <cp:lastPrinted>2014-05-30T18:26:18Z</cp:lastPrinted>
  <dcterms:modified xsi:type="dcterms:W3CDTF">2014-08-15T09:43:01Z</dcterms:modified>
  <cp:revision>2556</cp:revision>
</cp:coreProperties>
</file>